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threadedComments/threadedComment2.xml" ContentType="application/vnd.ms-excel.threadedcomments+xml"/>
  <Override PartName="/xl/comments21.xml" ContentType="application/vnd.openxmlformats-officedocument.spreadsheetml.comments+xml"/>
  <Override PartName="/xl/threadedComments/threadedComment3.xml" ContentType="application/vnd.ms-excel.threadedcomments+xml"/>
  <Override PartName="/xl/comments22.xml" ContentType="application/vnd.openxmlformats-officedocument.spreadsheetml.comments+xml"/>
  <Override PartName="/xl/threadedComments/threadedComment4.xml" ContentType="application/vnd.ms-excel.threadedcomments+xml"/>
  <Override PartName="/xl/comments23.xml" ContentType="application/vnd.openxmlformats-officedocument.spreadsheetml.comments+xml"/>
  <Override PartName="/xl/threadedComments/threadedComment5.xml" ContentType="application/vnd.ms-excel.threadedcomments+xml"/>
  <Override PartName="/xl/comments24.xml" ContentType="application/vnd.openxmlformats-officedocument.spreadsheetml.comments+xml"/>
  <Override PartName="/xl/threadedComments/threadedComment6.xml" ContentType="application/vnd.ms-excel.threadedcomments+xml"/>
  <Override PartName="/xl/comments25.xml" ContentType="application/vnd.openxmlformats-officedocument.spreadsheetml.comments+xml"/>
  <Override PartName="/xl/threadedComments/threadedComment7.xml" ContentType="application/vnd.ms-excel.threadedcomments+xml"/>
  <Override PartName="/xl/comments26.xml" ContentType="application/vnd.openxmlformats-officedocument.spreadsheetml.comments+xml"/>
  <Override PartName="/xl/threadedComments/threadedComment8.xml" ContentType="application/vnd.ms-excel.threadedcomments+xml"/>
  <Override PartName="/xl/comments27.xml" ContentType="application/vnd.openxmlformats-officedocument.spreadsheetml.comments+xml"/>
  <Override PartName="/xl/threadedComments/threadedComment9.xml" ContentType="application/vnd.ms-excel.threadedcomments+xml"/>
  <Override PartName="/xl/comments28.xml" ContentType="application/vnd.openxmlformats-officedocument.spreadsheetml.comments+xml"/>
  <Override PartName="/xl/threadedComments/threadedComment10.xml" ContentType="application/vnd.ms-excel.threadedcomments+xml"/>
  <Override PartName="/xl/comments29.xml" ContentType="application/vnd.openxmlformats-officedocument.spreadsheetml.comments+xml"/>
  <Override PartName="/xl/threadedComments/threadedComment11.xml" ContentType="application/vnd.ms-excel.threadedcomments+xml"/>
  <Override PartName="/xl/comments30.xml" ContentType="application/vnd.openxmlformats-officedocument.spreadsheetml.comments+xml"/>
  <Override PartName="/xl/threadedComments/threadedComment12.xml" ContentType="application/vnd.ms-excel.threadedcomments+xml"/>
  <Override PartName="/xl/drawings/drawing1.xml" ContentType="application/vnd.openxmlformats-officedocument.drawing+xml"/>
  <Override PartName="/xl/comments31.xml" ContentType="application/vnd.openxmlformats-officedocument.spreadsheetml.comments+xml"/>
  <Override PartName="/xl/threadedComments/threadedComment13.xml" ContentType="application/vnd.ms-excel.threadedcomments+xml"/>
  <Override PartName="/xl/comments32.xml" ContentType="application/vnd.openxmlformats-officedocument.spreadsheetml.comments+xml"/>
  <Override PartName="/xl/threadedComments/threadedComment14.xml" ContentType="application/vnd.ms-excel.threadedcomments+xml"/>
  <Override PartName="/xl/comments33.xml" ContentType="application/vnd.openxmlformats-officedocument.spreadsheetml.comments+xml"/>
  <Override PartName="/xl/threadedComments/threadedComment15.xml" ContentType="application/vnd.ms-excel.threadedcomments+xml"/>
  <Override PartName="/xl/comments34.xml" ContentType="application/vnd.openxmlformats-officedocument.spreadsheetml.comments+xml"/>
  <Override PartName="/xl/threadedComments/threadedComment16.xml" ContentType="application/vnd.ms-excel.threadedcomments+xml"/>
  <Override PartName="/xl/comments35.xml" ContentType="application/vnd.openxmlformats-officedocument.spreadsheetml.comments+xml"/>
  <Override PartName="/xl/threadedComments/threadedComment17.xml" ContentType="application/vnd.ms-excel.threadedcomments+xml"/>
  <Override PartName="/xl/comments36.xml" ContentType="application/vnd.openxmlformats-officedocument.spreadsheetml.comments+xml"/>
  <Override PartName="/xl/threadedComments/threadedComment18.xml" ContentType="application/vnd.ms-excel.threadedcomments+xml"/>
  <Override PartName="/xl/comments37.xml" ContentType="application/vnd.openxmlformats-officedocument.spreadsheetml.comments+xml"/>
  <Override PartName="/xl/threadedComments/threadedComment19.xml" ContentType="application/vnd.ms-excel.threadedcomments+xml"/>
  <Override PartName="/xl/comments38.xml" ContentType="application/vnd.openxmlformats-officedocument.spreadsheetml.comments+xml"/>
  <Override PartName="/xl/threadedComments/threadedComment20.xml" ContentType="application/vnd.ms-excel.threadedcomments+xml"/>
  <Override PartName="/xl/comments39.xml" ContentType="application/vnd.openxmlformats-officedocument.spreadsheetml.comments+xml"/>
  <Override PartName="/xl/threadedComments/threadedComment21.xml" ContentType="application/vnd.ms-excel.threadedcomments+xml"/>
  <Override PartName="/xl/comments40.xml" ContentType="application/vnd.openxmlformats-officedocument.spreadsheetml.comments+xml"/>
  <Override PartName="/xl/threadedComments/threadedComment22.xml" ContentType="application/vnd.ms-excel.threadedcomments+xml"/>
  <Override PartName="/xl/comments41.xml" ContentType="application/vnd.openxmlformats-officedocument.spreadsheetml.comments+xml"/>
  <Override PartName="/xl/threadedComments/threadedComment23.xml" ContentType="application/vnd.ms-excel.threadedcomments+xml"/>
  <Override PartName="/xl/comments42.xml" ContentType="application/vnd.openxmlformats-officedocument.spreadsheetml.comments+xml"/>
  <Override PartName="/xl/threadedComments/threadedComment24.xml" ContentType="application/vnd.ms-excel.threadedcomments+xml"/>
  <Override PartName="/xl/comments43.xml" ContentType="application/vnd.openxmlformats-officedocument.spreadsheetml.comments+xml"/>
  <Override PartName="/xl/threadedComments/threadedComment25.xml" ContentType="application/vnd.ms-excel.threadedcomments+xml"/>
  <Override PartName="/xl/comments44.xml" ContentType="application/vnd.openxmlformats-officedocument.spreadsheetml.comments+xml"/>
  <Override PartName="/xl/threadedComments/threadedComment26.xml" ContentType="application/vnd.ms-excel.threadedcomments+xml"/>
  <Override PartName="/xl/comments45.xml" ContentType="application/vnd.openxmlformats-officedocument.spreadsheetml.comments+xml"/>
  <Override PartName="/xl/threadedComments/threadedComment27.xml" ContentType="application/vnd.ms-excel.threadedcomments+xml"/>
  <Override PartName="/xl/comments46.xml" ContentType="application/vnd.openxmlformats-officedocument.spreadsheetml.comments+xml"/>
  <Override PartName="/xl/threadedComments/threadedComment28.xml" ContentType="application/vnd.ms-excel.threadedcomments+xml"/>
  <Override PartName="/xl/comments47.xml" ContentType="application/vnd.openxmlformats-officedocument.spreadsheetml.comments+xml"/>
  <Override PartName="/xl/threadedComments/threadedComment29.xml" ContentType="application/vnd.ms-excel.threadedcomments+xml"/>
  <Override PartName="/xl/comments48.xml" ContentType="application/vnd.openxmlformats-officedocument.spreadsheetml.comments+xml"/>
  <Override PartName="/xl/threadedComments/threadedComment30.xml" ContentType="application/vnd.ms-excel.threadedcomments+xml"/>
  <Override PartName="/xl/comments49.xml" ContentType="application/vnd.openxmlformats-officedocument.spreadsheetml.comments+xml"/>
  <Override PartName="/xl/threadedComments/threadedComment31.xml" ContentType="application/vnd.ms-excel.threadedcomments+xml"/>
  <Override PartName="/xl/comments50.xml" ContentType="application/vnd.openxmlformats-officedocument.spreadsheetml.comments+xml"/>
  <Override PartName="/xl/threadedComments/threadedComment32.xml" ContentType="application/vnd.ms-excel.threadedcomments+xml"/>
  <Override PartName="/xl/comments51.xml" ContentType="application/vnd.openxmlformats-officedocument.spreadsheetml.comments+xml"/>
  <Override PartName="/xl/threadedComments/threadedComment33.xml" ContentType="application/vnd.ms-excel.threadedcomments+xml"/>
  <Override PartName="/xl/comments52.xml" ContentType="application/vnd.openxmlformats-officedocument.spreadsheetml.comments+xml"/>
  <Override PartName="/xl/threadedComments/threadedComment34.xml" ContentType="application/vnd.ms-excel.threadedcomments+xml"/>
  <Override PartName="/xl/comments53.xml" ContentType="application/vnd.openxmlformats-officedocument.spreadsheetml.comments+xml"/>
  <Override PartName="/xl/threadedComments/threadedComment35.xml" ContentType="application/vnd.ms-excel.threadedcomments+xml"/>
  <Override PartName="/xl/comments54.xml" ContentType="application/vnd.openxmlformats-officedocument.spreadsheetml.comments+xml"/>
  <Override PartName="/xl/threadedComments/threadedComment36.xml" ContentType="application/vnd.ms-excel.threadedcomments+xml"/>
  <Override PartName="/xl/comments55.xml" ContentType="application/vnd.openxmlformats-officedocument.spreadsheetml.comments+xml"/>
  <Override PartName="/xl/threadedComments/threadedComment37.xml" ContentType="application/vnd.ms-excel.threadedcomments+xml"/>
  <Override PartName="/xl/comments56.xml" ContentType="application/vnd.openxmlformats-officedocument.spreadsheetml.comments+xml"/>
  <Override PartName="/xl/threadedComments/threadedComment38.xml" ContentType="application/vnd.ms-excel.threadedcomments+xml"/>
  <Override PartName="/xl/comments57.xml" ContentType="application/vnd.openxmlformats-officedocument.spreadsheetml.comments+xml"/>
  <Override PartName="/xl/threadedComments/threadedComment39.xml" ContentType="application/vnd.ms-excel.threadedcomments+xml"/>
  <Override PartName="/xl/comments58.xml" ContentType="application/vnd.openxmlformats-officedocument.spreadsheetml.comments+xml"/>
  <Override PartName="/xl/threadedComments/threadedComment40.xml" ContentType="application/vnd.ms-excel.threadedcomments+xml"/>
  <Override PartName="/xl/comments59.xml" ContentType="application/vnd.openxmlformats-officedocument.spreadsheetml.comments+xml"/>
  <Override PartName="/xl/threadedComments/threadedComment41.xml" ContentType="application/vnd.ms-excel.threadedcomments+xml"/>
  <Override PartName="/xl/comments60.xml" ContentType="application/vnd.openxmlformats-officedocument.spreadsheetml.comments+xml"/>
  <Override PartName="/xl/threadedComments/threadedComment42.xml" ContentType="application/vnd.ms-excel.threadedcomments+xml"/>
  <Override PartName="/xl/comments61.xml" ContentType="application/vnd.openxmlformats-officedocument.spreadsheetml.comments+xml"/>
  <Override PartName="/xl/threadedComments/threadedComment43.xml" ContentType="application/vnd.ms-excel.threadedcomments+xml"/>
  <Override PartName="/xl/comments62.xml" ContentType="application/vnd.openxmlformats-officedocument.spreadsheetml.comments+xml"/>
  <Override PartName="/xl/threadedComments/threadedComment44.xml" ContentType="application/vnd.ms-excel.threadedcomments+xml"/>
  <Override PartName="/xl/comments63.xml" ContentType="application/vnd.openxmlformats-officedocument.spreadsheetml.comments+xml"/>
  <Override PartName="/xl/threadedComments/threadedComment45.xml" ContentType="application/vnd.ms-excel.threadedcomments+xml"/>
  <Override PartName="/xl/comments64.xml" ContentType="application/vnd.openxmlformats-officedocument.spreadsheetml.comments+xml"/>
  <Override PartName="/xl/threadedComments/threadedComment46.xml" ContentType="application/vnd.ms-excel.threadedcomments+xml"/>
  <Override PartName="/xl/comments65.xml" ContentType="application/vnd.openxmlformats-officedocument.spreadsheetml.comments+xml"/>
  <Override PartName="/xl/threadedComments/threadedComment47.xml" ContentType="application/vnd.ms-excel.threadedcomments+xml"/>
  <Override PartName="/xl/comments66.xml" ContentType="application/vnd.openxmlformats-officedocument.spreadsheetml.comments+xml"/>
  <Override PartName="/xl/threadedComments/threadedComment48.xml" ContentType="application/vnd.ms-excel.threadedcomments+xml"/>
  <Override PartName="/xl/comments67.xml" ContentType="application/vnd.openxmlformats-officedocument.spreadsheetml.comments+xml"/>
  <Override PartName="/xl/threadedComments/threadedComment49.xml" ContentType="application/vnd.ms-excel.threadedcomments+xml"/>
  <Override PartName="/xl/comments68.xml" ContentType="application/vnd.openxmlformats-officedocument.spreadsheetml.comments+xml"/>
  <Override PartName="/xl/threadedComments/threadedComment50.xml" ContentType="application/vnd.ms-excel.threadedcomments+xml"/>
  <Override PartName="/xl/comments69.xml" ContentType="application/vnd.openxmlformats-officedocument.spreadsheetml.comments+xml"/>
  <Override PartName="/xl/threadedComments/threadedComment51.xml" ContentType="application/vnd.ms-excel.threadedcomments+xml"/>
  <Override PartName="/xl/comments70.xml" ContentType="application/vnd.openxmlformats-officedocument.spreadsheetml.comments+xml"/>
  <Override PartName="/xl/threadedComments/threadedComment52.xml" ContentType="application/vnd.ms-excel.threadedcomments+xml"/>
  <Override PartName="/xl/comments71.xml" ContentType="application/vnd.openxmlformats-officedocument.spreadsheetml.comments+xml"/>
  <Override PartName="/xl/threadedComments/threadedComment53.xml" ContentType="application/vnd.ms-excel.threadedcomments+xml"/>
  <Override PartName="/xl/comments72.xml" ContentType="application/vnd.openxmlformats-officedocument.spreadsheetml.comments+xml"/>
  <Override PartName="/xl/threadedComments/threadedComment54.xml" ContentType="application/vnd.ms-excel.threadedcomments+xml"/>
  <Override PartName="/xl/comments73.xml" ContentType="application/vnd.openxmlformats-officedocument.spreadsheetml.comments+xml"/>
  <Override PartName="/xl/threadedComments/threadedComment55.xml" ContentType="application/vnd.ms-excel.threadedcomments+xml"/>
  <Override PartName="/xl/comments74.xml" ContentType="application/vnd.openxmlformats-officedocument.spreadsheetml.comments+xml"/>
  <Override PartName="/xl/threadedComments/threadedComment56.xml" ContentType="application/vnd.ms-excel.threadedcomments+xml"/>
  <Override PartName="/xl/comments75.xml" ContentType="application/vnd.openxmlformats-officedocument.spreadsheetml.comments+xml"/>
  <Override PartName="/xl/threadedComments/threadedComment57.xml" ContentType="application/vnd.ms-excel.threadedcomments+xml"/>
  <Override PartName="/xl/comments76.xml" ContentType="application/vnd.openxmlformats-officedocument.spreadsheetml.comments+xml"/>
  <Override PartName="/xl/threadedComments/threadedComment58.xml" ContentType="application/vnd.ms-excel.threadedcomments+xml"/>
  <Override PartName="/xl/comments77.xml" ContentType="application/vnd.openxmlformats-officedocument.spreadsheetml.comments+xml"/>
  <Override PartName="/xl/threadedComments/threadedComment59.xml" ContentType="application/vnd.ms-excel.threadedcomments+xml"/>
  <Override PartName="/xl/comments78.xml" ContentType="application/vnd.openxmlformats-officedocument.spreadsheetml.comments+xml"/>
  <Override PartName="/xl/threadedComments/threadedComment60.xml" ContentType="application/vnd.ms-excel.threadedcomments+xml"/>
  <Override PartName="/xl/comments79.xml" ContentType="application/vnd.openxmlformats-officedocument.spreadsheetml.comments+xml"/>
  <Override PartName="/xl/threadedComments/threadedComment61.xml" ContentType="application/vnd.ms-excel.threadedcomments+xml"/>
  <Override PartName="/xl/comments80.xml" ContentType="application/vnd.openxmlformats-officedocument.spreadsheetml.comments+xml"/>
  <Override PartName="/xl/threadedComments/threadedComment62.xml" ContentType="application/vnd.ms-excel.threadedcomments+xml"/>
  <Override PartName="/xl/comments81.xml" ContentType="application/vnd.openxmlformats-officedocument.spreadsheetml.comments+xml"/>
  <Override PartName="/xl/threadedComments/threadedComment63.xml" ContentType="application/vnd.ms-excel.threadedcomments+xml"/>
  <Override PartName="/xl/comments82.xml" ContentType="application/vnd.openxmlformats-officedocument.spreadsheetml.comments+xml"/>
  <Override PartName="/xl/threadedComments/threadedComment64.xml" ContentType="application/vnd.ms-excel.threadedcomments+xml"/>
  <Override PartName="/xl/comments83.xml" ContentType="application/vnd.openxmlformats-officedocument.spreadsheetml.comments+xml"/>
  <Override PartName="/xl/threadedComments/threadedComment65.xml" ContentType="application/vnd.ms-excel.threadedcomments+xml"/>
  <Override PartName="/xl/comments84.xml" ContentType="application/vnd.openxmlformats-officedocument.spreadsheetml.comments+xml"/>
  <Override PartName="/xl/threadedComments/threadedComment66.xml" ContentType="application/vnd.ms-excel.threadedcomments+xml"/>
  <Override PartName="/xl/comments85.xml" ContentType="application/vnd.openxmlformats-officedocument.spreadsheetml.comments+xml"/>
  <Override PartName="/xl/threadedComments/threadedComment67.xml" ContentType="application/vnd.ms-excel.threadedcomments+xml"/>
  <Override PartName="/xl/comments86.xml" ContentType="application/vnd.openxmlformats-officedocument.spreadsheetml.comments+xml"/>
  <Override PartName="/xl/threadedComments/threadedComment68.xml" ContentType="application/vnd.ms-excel.threadedcomments+xml"/>
  <Override PartName="/xl/comments87.xml" ContentType="application/vnd.openxmlformats-officedocument.spreadsheetml.comments+xml"/>
  <Override PartName="/xl/threadedComments/threadedComment69.xml" ContentType="application/vnd.ms-excel.threadedcomments+xml"/>
  <Override PartName="/xl/comments88.xml" ContentType="application/vnd.openxmlformats-officedocument.spreadsheetml.comments+xml"/>
  <Override PartName="/xl/threadedComments/threadedComment70.xml" ContentType="application/vnd.ms-excel.threadedcomments+xml"/>
  <Override PartName="/xl/comments89.xml" ContentType="application/vnd.openxmlformats-officedocument.spreadsheetml.comments+xml"/>
  <Override PartName="/xl/threadedComments/threadedComment71.xml" ContentType="application/vnd.ms-excel.threadedcomments+xml"/>
  <Override PartName="/xl/comments90.xml" ContentType="application/vnd.openxmlformats-officedocument.spreadsheetml.comments+xml"/>
  <Override PartName="/xl/threadedComments/threadedComment72.xml" ContentType="application/vnd.ms-excel.threadedcomments+xml"/>
  <Override PartName="/xl/comments91.xml" ContentType="application/vnd.openxmlformats-officedocument.spreadsheetml.comments+xml"/>
  <Override PartName="/xl/threadedComments/threadedComment73.xml" ContentType="application/vnd.ms-excel.threadedcomments+xml"/>
  <Override PartName="/xl/comments92.xml" ContentType="application/vnd.openxmlformats-officedocument.spreadsheetml.comments+xml"/>
  <Override PartName="/xl/threadedComments/threadedComment74.xml" ContentType="application/vnd.ms-excel.threadedcomments+xml"/>
  <Override PartName="/xl/comments93.xml" ContentType="application/vnd.openxmlformats-officedocument.spreadsheetml.comments+xml"/>
  <Override PartName="/xl/threadedComments/threadedComment75.xml" ContentType="application/vnd.ms-excel.threadedcomments+xml"/>
  <Override PartName="/xl/comments94.xml" ContentType="application/vnd.openxmlformats-officedocument.spreadsheetml.comments+xml"/>
  <Override PartName="/xl/threadedComments/threadedComment76.xml" ContentType="application/vnd.ms-excel.threadedcomments+xml"/>
  <Override PartName="/xl/comments95.xml" ContentType="application/vnd.openxmlformats-officedocument.spreadsheetml.comments+xml"/>
  <Override PartName="/xl/threadedComments/threadedComment77.xml" ContentType="application/vnd.ms-excel.threadedcomments+xml"/>
  <Override PartName="/xl/comments96.xml" ContentType="application/vnd.openxmlformats-officedocument.spreadsheetml.comments+xml"/>
  <Override PartName="/xl/threadedComments/threadedComment78.xml" ContentType="application/vnd.ms-excel.threadedcomments+xml"/>
  <Override PartName="/xl/comments97.xml" ContentType="application/vnd.openxmlformats-officedocument.spreadsheetml.comments+xml"/>
  <Override PartName="/xl/threadedComments/threadedComment79.xml" ContentType="application/vnd.ms-excel.threadedcomments+xml"/>
  <Override PartName="/xl/comments98.xml" ContentType="application/vnd.openxmlformats-officedocument.spreadsheetml.comments+xml"/>
  <Override PartName="/xl/threadedComments/threadedComment80.xml" ContentType="application/vnd.ms-excel.threadedcomments+xml"/>
  <Override PartName="/xl/comments99.xml" ContentType="application/vnd.openxmlformats-officedocument.spreadsheetml.comments+xml"/>
  <Override PartName="/xl/threadedComments/threadedComment81.xml" ContentType="application/vnd.ms-excel.threadedcomments+xml"/>
  <Override PartName="/xl/comments100.xml" ContentType="application/vnd.openxmlformats-officedocument.spreadsheetml.comments+xml"/>
  <Override PartName="/xl/threadedComments/threadedComment82.xml" ContentType="application/vnd.ms-excel.threadedcomments+xml"/>
  <Override PartName="/xl/comments101.xml" ContentType="application/vnd.openxmlformats-officedocument.spreadsheetml.comments+xml"/>
  <Override PartName="/xl/threadedComments/threadedComment83.xml" ContentType="application/vnd.ms-excel.threadedcomments+xml"/>
  <Override PartName="/xl/comments102.xml" ContentType="application/vnd.openxmlformats-officedocument.spreadsheetml.comments+xml"/>
  <Override PartName="/xl/threadedComments/threadedComment84.xml" ContentType="application/vnd.ms-excel.threadedcomments+xml"/>
  <Override PartName="/xl/comments103.xml" ContentType="application/vnd.openxmlformats-officedocument.spreadsheetml.comments+xml"/>
  <Override PartName="/xl/threadedComments/threadedComment85.xml" ContentType="application/vnd.ms-excel.threadedcomments+xml"/>
  <Override PartName="/xl/comments104.xml" ContentType="application/vnd.openxmlformats-officedocument.spreadsheetml.comments+xml"/>
  <Override PartName="/xl/threadedComments/threadedComment86.xml" ContentType="application/vnd.ms-excel.threadedcomments+xml"/>
  <Override PartName="/xl/comments105.xml" ContentType="application/vnd.openxmlformats-officedocument.spreadsheetml.comments+xml"/>
  <Override PartName="/xl/threadedComments/threadedComment87.xml" ContentType="application/vnd.ms-excel.threadedcomments+xml"/>
  <Override PartName="/xl/comments106.xml" ContentType="application/vnd.openxmlformats-officedocument.spreadsheetml.comments+xml"/>
  <Override PartName="/xl/threadedComments/threadedComment88.xml" ContentType="application/vnd.ms-excel.threadedcomments+xml"/>
  <Override PartName="/xl/comments107.xml" ContentType="application/vnd.openxmlformats-officedocument.spreadsheetml.comments+xml"/>
  <Override PartName="/xl/threadedComments/threadedComment89.xml" ContentType="application/vnd.ms-excel.threadedcomments+xml"/>
  <Override PartName="/xl/comments108.xml" ContentType="application/vnd.openxmlformats-officedocument.spreadsheetml.comments+xml"/>
  <Override PartName="/xl/threadedComments/threadedComment90.xml" ContentType="application/vnd.ms-excel.threadedcomments+xml"/>
  <Override PartName="/xl/tables/table1.xml" ContentType="application/vnd.openxmlformats-officedocument.spreadsheetml.table+xml"/>
  <Override PartName="/xl/queryTables/queryTable1.xml" ContentType="application/vnd.openxmlformats-officedocument.spreadsheetml.queryTable+xml"/>
  <Override PartName="/xl/comments109.xml" ContentType="application/vnd.openxmlformats-officedocument.spreadsheetml.comments+xml"/>
  <Override PartName="/xl/threadedComments/threadedComment91.xml" ContentType="application/vnd.ms-excel.threadedcomments+xml"/>
  <Override PartName="/xl/comments110.xml" ContentType="application/vnd.openxmlformats-officedocument.spreadsheetml.comments+xml"/>
  <Override PartName="/xl/threadedComments/threadedComment92.xml" ContentType="application/vnd.ms-excel.threadedcomments+xml"/>
  <Override PartName="/xl/comments111.xml" ContentType="application/vnd.openxmlformats-officedocument.spreadsheetml.comments+xml"/>
  <Override PartName="/xl/threadedComments/threadedComment93.xml" ContentType="application/vnd.ms-excel.threadedcomments+xml"/>
  <Override PartName="/xl/comments112.xml" ContentType="application/vnd.openxmlformats-officedocument.spreadsheetml.comments+xml"/>
  <Override PartName="/xl/threadedComments/threadedComment94.xml" ContentType="application/vnd.ms-excel.threadedcomments+xml"/>
  <Override PartName="/xl/comments113.xml" ContentType="application/vnd.openxmlformats-officedocument.spreadsheetml.comments+xml"/>
  <Override PartName="/xl/threadedComments/threadedComment95.xml" ContentType="application/vnd.ms-excel.threadedcomments+xml"/>
  <Override PartName="/xl/comments114.xml" ContentType="application/vnd.openxmlformats-officedocument.spreadsheetml.comments+xml"/>
  <Override PartName="/xl/threadedComments/threadedComment96.xml" ContentType="application/vnd.ms-excel.threadedcomments+xml"/>
  <Override PartName="/xl/comments115.xml" ContentType="application/vnd.openxmlformats-officedocument.spreadsheetml.comments+xml"/>
  <Override PartName="/xl/threadedComments/threadedComment97.xml" ContentType="application/vnd.ms-excel.threadedcomments+xml"/>
  <Override PartName="/xl/comments116.xml" ContentType="application/vnd.openxmlformats-officedocument.spreadsheetml.comments+xml"/>
  <Override PartName="/xl/threadedComments/threadedComment98.xml" ContentType="application/vnd.ms-excel.threadedcomments+xml"/>
  <Override PartName="/xl/comments117.xml" ContentType="application/vnd.openxmlformats-officedocument.spreadsheetml.comments+xml"/>
  <Override PartName="/xl/threadedComments/threadedComment99.xml" ContentType="application/vnd.ms-excel.threadedcomments+xml"/>
  <Override PartName="/xl/comments118.xml" ContentType="application/vnd.openxmlformats-officedocument.spreadsheetml.comments+xml"/>
  <Override PartName="/xl/threadedComments/threadedComment100.xml" ContentType="application/vnd.ms-excel.threadedcomments+xml"/>
  <Override PartName="/xl/comments119.xml" ContentType="application/vnd.openxmlformats-officedocument.spreadsheetml.comments+xml"/>
  <Override PartName="/xl/threadedComments/threadedComment101.xml" ContentType="application/vnd.ms-excel.threadedcomments+xml"/>
  <Override PartName="/xl/comments120.xml" ContentType="application/vnd.openxmlformats-officedocument.spreadsheetml.comments+xml"/>
  <Override PartName="/xl/threadedComments/threadedComment102.xml" ContentType="application/vnd.ms-excel.threadedcomments+xml"/>
  <Override PartName="/xl/comments121.xml" ContentType="application/vnd.openxmlformats-officedocument.spreadsheetml.comments+xml"/>
  <Override PartName="/xl/threadedComments/threadedComment103.xml" ContentType="application/vnd.ms-excel.threadedcomments+xml"/>
  <Override PartName="/xl/comments122.xml" ContentType="application/vnd.openxmlformats-officedocument.spreadsheetml.comments+xml"/>
  <Override PartName="/xl/threadedComments/threadedComment104.xml" ContentType="application/vnd.ms-excel.threadedcomments+xml"/>
  <Override PartName="/xl/comments123.xml" ContentType="application/vnd.openxmlformats-officedocument.spreadsheetml.comments+xml"/>
  <Override PartName="/xl/threadedComments/threadedComment105.xml" ContentType="application/vnd.ms-excel.threadedcomments+xml"/>
  <Override PartName="/xl/comments124.xml" ContentType="application/vnd.openxmlformats-officedocument.spreadsheetml.comments+xml"/>
  <Override PartName="/xl/threadedComments/threadedComment106.xml" ContentType="application/vnd.ms-excel.threadedcomments+xml"/>
  <Override PartName="/xl/comments125.xml" ContentType="application/vnd.openxmlformats-officedocument.spreadsheetml.comments+xml"/>
  <Override PartName="/xl/threadedComments/threadedComment107.xml" ContentType="application/vnd.ms-excel.threadedcomments+xml"/>
  <Override PartName="/xl/comments126.xml" ContentType="application/vnd.openxmlformats-officedocument.spreadsheetml.comments+xml"/>
  <Override PartName="/xl/threadedComments/threadedComment108.xml" ContentType="application/vnd.ms-excel.threadedcomments+xml"/>
  <Override PartName="/xl/comments127.xml" ContentType="application/vnd.openxmlformats-officedocument.spreadsheetml.comments+xml"/>
  <Override PartName="/xl/threadedComments/threadedComment109.xml" ContentType="application/vnd.ms-excel.threadedcomments+xml"/>
  <Override PartName="/xl/comments128.xml" ContentType="application/vnd.openxmlformats-officedocument.spreadsheetml.comments+xml"/>
  <Override PartName="/xl/threadedComments/threadedComment110.xml" ContentType="application/vnd.ms-excel.threadedcomments+xml"/>
  <Override PartName="/xl/comments129.xml" ContentType="application/vnd.openxmlformats-officedocument.spreadsheetml.comments+xml"/>
  <Override PartName="/xl/threadedComments/threadedComment111.xml" ContentType="application/vnd.ms-excel.threadedcomments+xml"/>
  <Override PartName="/xl/comments130.xml" ContentType="application/vnd.openxmlformats-officedocument.spreadsheetml.comments+xml"/>
  <Override PartName="/xl/threadedComments/threadedComment112.xml" ContentType="application/vnd.ms-excel.threadedcomments+xml"/>
  <Override PartName="/xl/comments131.xml" ContentType="application/vnd.openxmlformats-officedocument.spreadsheetml.comments+xml"/>
  <Override PartName="/xl/threadedComments/threadedComment113.xml" ContentType="application/vnd.ms-excel.threadedcomments+xml"/>
  <Override PartName="/xl/comments132.xml" ContentType="application/vnd.openxmlformats-officedocument.spreadsheetml.comments+xml"/>
  <Override PartName="/xl/threadedComments/threadedComment114.xml" ContentType="application/vnd.ms-excel.threadedcomments+xml"/>
  <Override PartName="/xl/comments133.xml" ContentType="application/vnd.openxmlformats-officedocument.spreadsheetml.comments+xml"/>
  <Override PartName="/xl/threadedComments/threadedComment115.xml" ContentType="application/vnd.ms-excel.threadedcomments+xml"/>
  <Override PartName="/xl/comments134.xml" ContentType="application/vnd.openxmlformats-officedocument.spreadsheetml.comments+xml"/>
  <Override PartName="/xl/threadedComments/threadedComment116.xml" ContentType="application/vnd.ms-excel.threadedcomments+xml"/>
  <Override PartName="/xl/comments135.xml" ContentType="application/vnd.openxmlformats-officedocument.spreadsheetml.comments+xml"/>
  <Override PartName="/xl/threadedComments/threadedComment117.xml" ContentType="application/vnd.ms-excel.threadedcomments+xml"/>
  <Override PartName="/xl/comments136.xml" ContentType="application/vnd.openxmlformats-officedocument.spreadsheetml.comments+xml"/>
  <Override PartName="/xl/threadedComments/threadedComment118.xml" ContentType="application/vnd.ms-excel.threadedcomments+xml"/>
  <Override PartName="/xl/comments137.xml" ContentType="application/vnd.openxmlformats-officedocument.spreadsheetml.comments+xml"/>
  <Override PartName="/xl/threadedComments/threadedComment119.xml" ContentType="application/vnd.ms-excel.threadedcomments+xml"/>
  <Override PartName="/xl/comments138.xml" ContentType="application/vnd.openxmlformats-officedocument.spreadsheetml.comments+xml"/>
  <Override PartName="/xl/threadedComments/threadedComment120.xml" ContentType="application/vnd.ms-excel.threadedcomments+xml"/>
  <Override PartName="/xl/comments139.xml" ContentType="application/vnd.openxmlformats-officedocument.spreadsheetml.comments+xml"/>
  <Override PartName="/xl/threadedComments/threadedComment121.xml" ContentType="application/vnd.ms-excel.threadedcomments+xml"/>
  <Override PartName="/xl/comments140.xml" ContentType="application/vnd.openxmlformats-officedocument.spreadsheetml.comments+xml"/>
  <Override PartName="/xl/threadedComments/threadedComment122.xml" ContentType="application/vnd.ms-excel.threadedcomments+xml"/>
  <Override PartName="/xl/comments141.xml" ContentType="application/vnd.openxmlformats-officedocument.spreadsheetml.comments+xml"/>
  <Override PartName="/xl/threadedComments/threadedComment123.xml" ContentType="application/vnd.ms-excel.threadedcomments+xml"/>
  <Override PartName="/xl/comments142.xml" ContentType="application/vnd.openxmlformats-officedocument.spreadsheetml.comments+xml"/>
  <Override PartName="/xl/threadedComments/threadedComment124.xml" ContentType="application/vnd.ms-excel.threadedcomments+xml"/>
  <Override PartName="/xl/comments143.xml" ContentType="application/vnd.openxmlformats-officedocument.spreadsheetml.comments+xml"/>
  <Override PartName="/xl/threadedComments/threadedComment12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showInkAnnotation="0" codeName="ThisWorkbook"/>
  <mc:AlternateContent xmlns:mc="http://schemas.openxmlformats.org/markup-compatibility/2006">
    <mc:Choice Requires="x15">
      <x15ac:absPath xmlns:x15ac="http://schemas.microsoft.com/office/spreadsheetml/2010/11/ac" url="C:\dev\3mv3\zero_sum\"/>
    </mc:Choice>
  </mc:AlternateContent>
  <xr:revisionPtr revIDLastSave="0" documentId="13_ncr:1_{DA180BF8-96A0-4F12-AFB5-78574D76A464}" xr6:coauthVersionLast="47" xr6:coauthVersionMax="47" xr10:uidLastSave="{00000000-0000-0000-0000-000000000000}"/>
  <bookViews>
    <workbookView xWindow="-108" yWindow="0" windowWidth="17280" windowHeight="8880" tabRatio="737" activeTab="181" xr2:uid="{956B73A5-08B1-4CB4-9C09-F38E06A0D1D1}"/>
  </bookViews>
  <sheets>
    <sheet name="Gifts" sheetId="74" r:id="rId1"/>
    <sheet name="5 week template" sheetId="46" state="hidden" r:id="rId2"/>
    <sheet name="4 week template" sheetId="26" state="hidden" r:id="rId3"/>
    <sheet name="Wages 2014" sheetId="41" state="hidden" r:id="rId4"/>
    <sheet name="Wages 2015" sheetId="42" state="hidden" r:id="rId5"/>
    <sheet name="Wages 2016" sheetId="2" state="hidden" r:id="rId6"/>
    <sheet name="BRI Wages 2017" sheetId="36" state="hidden" r:id="rId7"/>
    <sheet name="Savings 2017" sheetId="32" state="hidden" r:id="rId8"/>
    <sheet name="SFE Repayments" sheetId="27" state="hidden" r:id="rId9"/>
    <sheet name="Wages 2018" sheetId="48" state="hidden" r:id="rId10"/>
    <sheet name="LFHA Wages 2017" sheetId="52" state="hidden" r:id="rId11"/>
    <sheet name="Joint Outgoings" sheetId="1" state="hidden" r:id="rId12"/>
    <sheet name="FEB-MAR 2017" sheetId="25" state="hidden" r:id="rId13"/>
    <sheet name="MAR-APR 2017" sheetId="47" state="hidden" r:id="rId14"/>
    <sheet name="APR-MAY 2017" sheetId="50" state="hidden" r:id="rId15"/>
    <sheet name="MAY-JUN 2017" sheetId="51" state="hidden" r:id="rId16"/>
    <sheet name="JAN-FEB 2017" sheetId="45" state="hidden" r:id="rId17"/>
    <sheet name="Birthdays 2016" sheetId="30" state="hidden" r:id="rId18"/>
    <sheet name="Jury 2016" sheetId="9" state="hidden" r:id="rId19"/>
    <sheet name="MAR-APR 2016" sheetId="8" state="hidden" r:id="rId20"/>
    <sheet name="APR-MAY 2016" sheetId="15" state="hidden" r:id="rId21"/>
    <sheet name="MAY-JUN 2016" sheetId="20" state="hidden" r:id="rId22"/>
    <sheet name="JUN-JUL 2016" sheetId="21" state="hidden" r:id="rId23"/>
    <sheet name="JUL-AUG 2016" sheetId="23" state="hidden" r:id="rId24"/>
    <sheet name="AUG-SEP 2016" sheetId="28" state="hidden" r:id="rId25"/>
    <sheet name="Birthdays 2017" sheetId="34" state="hidden" r:id="rId26"/>
    <sheet name="Christmas 2018" sheetId="75" state="hidden" r:id="rId27"/>
    <sheet name="Christmas 2017" sheetId="58" state="hidden" r:id="rId28"/>
    <sheet name="Christmas 2016" sheetId="33" state="hidden" r:id="rId29"/>
    <sheet name="SEP-OCT 2016" sheetId="31" state="hidden" r:id="rId30"/>
    <sheet name="OCT-NOV 2016" sheetId="35" state="hidden" r:id="rId31"/>
    <sheet name="NOV-DEC 2016" sheetId="38" state="hidden" r:id="rId32"/>
    <sheet name="DEC-JAN 2016" sheetId="43" state="hidden" r:id="rId33"/>
    <sheet name="JUN-JUL 2017" sheetId="54" state="hidden" r:id="rId34"/>
    <sheet name="AUG-SEP 2017" sheetId="55" state="hidden" r:id="rId35"/>
    <sheet name="SEP-OCT 2017" sheetId="56" state="hidden" r:id="rId36"/>
    <sheet name="NOV-DEC 2017" sheetId="59" state="hidden" r:id="rId37"/>
    <sheet name="DEC-JAN 2017" sheetId="60" state="hidden" r:id="rId38"/>
    <sheet name="JAN-FEB 2018" sheetId="61" state="hidden" r:id="rId39"/>
    <sheet name="FEB-MAR 2018" sheetId="63" state="hidden" r:id="rId40"/>
    <sheet name="MAR-APR 2018" sheetId="65" state="hidden" r:id="rId41"/>
    <sheet name="APR-MAY 2018" sheetId="68" state="hidden" r:id="rId42"/>
    <sheet name="MAY-JUN 2018" sheetId="77" state="hidden" r:id="rId43"/>
    <sheet name="JUN-JUL 2018" sheetId="79" state="hidden" r:id="rId44"/>
    <sheet name="JUL-AUG 2018" sheetId="81" state="hidden" r:id="rId45"/>
    <sheet name="AUG-SEP 2018" sheetId="84" state="hidden" r:id="rId46"/>
    <sheet name="SEP-OCT 2018" sheetId="82" state="hidden" r:id="rId47"/>
    <sheet name="OCT-NOV 2018" sheetId="85" state="hidden" r:id="rId48"/>
    <sheet name="NOV-DEC 2018" sheetId="86" state="hidden" r:id="rId49"/>
    <sheet name="DEC-JAN 2019" sheetId="87" state="hidden" r:id="rId50"/>
    <sheet name="JAN-FEB 2019" sheetId="88" state="hidden" r:id="rId51"/>
    <sheet name="JAN-FEB 2019 (2)" sheetId="90" state="hidden" r:id="rId52"/>
    <sheet name="FEB-MAR 2019" sheetId="98" state="hidden" r:id="rId53"/>
    <sheet name="MAR-APR 2019" sheetId="99" state="hidden" r:id="rId54"/>
    <sheet name="APR-MAY 2019" sheetId="101" state="hidden" r:id="rId55"/>
    <sheet name="MAY-JUN 2019" sheetId="102" state="hidden" r:id="rId56"/>
    <sheet name="JUN-JUL 2019" sheetId="108" state="hidden" r:id="rId57"/>
    <sheet name="JUL-AUG 2019" sheetId="105" state="hidden" r:id="rId58"/>
    <sheet name="AUG-SEP 2019" sheetId="111" state="hidden" r:id="rId59"/>
    <sheet name="Mortgage" sheetId="151" state="hidden" r:id="rId60"/>
    <sheet name="Avios" sheetId="204" state="hidden" r:id="rId61"/>
    <sheet name="Home Contents" sheetId="171" state="hidden" r:id="rId62"/>
    <sheet name="SEP-OCT 2019" sheetId="117" state="hidden" r:id="rId63"/>
    <sheet name="SEP-OCT 2019 (2)" sheetId="121" state="hidden" r:id="rId64"/>
    <sheet name="SEP-OCT 2019 (3)" sheetId="122" state="hidden" r:id="rId65"/>
    <sheet name="SEP-OCT 2019 (4)" sheetId="123" state="hidden" r:id="rId66"/>
    <sheet name="OCT-NOV 2019" sheetId="118" state="hidden" r:id="rId67"/>
    <sheet name="NOV-DEC 2019" sheetId="124" state="hidden" r:id="rId68"/>
    <sheet name="Student Loan" sheetId="131" state="hidden" r:id="rId69"/>
    <sheet name="DEC-JAN 2020" sheetId="126" state="hidden" r:id="rId70"/>
    <sheet name="JAN-FEB 2020" sheetId="132" state="hidden" r:id="rId71"/>
    <sheet name="FEB-MAR 2020" sheetId="134" state="hidden" r:id="rId72"/>
    <sheet name="MAR-APR 2020" sheetId="136" state="hidden" r:id="rId73"/>
    <sheet name="APR-MAY 2020" sheetId="138" state="hidden" r:id="rId74"/>
    <sheet name="MAY-JUN 2020" sheetId="140" state="hidden" r:id="rId75"/>
    <sheet name="JUN-JUL 2020" sheetId="141" state="hidden" r:id="rId76"/>
    <sheet name="JUL-AUG 2020" sheetId="143" state="hidden" r:id="rId77"/>
    <sheet name="AUG-SEP 2020" sheetId="144" state="hidden" r:id="rId78"/>
    <sheet name="SEP-OCT 2020" sheetId="147" state="hidden" r:id="rId79"/>
    <sheet name="OCT-NOV 2020" sheetId="148" state="hidden" r:id="rId80"/>
    <sheet name="NOV-DEC 2020" sheetId="149" state="hidden" r:id="rId81"/>
    <sheet name="DEC-JAN 2021" sheetId="150" state="hidden" r:id="rId82"/>
    <sheet name="JAN-FEB 2021" sheetId="153" state="hidden" r:id="rId83"/>
    <sheet name="FEB-MAR 2021" sheetId="155" state="hidden" r:id="rId84"/>
    <sheet name="MAR-APR 2021" sheetId="156" state="hidden" r:id="rId85"/>
    <sheet name="APR-MAY 2021" sheetId="157" state="hidden" r:id="rId86"/>
    <sheet name="MAY-JUN 2021" sheetId="158" state="hidden" r:id="rId87"/>
    <sheet name="JUN-JUL 2021" sheetId="159" state="hidden" r:id="rId88"/>
    <sheet name="JUL-AUG 2021" sheetId="160" state="hidden" r:id="rId89"/>
    <sheet name="AUG-SEP 2021" sheetId="162" state="hidden" r:id="rId90"/>
    <sheet name="SEP-OCT 2021" sheetId="163" state="hidden" r:id="rId91"/>
    <sheet name="OCT-NOV 2021" sheetId="164" state="hidden" r:id="rId92"/>
    <sheet name="NOV-DEC 2021" sheetId="166" state="hidden" r:id="rId93"/>
    <sheet name="DEC-JAN 2022" sheetId="167" state="hidden" r:id="rId94"/>
    <sheet name="JAN-FEB 2022" sheetId="168" state="hidden" r:id="rId95"/>
    <sheet name="FEB-MAR 2022" sheetId="169" state="hidden" r:id="rId96"/>
    <sheet name="MAR-APR 2022" sheetId="170" state="hidden" r:id="rId97"/>
    <sheet name="APR-MAY 2022" sheetId="172" state="hidden" r:id="rId98"/>
    <sheet name="Sheet1" sheetId="152" state="hidden" r:id="rId99"/>
    <sheet name="OCT-2021 ONW" sheetId="146" state="hidden" r:id="rId100"/>
    <sheet name="2022 Goals" sheetId="145" state="hidden" r:id="rId101"/>
    <sheet name="OCT-NOV 2017" sheetId="57" state="hidden" r:id="rId102"/>
    <sheet name="MAY-JUN 2022" sheetId="173" state="hidden" r:id="rId103"/>
    <sheet name="JUN-JUL 2022" sheetId="175" state="hidden" r:id="rId104"/>
    <sheet name="JUL-AUG 2022" sheetId="176" state="hidden" r:id="rId105"/>
    <sheet name="AUG-SEP 2022" sheetId="178" state="hidden" r:id="rId106"/>
    <sheet name="SEP-OCT 2022" sheetId="180" state="hidden" r:id="rId107"/>
    <sheet name="OCT-NOV 2022" sheetId="181" state="hidden" r:id="rId108"/>
    <sheet name="NOV-DEC 2022" sheetId="179" state="hidden" r:id="rId109"/>
    <sheet name="DEC-JAN 2023" sheetId="182" state="hidden" r:id="rId110"/>
    <sheet name="Remortgage" sheetId="198" state="hidden" r:id="rId111"/>
    <sheet name="Wedding" sheetId="197" state="hidden" r:id="rId112"/>
    <sheet name="Accounts" sheetId="211" state="hidden" r:id="rId113"/>
    <sheet name="PTO" sheetId="220" state="hidden" r:id="rId114"/>
    <sheet name="Rosita Claim" sheetId="215" state="hidden" r:id="rId115"/>
    <sheet name="JAN-FEB 2023" sheetId="183" state="hidden" r:id="rId116"/>
    <sheet name="FEB-MAR 2023" sheetId="184" state="hidden" r:id="rId117"/>
    <sheet name="MAR-APR 2023" sheetId="185" state="hidden" r:id="rId118"/>
    <sheet name="APR-MAY 2023" sheetId="187" state="hidden" r:id="rId119"/>
    <sheet name="MAY-JUN 2023" sheetId="188" state="hidden" r:id="rId120"/>
    <sheet name="JUN-JUL 2023" sheetId="186" state="hidden" r:id="rId121"/>
    <sheet name="JUL-AUG 2023" sheetId="193" state="hidden" r:id="rId122"/>
    <sheet name="AUG-SEP 2023" sheetId="194" state="hidden" r:id="rId123"/>
    <sheet name="SEP-OCT 2023" sheetId="195" state="hidden" r:id="rId124"/>
    <sheet name="OCT-NOV 23" sheetId="199" state="hidden" r:id="rId125"/>
    <sheet name="NOV-DEC 23" sheetId="200" state="hidden" r:id="rId126"/>
    <sheet name="DEC-JAN 24" sheetId="201" state="hidden" r:id="rId127"/>
    <sheet name="JAN-FEB 24" sheetId="202" state="hidden" r:id="rId128"/>
    <sheet name="FEB-MAR 24" sheetId="203" state="hidden" r:id="rId129"/>
    <sheet name="MAR-APR 24" sheetId="205" state="hidden" r:id="rId130"/>
    <sheet name="APR-MAY 24" sheetId="207" state="hidden" r:id="rId131"/>
    <sheet name="MAY-JUN 24" sheetId="208" state="hidden" r:id="rId132"/>
    <sheet name="JUN-JUL 24" sheetId="209" state="hidden" r:id="rId133"/>
    <sheet name="JUL-AUG 24" sheetId="213" state="hidden" r:id="rId134"/>
    <sheet name="AUG-SEP 24" sheetId="216" state="hidden" r:id="rId135"/>
    <sheet name="SEP-OCT 24" sheetId="217" state="hidden" r:id="rId136"/>
    <sheet name="OCT-NOV 24" sheetId="226" state="hidden" r:id="rId137"/>
    <sheet name="NOV-DEC 24" sheetId="227" state="hidden" r:id="rId138"/>
    <sheet name="DEC-JAN 25" sheetId="228" state="hidden" r:id="rId139"/>
    <sheet name="JAN-FEB 25" sheetId="230" state="hidden" r:id="rId140"/>
    <sheet name="NEW HOME (IMMEDIATE)" sheetId="229" state="hidden" r:id="rId141"/>
    <sheet name="FEB-MAR 25" sheetId="231" state="hidden" r:id="rId142"/>
    <sheet name="MAR-APR 25" sheetId="233" state="hidden" r:id="rId143"/>
    <sheet name="APR-MAY 25" sheetId="234" state="hidden" r:id="rId144"/>
    <sheet name="MAY-JUN 25" sheetId="236" state="hidden" r:id="rId145"/>
    <sheet name="JUN-JUL 25" sheetId="237" state="hidden" r:id="rId146"/>
    <sheet name="JUL-AUG 25" sheetId="238" state="hidden" r:id="rId147"/>
    <sheet name="AUG-SEP 25" sheetId="243" state="hidden" r:id="rId148"/>
    <sheet name="Vegas 2025" sheetId="251" state="hidden" r:id="rId149"/>
    <sheet name="Thailand 2025" sheetId="249" state="hidden" r:id="rId150"/>
    <sheet name="NEW HOME (NEAR FUTURE)" sheetId="250" state="hidden" r:id="rId151"/>
    <sheet name="avios (2)" sheetId="246" state="hidden" r:id="rId152"/>
    <sheet name="Tier Points" sheetId="241" state="hidden" r:id="rId153"/>
    <sheet name="Avios Flow" sheetId="232" state="hidden" r:id="rId154"/>
    <sheet name="SEP-OCT 25" sheetId="247" state="hidden" r:id="rId155"/>
    <sheet name="Travel Insurance Claim" sheetId="254" state="hidden" r:id="rId156"/>
    <sheet name="OCT-NOV 25" sheetId="252" state="hidden" r:id="rId157"/>
    <sheet name="NOV-DEC 25" sheetId="253" state="hidden" r:id="rId158"/>
    <sheet name="PTO 2025" sheetId="258" state="hidden" r:id="rId159"/>
    <sheet name="DEC-JAN 26" sheetId="261" state="hidden" r:id="rId160"/>
    <sheet name="JAN-FEB 26" sheetId="266" state="hidden" r:id="rId161"/>
    <sheet name="Vitality 2026" sheetId="274" state="hidden" r:id="rId162"/>
    <sheet name="Renewals" sheetId="268" state="hidden" r:id="rId163"/>
    <sheet name="Direct Debits" sheetId="263" state="hidden" r:id="rId164"/>
    <sheet name="2026 Euro" sheetId="262" state="hidden" r:id="rId165"/>
    <sheet name="Sinking Fund" sheetId="129" r:id="rId166"/>
    <sheet name="Debt" sheetId="242" r:id="rId167"/>
    <sheet name="LONG TERM" sheetId="248" state="hidden" r:id="rId168"/>
    <sheet name="Bonus Tracker 2024" sheetId="239" state="hidden" r:id="rId169"/>
    <sheet name="Bonus Tracker 2025" sheetId="240" state="hidden" r:id="rId170"/>
    <sheet name="Bonus Tracker 2026" sheetId="278" state="hidden" r:id="rId171"/>
    <sheet name="Savings" sheetId="271" r:id="rId172"/>
    <sheet name="PTO 2026" sheetId="259" state="hidden" r:id="rId173"/>
    <sheet name="Gas + Elec" sheetId="270" state="hidden" r:id="rId174"/>
    <sheet name="FEB-MAR 26" sheetId="275" state="hidden" r:id="rId175"/>
    <sheet name="MAR-APR 26" sheetId="276" state="hidden" r:id="rId176"/>
    <sheet name="Scotland 2026" sheetId="273" state="hidden" r:id="rId177"/>
    <sheet name="APR-MAY 26" sheetId="281" state="hidden" r:id="rId178"/>
    <sheet name="Latvia 2026" sheetId="287" state="hidden" r:id="rId179"/>
    <sheet name="MAY-JUN 26" sheetId="282" state="hidden" r:id="rId180"/>
    <sheet name="JUN-JUL 26" sheetId="289" state="hidden" r:id="rId181"/>
    <sheet name="JUL-AUG 26" sheetId="291" r:id="rId182"/>
    <sheet name="HOL - Italy 2026" sheetId="286" state="hidden" r:id="rId183"/>
    <sheet name="AUG-SEP 26" sheetId="294" state="hidden" r:id="rId184"/>
    <sheet name="SEP-OCT 26" sheetId="296" state="hidden" r:id="rId185"/>
    <sheet name="OCT-NOV 26" sheetId="300" state="hidden" r:id="rId186"/>
    <sheet name="HOL - Bali 2026" sheetId="255" state="hidden" r:id="rId187"/>
    <sheet name="HOL - Barbados 2027" sheetId="293" state="hidden" r:id="rId188"/>
    <sheet name="HOL - Scotland 2027" sheetId="297" state="hidden" r:id="rId189"/>
    <sheet name="HOL - Scarborough 2027" sheetId="299" state="hidden" r:id="rId190"/>
    <sheet name="HOL - Greece 2027" sheetId="295" state="hidden" r:id="rId191"/>
    <sheet name="NY 2026" sheetId="292" state="hidden" r:id="rId192"/>
    <sheet name="HOL - Santorini 2026" sheetId="264" state="hidden" r:id="rId193"/>
    <sheet name="LA 2026" sheetId="265" state="hidden" r:id="rId194"/>
    <sheet name="HOL - Dolomites 2027" sheetId="288" state="hidden" r:id="rId195"/>
    <sheet name="eBay" sheetId="235" state="hidden" r:id="rId196"/>
    <sheet name="Cars" sheetId="177" state="hidden" r:id="rId197"/>
  </sheets>
  <definedNames>
    <definedName name="_xlnm._FilterDatabase" localSheetId="2" hidden="1">'4 week template'!$A$13:$H$20</definedName>
    <definedName name="_xlnm._FilterDatabase" localSheetId="1" hidden="1">'5 week template'!$A$13:$I$20</definedName>
    <definedName name="_xlnm._FilterDatabase" localSheetId="14" hidden="1">'APR-MAY 2017'!$A$14:$I$22</definedName>
    <definedName name="_xlnm._FilterDatabase" localSheetId="41" hidden="1">'APR-MAY 2018'!$A$14:$H$18</definedName>
    <definedName name="_xlnm._FilterDatabase" localSheetId="54" hidden="1">'APR-MAY 2019'!$A$22:$H$25</definedName>
    <definedName name="_xlnm._FilterDatabase" localSheetId="34" hidden="1">'AUG-SEP 2017'!$A$14:$H$17</definedName>
    <definedName name="_xlnm._FilterDatabase" localSheetId="45" hidden="1">'AUG-SEP 2018'!$A$21:$H$24</definedName>
    <definedName name="_xlnm._FilterDatabase" localSheetId="37" hidden="1">'DEC-JAN 2017'!$A$14:$H$17</definedName>
    <definedName name="_xlnm._FilterDatabase" localSheetId="49" hidden="1">'DEC-JAN 2019'!$A$21:$H$24</definedName>
    <definedName name="_xlnm._FilterDatabase" localSheetId="39" hidden="1">'FEB-MAR 2018'!$A$15:$H$17</definedName>
    <definedName name="_xlnm._FilterDatabase" localSheetId="52" hidden="1">'FEB-MAR 2019'!$A$21:$H$24</definedName>
    <definedName name="_xlnm._FilterDatabase" localSheetId="173" hidden="1">'Gas + Elec'!$A$1:$A$27</definedName>
    <definedName name="_xlnm._FilterDatabase" localSheetId="38" hidden="1">'JAN-FEB 2018'!$A$15:$H$17</definedName>
    <definedName name="_xlnm._FilterDatabase" localSheetId="50" hidden="1">'JAN-FEB 2019'!$A$21:$H$24</definedName>
    <definedName name="_xlnm._FilterDatabase" localSheetId="51" hidden="1">'JAN-FEB 2019 (2)'!$A$20:$H$23</definedName>
    <definedName name="_xlnm._FilterDatabase" localSheetId="44" hidden="1">'JUL-AUG 2018'!$A$21:$H$24</definedName>
    <definedName name="_xlnm._FilterDatabase" localSheetId="57" hidden="1">'JUL-AUG 2019'!$A$25:$H$28</definedName>
    <definedName name="_xlnm._FilterDatabase" localSheetId="33" hidden="1">'JUN-JUL 2017'!$A$15:$H$21</definedName>
    <definedName name="_xlnm._FilterDatabase" localSheetId="43" hidden="1">'JUN-JUL 2018'!$A$21:$H$24</definedName>
    <definedName name="_xlnm._FilterDatabase" localSheetId="56" hidden="1">'JUN-JUL 2019'!$A$26:$H$29</definedName>
    <definedName name="_xlnm._FilterDatabase" localSheetId="13" hidden="1">'MAR-APR 2017'!$A$14:$H$21</definedName>
    <definedName name="_xlnm._FilterDatabase" localSheetId="40" hidden="1">'MAR-APR 2018'!$A$15:$H$17</definedName>
    <definedName name="_xlnm._FilterDatabase" localSheetId="53" hidden="1">'MAR-APR 2019'!$A$21:$H$24</definedName>
    <definedName name="_xlnm._FilterDatabase" localSheetId="15" hidden="1">'MAY-JUN 2017'!$A$14:$H$21</definedName>
    <definedName name="_xlnm._FilterDatabase" localSheetId="42" hidden="1">'MAY-JUN 2018'!$A$21:$H$24</definedName>
    <definedName name="_xlnm._FilterDatabase" localSheetId="55" hidden="1">'MAY-JUN 2019'!$A$25:$H$28</definedName>
    <definedName name="_xlnm._FilterDatabase" localSheetId="36" hidden="1">'NOV-DEC 2017'!$A$14:$H$16</definedName>
    <definedName name="_xlnm._FilterDatabase" localSheetId="48" hidden="1">'NOV-DEC 2018'!$A$21:$H$24</definedName>
    <definedName name="_xlnm._FilterDatabase" localSheetId="101" hidden="1">'OCT-NOV 2017'!$A$14:$H$17</definedName>
    <definedName name="_xlnm._FilterDatabase" localSheetId="47" hidden="1">'OCT-NOV 2018'!$A$22:$H$25</definedName>
    <definedName name="_xlnm._FilterDatabase" localSheetId="35" hidden="1">'SEP-OCT 2017'!$A$14:$H$17</definedName>
    <definedName name="_xlnm._FilterDatabase" localSheetId="46" hidden="1">'SEP-OCT 2018'!$A$22:$H$25</definedName>
    <definedName name="ExternalData_1" localSheetId="151" hidden="1">'avios (2)'!$A$1:$F$237</definedName>
  </definedNames>
  <calcPr calcId="191028"/>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59" i="291" l="1"/>
  <c r="J58" i="291"/>
  <c r="J57" i="291"/>
  <c r="J56" i="291"/>
  <c r="S38" i="291"/>
  <c r="J34" i="291"/>
  <c r="J38" i="291"/>
  <c r="J48" i="291"/>
  <c r="H34" i="291"/>
  <c r="H6" i="291"/>
  <c r="H48" i="291"/>
  <c r="L55" i="291"/>
  <c r="H4" i="291" l="1"/>
  <c r="G51" i="291"/>
  <c r="J8" i="291"/>
  <c r="G34" i="291"/>
  <c r="G22" i="291"/>
  <c r="G20" i="291"/>
  <c r="H7" i="291"/>
  <c r="O48" i="291"/>
  <c r="H43" i="291"/>
  <c r="O43" i="291" s="1"/>
  <c r="H49" i="291"/>
  <c r="O49" i="291" s="1"/>
  <c r="I54" i="291"/>
  <c r="I55" i="291"/>
  <c r="H55" i="291"/>
  <c r="I56" i="129"/>
  <c r="L55" i="129"/>
  <c r="F48" i="291"/>
  <c r="P49" i="291"/>
  <c r="L15" i="242"/>
  <c r="H15" i="242"/>
  <c r="F38" i="294"/>
  <c r="F37" i="294"/>
  <c r="B24" i="255"/>
  <c r="Q65" i="129"/>
  <c r="Q66" i="129"/>
  <c r="O37" i="294"/>
  <c r="B28" i="255"/>
  <c r="K65" i="129" s="1"/>
  <c r="N55" i="129"/>
  <c r="B26" i="255"/>
  <c r="C84" i="129"/>
  <c r="O44" i="291"/>
  <c r="P44" i="291"/>
  <c r="O46" i="300"/>
  <c r="O46" i="296"/>
  <c r="R9" i="271"/>
  <c r="R8" i="271"/>
  <c r="E58" i="300"/>
  <c r="E56" i="300"/>
  <c r="F56" i="300" s="1"/>
  <c r="F57" i="300" s="1"/>
  <c r="F58" i="300" s="1"/>
  <c r="F59" i="300" s="1"/>
  <c r="P51" i="300"/>
  <c r="P50" i="300"/>
  <c r="P49" i="300"/>
  <c r="G46" i="300"/>
  <c r="E45" i="300"/>
  <c r="E46" i="300" s="1"/>
  <c r="Q44" i="300"/>
  <c r="P44" i="300"/>
  <c r="F44" i="300"/>
  <c r="O44" i="300" s="1"/>
  <c r="P43" i="300"/>
  <c r="O43" i="300"/>
  <c r="P42" i="300"/>
  <c r="O42" i="300"/>
  <c r="P41" i="300"/>
  <c r="O41" i="300"/>
  <c r="P40" i="300"/>
  <c r="O40" i="300"/>
  <c r="P39" i="300"/>
  <c r="O39" i="300"/>
  <c r="P38" i="300"/>
  <c r="O38" i="300"/>
  <c r="P37" i="300"/>
  <c r="O37" i="300"/>
  <c r="O36" i="300" s="1"/>
  <c r="P36" i="300"/>
  <c r="P35" i="300"/>
  <c r="O35" i="300"/>
  <c r="P34" i="300"/>
  <c r="O33" i="300"/>
  <c r="P30" i="300"/>
  <c r="P29" i="300"/>
  <c r="F29" i="300"/>
  <c r="F27" i="300" s="1"/>
  <c r="B27" i="300" s="1"/>
  <c r="Q28" i="300"/>
  <c r="B28" i="300"/>
  <c r="P25" i="300"/>
  <c r="F25" i="300"/>
  <c r="O25" i="300" s="1"/>
  <c r="Q25" i="300" s="1"/>
  <c r="P24" i="300"/>
  <c r="O24" i="300"/>
  <c r="F24" i="300"/>
  <c r="P23" i="300"/>
  <c r="O23" i="300"/>
  <c r="P22" i="300"/>
  <c r="O22" i="300"/>
  <c r="Q22" i="300" s="1"/>
  <c r="P21" i="300"/>
  <c r="O21" i="300"/>
  <c r="Q21" i="300" s="1"/>
  <c r="P20" i="300"/>
  <c r="F20" i="300"/>
  <c r="O20" i="300" s="1"/>
  <c r="Q20" i="300" s="1"/>
  <c r="Q19" i="300"/>
  <c r="P19" i="300"/>
  <c r="O19" i="300"/>
  <c r="F19" i="300"/>
  <c r="Q18" i="300"/>
  <c r="P18" i="300"/>
  <c r="O18" i="300"/>
  <c r="P17" i="300"/>
  <c r="F17" i="300"/>
  <c r="E11" i="300" s="1"/>
  <c r="Q16" i="300"/>
  <c r="P16" i="300"/>
  <c r="O16" i="300"/>
  <c r="F16" i="300"/>
  <c r="P15" i="300"/>
  <c r="O15" i="300"/>
  <c r="Q15" i="300" s="1"/>
  <c r="Q14" i="300"/>
  <c r="P14" i="300"/>
  <c r="O14" i="300"/>
  <c r="F14" i="300"/>
  <c r="P13" i="300"/>
  <c r="O13" i="300"/>
  <c r="Q13" i="300" s="1"/>
  <c r="P12" i="300"/>
  <c r="O12" i="300"/>
  <c r="Q12" i="300" s="1"/>
  <c r="P11" i="300"/>
  <c r="P10" i="300"/>
  <c r="O10" i="300"/>
  <c r="P9" i="300"/>
  <c r="O9" i="300"/>
  <c r="Q8" i="300"/>
  <c r="P8" i="300"/>
  <c r="O8" i="300"/>
  <c r="F8" i="300"/>
  <c r="P7" i="300"/>
  <c r="O7" i="300"/>
  <c r="Q7" i="300" s="1"/>
  <c r="P6" i="300"/>
  <c r="O6" i="300"/>
  <c r="Q6" i="300" s="1"/>
  <c r="F6" i="300"/>
  <c r="O4" i="300"/>
  <c r="I3" i="300"/>
  <c r="K3" i="300" s="1"/>
  <c r="M3" i="300" s="1"/>
  <c r="B1" i="300"/>
  <c r="A1" i="300" s="1"/>
  <c r="M55" i="129"/>
  <c r="K55" i="129"/>
  <c r="J55" i="129"/>
  <c r="F34" i="296"/>
  <c r="E92" i="129"/>
  <c r="G94" i="129"/>
  <c r="I70" i="129"/>
  <c r="H47" i="291"/>
  <c r="B13" i="299"/>
  <c r="B10" i="299"/>
  <c r="B11" i="299" s="1"/>
  <c r="B13" i="297"/>
  <c r="B10" i="297"/>
  <c r="B15" i="297"/>
  <c r="B11" i="297"/>
  <c r="E73" i="291"/>
  <c r="J41" i="291"/>
  <c r="O41" i="291" s="1"/>
  <c r="J35" i="291"/>
  <c r="O39" i="291"/>
  <c r="H35" i="291"/>
  <c r="P39" i="291"/>
  <c r="O42" i="291"/>
  <c r="P43" i="291"/>
  <c r="G35" i="291"/>
  <c r="P35" i="291"/>
  <c r="G25" i="291"/>
  <c r="L67" i="291"/>
  <c r="K64" i="291"/>
  <c r="M66" i="291" s="1"/>
  <c r="K70" i="291"/>
  <c r="B112" i="129"/>
  <c r="P35" i="296"/>
  <c r="O35" i="296"/>
  <c r="M20" i="242"/>
  <c r="L20" i="242"/>
  <c r="K20" i="242"/>
  <c r="J20" i="242"/>
  <c r="I20" i="242"/>
  <c r="H20" i="242"/>
  <c r="G20" i="242"/>
  <c r="F20" i="242"/>
  <c r="E20" i="242"/>
  <c r="D20" i="242"/>
  <c r="C20" i="242"/>
  <c r="B20" i="242"/>
  <c r="M13" i="242"/>
  <c r="L13" i="242"/>
  <c r="H59" i="294"/>
  <c r="F16" i="296"/>
  <c r="F16" i="294"/>
  <c r="O16" i="294" s="1"/>
  <c r="Q16" i="294" s="1"/>
  <c r="F16" i="291"/>
  <c r="E58" i="296"/>
  <c r="E56" i="296"/>
  <c r="F56" i="296" s="1"/>
  <c r="F57" i="296" s="1"/>
  <c r="F58" i="296" s="1"/>
  <c r="F59" i="296" s="1"/>
  <c r="P51" i="296"/>
  <c r="P50" i="296"/>
  <c r="P49" i="296"/>
  <c r="G46" i="296"/>
  <c r="E45" i="296"/>
  <c r="P44" i="296"/>
  <c r="F44" i="296"/>
  <c r="Q44" i="296" s="1"/>
  <c r="P43" i="296"/>
  <c r="O43" i="296"/>
  <c r="P42" i="296"/>
  <c r="O42" i="296"/>
  <c r="P41" i="296"/>
  <c r="O41" i="296"/>
  <c r="P40" i="296"/>
  <c r="O40" i="296"/>
  <c r="P39" i="296"/>
  <c r="O39" i="296"/>
  <c r="P38" i="296"/>
  <c r="O38" i="296"/>
  <c r="P37" i="296"/>
  <c r="O37" i="296"/>
  <c r="P36" i="296"/>
  <c r="P34" i="296"/>
  <c r="O33" i="296"/>
  <c r="P30" i="296"/>
  <c r="P29" i="296"/>
  <c r="F29" i="296"/>
  <c r="F27" i="296" s="1"/>
  <c r="Q28" i="296"/>
  <c r="B28" i="296"/>
  <c r="P25" i="296"/>
  <c r="F25" i="296"/>
  <c r="O25" i="296" s="1"/>
  <c r="Q25" i="296" s="1"/>
  <c r="P24" i="296"/>
  <c r="F24" i="296"/>
  <c r="O24" i="296" s="1"/>
  <c r="P23" i="296"/>
  <c r="O23" i="296"/>
  <c r="P22" i="296"/>
  <c r="O22" i="296"/>
  <c r="Q22" i="296" s="1"/>
  <c r="P21" i="296"/>
  <c r="O21" i="296"/>
  <c r="Q21" i="296" s="1"/>
  <c r="P20" i="296"/>
  <c r="F20" i="296"/>
  <c r="O20" i="296" s="1"/>
  <c r="Q20" i="296" s="1"/>
  <c r="P19" i="296"/>
  <c r="F19" i="296"/>
  <c r="O19" i="296" s="1"/>
  <c r="Q19" i="296" s="1"/>
  <c r="P18" i="296"/>
  <c r="O18" i="296"/>
  <c r="Q18" i="296" s="1"/>
  <c r="P17" i="296"/>
  <c r="F17" i="296"/>
  <c r="O17" i="296" s="1"/>
  <c r="Q17" i="296" s="1"/>
  <c r="P16" i="296"/>
  <c r="O16" i="296"/>
  <c r="Q16" i="296" s="1"/>
  <c r="P15" i="296"/>
  <c r="O15" i="296"/>
  <c r="Q15" i="296" s="1"/>
  <c r="P14" i="296"/>
  <c r="F14" i="296"/>
  <c r="P13" i="296"/>
  <c r="O13" i="296"/>
  <c r="Q13" i="296" s="1"/>
  <c r="P12" i="296"/>
  <c r="O12" i="296"/>
  <c r="Q12" i="296" s="1"/>
  <c r="P11" i="296"/>
  <c r="P10" i="296"/>
  <c r="O10" i="296"/>
  <c r="P9" i="296"/>
  <c r="O9" i="296"/>
  <c r="P8" i="296"/>
  <c r="F8" i="296"/>
  <c r="O8" i="296" s="1"/>
  <c r="Q8" i="296" s="1"/>
  <c r="P7" i="296"/>
  <c r="O7" i="296"/>
  <c r="Q7" i="296" s="1"/>
  <c r="P6" i="296"/>
  <c r="F6" i="296"/>
  <c r="O6" i="296" s="1"/>
  <c r="O4" i="296"/>
  <c r="I3" i="296"/>
  <c r="K3" i="296" s="1"/>
  <c r="M3" i="296" s="1"/>
  <c r="B1" i="296"/>
  <c r="A1" i="296" s="1"/>
  <c r="G16" i="291"/>
  <c r="B15" i="293"/>
  <c r="B11" i="293"/>
  <c r="I61" i="129"/>
  <c r="P36" i="294"/>
  <c r="O36" i="294"/>
  <c r="K13" i="242"/>
  <c r="B91" i="129"/>
  <c r="F101" i="74"/>
  <c r="K21" i="74"/>
  <c r="P37" i="294"/>
  <c r="G95" i="129"/>
  <c r="B15" i="295"/>
  <c r="B17" i="293"/>
  <c r="K5" i="242"/>
  <c r="I13" i="242"/>
  <c r="I15" i="242"/>
  <c r="I14" i="242"/>
  <c r="B14" i="295"/>
  <c r="B10" i="295"/>
  <c r="B18" i="295"/>
  <c r="B5" i="242"/>
  <c r="G47" i="291"/>
  <c r="E56" i="291"/>
  <c r="F19" i="294"/>
  <c r="F6" i="294"/>
  <c r="F46" i="294"/>
  <c r="Q46" i="294" s="1"/>
  <c r="G48" i="294"/>
  <c r="E60" i="294"/>
  <c r="E58" i="294"/>
  <c r="F58" i="294" s="1"/>
  <c r="F59" i="294" s="1"/>
  <c r="O45" i="294"/>
  <c r="P53" i="294"/>
  <c r="P52" i="294"/>
  <c r="P51" i="294"/>
  <c r="E47" i="294"/>
  <c r="P46" i="294"/>
  <c r="P45" i="294"/>
  <c r="P44" i="294"/>
  <c r="O44" i="294"/>
  <c r="P43" i="294"/>
  <c r="O43" i="294"/>
  <c r="P42" i="294"/>
  <c r="O42" i="294"/>
  <c r="P41" i="294"/>
  <c r="O41" i="294"/>
  <c r="P40" i="294"/>
  <c r="O40" i="294"/>
  <c r="P39" i="294"/>
  <c r="O39" i="294"/>
  <c r="P38" i="294"/>
  <c r="P34" i="294"/>
  <c r="O33" i="294"/>
  <c r="P30" i="294"/>
  <c r="P29" i="294"/>
  <c r="F29" i="294"/>
  <c r="F27" i="294" s="1"/>
  <c r="Q28" i="294"/>
  <c r="B28" i="294"/>
  <c r="P25" i="294"/>
  <c r="F25" i="294"/>
  <c r="P24" i="294"/>
  <c r="F24" i="294"/>
  <c r="O24" i="294" s="1"/>
  <c r="P23" i="294"/>
  <c r="O23" i="294"/>
  <c r="P22" i="294"/>
  <c r="P21" i="294"/>
  <c r="O21" i="294"/>
  <c r="Q21" i="294" s="1"/>
  <c r="P20" i="294"/>
  <c r="F20" i="294"/>
  <c r="P19" i="294"/>
  <c r="P18" i="294"/>
  <c r="O18" i="294"/>
  <c r="Q18" i="294" s="1"/>
  <c r="P17" i="294"/>
  <c r="F17" i="294"/>
  <c r="O17" i="294" s="1"/>
  <c r="Q17" i="294" s="1"/>
  <c r="P16" i="294"/>
  <c r="P15" i="294"/>
  <c r="O15" i="294"/>
  <c r="Q15" i="294" s="1"/>
  <c r="P14" i="294"/>
  <c r="F14" i="294"/>
  <c r="O14" i="294" s="1"/>
  <c r="Q14" i="294" s="1"/>
  <c r="P13" i="294"/>
  <c r="O13" i="294"/>
  <c r="Q13" i="294" s="1"/>
  <c r="P12" i="294"/>
  <c r="O12" i="294"/>
  <c r="Q12" i="294" s="1"/>
  <c r="P11" i="294"/>
  <c r="P10" i="294"/>
  <c r="O10" i="294"/>
  <c r="P9" i="294"/>
  <c r="O9" i="294"/>
  <c r="P8" i="294"/>
  <c r="F8" i="294"/>
  <c r="P7" i="294"/>
  <c r="O7" i="294"/>
  <c r="Q7" i="294" s="1"/>
  <c r="P6" i="294"/>
  <c r="I3" i="294"/>
  <c r="K3" i="294" s="1"/>
  <c r="M3" i="294" s="1"/>
  <c r="B1" i="294"/>
  <c r="A1" i="294" s="1"/>
  <c r="H13" i="242"/>
  <c r="J13" i="242" s="1"/>
  <c r="B19" i="293"/>
  <c r="B21" i="293" s="1"/>
  <c r="D93" i="129" s="1"/>
  <c r="B13" i="293"/>
  <c r="F22" i="291"/>
  <c r="J7" i="291"/>
  <c r="F6" i="291"/>
  <c r="G19" i="291"/>
  <c r="F36" i="291"/>
  <c r="G36" i="291"/>
  <c r="J10" i="271"/>
  <c r="J8" i="271"/>
  <c r="E62" i="291"/>
  <c r="E71" i="291"/>
  <c r="J36" i="291"/>
  <c r="H36" i="291"/>
  <c r="E61" i="291"/>
  <c r="G14" i="291"/>
  <c r="F19" i="291"/>
  <c r="P36" i="291"/>
  <c r="J38" i="289"/>
  <c r="J34" i="289"/>
  <c r="J36" i="289"/>
  <c r="H44" i="289"/>
  <c r="H34" i="289"/>
  <c r="H30" i="289"/>
  <c r="H7" i="289"/>
  <c r="M34" i="289"/>
  <c r="L66" i="289"/>
  <c r="L67" i="289"/>
  <c r="M64" i="289"/>
  <c r="L68" i="289"/>
  <c r="L64" i="289"/>
  <c r="G47" i="289"/>
  <c r="O57" i="289"/>
  <c r="O56" i="289"/>
  <c r="S41" i="289"/>
  <c r="J8" i="289"/>
  <c r="H36" i="289"/>
  <c r="B4" i="289"/>
  <c r="F44" i="289"/>
  <c r="H45" i="289"/>
  <c r="O45" i="289" s="1"/>
  <c r="H42" i="289"/>
  <c r="B21" i="292"/>
  <c r="B17" i="292"/>
  <c r="B20" i="292"/>
  <c r="B4" i="292"/>
  <c r="B19" i="292" s="1"/>
  <c r="F20" i="289"/>
  <c r="O20" i="289" s="1"/>
  <c r="Q20" i="289" s="1"/>
  <c r="J42" i="289"/>
  <c r="J44" i="289"/>
  <c r="P45" i="289"/>
  <c r="F6" i="289"/>
  <c r="F4" i="289" s="1"/>
  <c r="H6" i="289"/>
  <c r="H38" i="289"/>
  <c r="G25" i="289"/>
  <c r="O39" i="289"/>
  <c r="G16" i="289"/>
  <c r="P39" i="289"/>
  <c r="J6" i="271"/>
  <c r="K6" i="271"/>
  <c r="I10" i="271"/>
  <c r="B17" i="286"/>
  <c r="B21" i="286"/>
  <c r="F43" i="289"/>
  <c r="O43" i="289" s="1"/>
  <c r="H43" i="289"/>
  <c r="G42" i="289"/>
  <c r="G20" i="289"/>
  <c r="G22" i="289"/>
  <c r="G34" i="289"/>
  <c r="G14" i="289"/>
  <c r="G43" i="289"/>
  <c r="E56" i="289"/>
  <c r="H46" i="282"/>
  <c r="H39" i="282"/>
  <c r="H7" i="282"/>
  <c r="H30" i="282"/>
  <c r="H8" i="289"/>
  <c r="F30" i="282"/>
  <c r="G48" i="282"/>
  <c r="L58" i="282"/>
  <c r="F19" i="282"/>
  <c r="F22" i="282"/>
  <c r="F7" i="282"/>
  <c r="F35" i="282"/>
  <c r="F46" i="282"/>
  <c r="F6" i="282"/>
  <c r="L57" i="282"/>
  <c r="L56" i="282"/>
  <c r="L55" i="282"/>
  <c r="L54" i="282"/>
  <c r="O35" i="282"/>
  <c r="G25" i="282"/>
  <c r="B12" i="286"/>
  <c r="B11" i="286"/>
  <c r="P56" i="291"/>
  <c r="P55" i="291"/>
  <c r="P54" i="291"/>
  <c r="P48" i="291"/>
  <c r="P47" i="291"/>
  <c r="P46" i="291"/>
  <c r="O46" i="291"/>
  <c r="P45" i="291"/>
  <c r="O45" i="291"/>
  <c r="P42" i="291"/>
  <c r="P41" i="291"/>
  <c r="P40" i="291"/>
  <c r="O40" i="291"/>
  <c r="P38" i="291"/>
  <c r="O38" i="291"/>
  <c r="P37" i="291"/>
  <c r="P34" i="291"/>
  <c r="O33" i="291"/>
  <c r="P30" i="291"/>
  <c r="P29" i="291"/>
  <c r="F29" i="291"/>
  <c r="F27" i="291" s="1"/>
  <c r="Q28" i="291"/>
  <c r="B28" i="291"/>
  <c r="P25" i="291"/>
  <c r="F25" i="291"/>
  <c r="P24" i="291"/>
  <c r="F24" i="291"/>
  <c r="O24" i="291" s="1"/>
  <c r="P23" i="291"/>
  <c r="O23" i="291"/>
  <c r="P22" i="291"/>
  <c r="P21" i="291"/>
  <c r="O21" i="291"/>
  <c r="Q21" i="291" s="1"/>
  <c r="P20" i="291"/>
  <c r="F20" i="291"/>
  <c r="P19" i="291"/>
  <c r="P18" i="291"/>
  <c r="O18" i="291"/>
  <c r="Q18" i="291" s="1"/>
  <c r="P17" i="291"/>
  <c r="F17" i="291"/>
  <c r="O17" i="291" s="1"/>
  <c r="Q17" i="291" s="1"/>
  <c r="P16" i="291"/>
  <c r="P15" i="291"/>
  <c r="O15" i="291"/>
  <c r="Q15" i="291" s="1"/>
  <c r="P14" i="291"/>
  <c r="F14" i="291"/>
  <c r="P13" i="291"/>
  <c r="O13" i="291"/>
  <c r="Q13" i="291" s="1"/>
  <c r="P12" i="291"/>
  <c r="O12" i="291"/>
  <c r="Q12" i="291" s="1"/>
  <c r="P11" i="291"/>
  <c r="P10" i="291"/>
  <c r="O10" i="291"/>
  <c r="P9" i="291"/>
  <c r="O9" i="291"/>
  <c r="P8" i="291"/>
  <c r="F8" i="291"/>
  <c r="P7" i="291"/>
  <c r="P6" i="291"/>
  <c r="I3" i="291"/>
  <c r="K3" i="291" s="1"/>
  <c r="M3" i="291" s="1"/>
  <c r="B1" i="291"/>
  <c r="A1" i="291" s="1"/>
  <c r="F22" i="289"/>
  <c r="E15" i="242"/>
  <c r="F15" i="242" s="1"/>
  <c r="G14" i="242"/>
  <c r="H14" i="242" s="1"/>
  <c r="E53" i="289"/>
  <c r="F8" i="289"/>
  <c r="O8" i="289" s="1"/>
  <c r="Q8" i="289" s="1"/>
  <c r="F14" i="289"/>
  <c r="O14" i="289" s="1"/>
  <c r="Q14" i="289" s="1"/>
  <c r="P52" i="289"/>
  <c r="P51" i="289"/>
  <c r="P50" i="289"/>
  <c r="P44" i="289"/>
  <c r="P43" i="289"/>
  <c r="P42" i="289"/>
  <c r="P41" i="289"/>
  <c r="O41" i="289"/>
  <c r="P40" i="289"/>
  <c r="O40" i="289"/>
  <c r="P38" i="289"/>
  <c r="P37" i="289"/>
  <c r="O37" i="289"/>
  <c r="P36" i="289"/>
  <c r="O36" i="289"/>
  <c r="H74" i="129" s="1"/>
  <c r="P35" i="289"/>
  <c r="P34" i="289"/>
  <c r="O33" i="289"/>
  <c r="P30" i="289"/>
  <c r="F29" i="289"/>
  <c r="F27" i="289" s="1"/>
  <c r="P29" i="289"/>
  <c r="Q28" i="289"/>
  <c r="B28" i="289"/>
  <c r="P25" i="289"/>
  <c r="F25" i="289"/>
  <c r="P24" i="289"/>
  <c r="F24" i="289"/>
  <c r="O24" i="289" s="1"/>
  <c r="P23" i="289"/>
  <c r="O23" i="289"/>
  <c r="P22" i="289"/>
  <c r="P21" i="289"/>
  <c r="O21" i="289"/>
  <c r="Q21" i="289" s="1"/>
  <c r="P20" i="289"/>
  <c r="P19" i="289"/>
  <c r="O19" i="289"/>
  <c r="Q19" i="289" s="1"/>
  <c r="P18" i="289"/>
  <c r="O18" i="289"/>
  <c r="Q18" i="289" s="1"/>
  <c r="P17" i="289"/>
  <c r="F17" i="289"/>
  <c r="O17" i="289"/>
  <c r="Q17" i="289" s="1"/>
  <c r="P16" i="289"/>
  <c r="F16" i="289"/>
  <c r="P15" i="289"/>
  <c r="O15" i="289"/>
  <c r="Q15" i="289" s="1"/>
  <c r="P14" i="289"/>
  <c r="P13" i="289"/>
  <c r="O13" i="289"/>
  <c r="Q13" i="289" s="1"/>
  <c r="P12" i="289"/>
  <c r="O12" i="289"/>
  <c r="Q12" i="289" s="1"/>
  <c r="P11" i="289"/>
  <c r="P10" i="289"/>
  <c r="O10" i="289"/>
  <c r="P9" i="289"/>
  <c r="O9" i="289"/>
  <c r="P8" i="289"/>
  <c r="P7" i="289"/>
  <c r="P6" i="289"/>
  <c r="O6" i="289"/>
  <c r="I3" i="289"/>
  <c r="K3" i="289" s="1"/>
  <c r="M3" i="289" s="1"/>
  <c r="B1" i="289"/>
  <c r="A1" i="289" s="1"/>
  <c r="J7" i="282"/>
  <c r="H41" i="282"/>
  <c r="H34" i="282"/>
  <c r="G64" i="129"/>
  <c r="J30" i="282"/>
  <c r="Q46" i="282"/>
  <c r="O46" i="282"/>
  <c r="J35" i="282"/>
  <c r="J43" i="282"/>
  <c r="P35" i="282"/>
  <c r="H6" i="282"/>
  <c r="G39" i="282"/>
  <c r="F56" i="129"/>
  <c r="O40" i="282"/>
  <c r="G80" i="129"/>
  <c r="P40" i="282"/>
  <c r="P41" i="282"/>
  <c r="G41" i="282"/>
  <c r="O41" i="282"/>
  <c r="O6" i="282"/>
  <c r="Q6" i="282"/>
  <c r="F8" i="282"/>
  <c r="J8" i="282"/>
  <c r="O8" i="282"/>
  <c r="Q8" i="282"/>
  <c r="G22" i="282"/>
  <c r="B13" i="255"/>
  <c r="B12" i="255"/>
  <c r="J34" i="282"/>
  <c r="J46" i="282"/>
  <c r="F29" i="282"/>
  <c r="F27" i="282"/>
  <c r="G16" i="282"/>
  <c r="J39" i="282"/>
  <c r="O42" i="282"/>
  <c r="H43" i="282"/>
  <c r="O43" i="282"/>
  <c r="H44" i="282"/>
  <c r="O44" i="282"/>
  <c r="G68" i="129"/>
  <c r="P42" i="282"/>
  <c r="G45" i="282"/>
  <c r="O45" i="282"/>
  <c r="G20" i="282"/>
  <c r="F20" i="282"/>
  <c r="P43" i="282"/>
  <c r="P39" i="282"/>
  <c r="F24" i="282"/>
  <c r="F25" i="282"/>
  <c r="O25" i="282"/>
  <c r="Q25" i="282"/>
  <c r="G14" i="282"/>
  <c r="P44" i="282"/>
  <c r="P38" i="282"/>
  <c r="P45" i="282"/>
  <c r="B9" i="255"/>
  <c r="B6" i="255"/>
  <c r="H33" i="281"/>
  <c r="P9" i="282"/>
  <c r="P10" i="282"/>
  <c r="O9" i="282"/>
  <c r="O10" i="282"/>
  <c r="O24" i="282"/>
  <c r="F22" i="281"/>
  <c r="P36" i="282"/>
  <c r="P37" i="282"/>
  <c r="O36" i="282"/>
  <c r="O37" i="282"/>
  <c r="E30" i="282"/>
  <c r="E46" i="282"/>
  <c r="F29" i="281"/>
  <c r="F28" i="281"/>
  <c r="F26" i="281"/>
  <c r="F37" i="281"/>
  <c r="F7" i="281"/>
  <c r="F18" i="281"/>
  <c r="F24" i="281"/>
  <c r="J33" i="281"/>
  <c r="J37" i="281"/>
  <c r="H39" i="281"/>
  <c r="O39" i="281"/>
  <c r="P39" i="281"/>
  <c r="H49" i="281"/>
  <c r="H7" i="281"/>
  <c r="G24" i="281"/>
  <c r="G38" i="281"/>
  <c r="H29" i="281"/>
  <c r="F38" i="281"/>
  <c r="G44" i="281"/>
  <c r="G33" i="281"/>
  <c r="F17" i="282"/>
  <c r="O17" i="282"/>
  <c r="Q17" i="282"/>
  <c r="O22" i="282"/>
  <c r="Q22" i="282"/>
  <c r="I3" i="242"/>
  <c r="H4" i="242"/>
  <c r="I4" i="242"/>
  <c r="J4" i="242" s="1"/>
  <c r="K4" i="242" s="1"/>
  <c r="I5" i="242"/>
  <c r="J5" i="242" s="1"/>
  <c r="B11" i="265"/>
  <c r="F16" i="282"/>
  <c r="F14" i="281"/>
  <c r="B7" i="288"/>
  <c r="B14" i="286"/>
  <c r="B3" i="288"/>
  <c r="B18" i="288"/>
  <c r="B23" i="288"/>
  <c r="B22" i="288"/>
  <c r="B19" i="288"/>
  <c r="B16" i="288"/>
  <c r="B14" i="288"/>
  <c r="B12" i="288"/>
  <c r="E12" i="288"/>
  <c r="E10" i="288"/>
  <c r="E8" i="288"/>
  <c r="F42" i="281"/>
  <c r="O22" i="281"/>
  <c r="F6" i="281"/>
  <c r="F8" i="281"/>
  <c r="J29" i="281"/>
  <c r="J24" i="281"/>
  <c r="J23" i="281"/>
  <c r="J8" i="281"/>
  <c r="H42" i="281"/>
  <c r="H37" i="281"/>
  <c r="G20" i="281"/>
  <c r="G14" i="281"/>
  <c r="O14" i="281"/>
  <c r="Q14" i="281"/>
  <c r="H35" i="281"/>
  <c r="B30" i="287"/>
  <c r="A93" i="287"/>
  <c r="A104" i="287"/>
  <c r="A105" i="287"/>
  <c r="A95" i="287"/>
  <c r="A98" i="287"/>
  <c r="A99" i="287"/>
  <c r="B48" i="287"/>
  <c r="C50" i="287"/>
  <c r="C57" i="287"/>
  <c r="B59" i="287"/>
  <c r="B61" i="287"/>
  <c r="C62" i="287"/>
  <c r="B79" i="287"/>
  <c r="B76" i="287"/>
  <c r="B75" i="287"/>
  <c r="B77" i="287"/>
  <c r="E30" i="287"/>
  <c r="E27" i="287"/>
  <c r="F29" i="287"/>
  <c r="F30" i="287"/>
  <c r="B8" i="287"/>
  <c r="B13" i="287"/>
  <c r="B11" i="287"/>
  <c r="B15" i="287"/>
  <c r="B17" i="287"/>
  <c r="F66" i="129"/>
  <c r="H41" i="281"/>
  <c r="O41" i="281"/>
  <c r="H6" i="281"/>
  <c r="J42" i="281"/>
  <c r="E29" i="281"/>
  <c r="E36" i="281"/>
  <c r="P41" i="281"/>
  <c r="P36" i="281"/>
  <c r="G18" i="281"/>
  <c r="G23" i="281"/>
  <c r="F23" i="281"/>
  <c r="G12" i="281"/>
  <c r="J37" i="276"/>
  <c r="P34" i="281"/>
  <c r="F35" i="281"/>
  <c r="H34" i="281"/>
  <c r="J34" i="281"/>
  <c r="P35" i="281"/>
  <c r="P37" i="281"/>
  <c r="H8" i="281"/>
  <c r="H35" i="276"/>
  <c r="H42" i="276"/>
  <c r="B3" i="287"/>
  <c r="E10" i="265"/>
  <c r="E8" i="265"/>
  <c r="H31" i="265"/>
  <c r="B19" i="265"/>
  <c r="E19" i="265"/>
  <c r="J33" i="276"/>
  <c r="J8" i="276"/>
  <c r="H33" i="276"/>
  <c r="F7" i="276"/>
  <c r="F6" i="276"/>
  <c r="H6" i="276"/>
  <c r="F8" i="276"/>
  <c r="H7" i="276"/>
  <c r="H40" i="276"/>
  <c r="G33" i="276"/>
  <c r="G44" i="276"/>
  <c r="E44" i="276"/>
  <c r="B20" i="286"/>
  <c r="B4" i="286"/>
  <c r="E80" i="129"/>
  <c r="G35" i="276"/>
  <c r="F37" i="276"/>
  <c r="O37" i="276"/>
  <c r="F35" i="276"/>
  <c r="F42" i="276"/>
  <c r="O42" i="276"/>
  <c r="G4" i="276"/>
  <c r="H36" i="276"/>
  <c r="O36" i="276"/>
  <c r="O35" i="276"/>
  <c r="I5" i="278"/>
  <c r="F38" i="276"/>
  <c r="F23" i="276"/>
  <c r="F18" i="276"/>
  <c r="J7" i="276"/>
  <c r="H38" i="276"/>
  <c r="O38" i="276"/>
  <c r="O40" i="276"/>
  <c r="P40" i="276"/>
  <c r="M33" i="276"/>
  <c r="P36" i="276"/>
  <c r="E66" i="129"/>
  <c r="J29" i="276"/>
  <c r="W28" i="275"/>
  <c r="S6" i="276"/>
  <c r="G24" i="276"/>
  <c r="F39" i="276"/>
  <c r="P37" i="276"/>
  <c r="J39" i="276"/>
  <c r="H39" i="276"/>
  <c r="G20" i="276"/>
  <c r="G18" i="276"/>
  <c r="G14" i="276"/>
  <c r="P38" i="276"/>
  <c r="E43" i="276"/>
  <c r="F11" i="276"/>
  <c r="G12" i="276"/>
  <c r="G94" i="275"/>
  <c r="P53" i="282"/>
  <c r="P52" i="282"/>
  <c r="P51" i="282"/>
  <c r="P46" i="282"/>
  <c r="P34" i="282"/>
  <c r="O33" i="282"/>
  <c r="P30" i="282"/>
  <c r="P29" i="282"/>
  <c r="Q28" i="282"/>
  <c r="B28" i="282"/>
  <c r="P25" i="282"/>
  <c r="P24" i="282"/>
  <c r="P23" i="282"/>
  <c r="O23" i="282"/>
  <c r="P22" i="282"/>
  <c r="P21" i="282"/>
  <c r="O21" i="282"/>
  <c r="Q21" i="282"/>
  <c r="P20" i="282"/>
  <c r="P19" i="282"/>
  <c r="O19" i="282"/>
  <c r="Q19" i="282"/>
  <c r="P18" i="282"/>
  <c r="O18" i="282"/>
  <c r="Q18" i="282"/>
  <c r="P17" i="282"/>
  <c r="P16" i="282"/>
  <c r="P15" i="282"/>
  <c r="O15" i="282"/>
  <c r="Q15" i="282"/>
  <c r="P14" i="282"/>
  <c r="F14" i="282"/>
  <c r="P13" i="282"/>
  <c r="P12" i="282"/>
  <c r="O12" i="282"/>
  <c r="Q12" i="282"/>
  <c r="P11" i="282"/>
  <c r="P8" i="282"/>
  <c r="P7" i="282"/>
  <c r="P6" i="282"/>
  <c r="I3" i="282"/>
  <c r="K3" i="282"/>
  <c r="M3" i="282"/>
  <c r="B1" i="282"/>
  <c r="A1" i="282" s="1"/>
  <c r="K89" i="275"/>
  <c r="P49" i="281"/>
  <c r="P48" i="281"/>
  <c r="P47" i="281"/>
  <c r="P42" i="281"/>
  <c r="P40" i="281"/>
  <c r="P38" i="281"/>
  <c r="P33" i="281"/>
  <c r="O32" i="281"/>
  <c r="P29" i="281"/>
  <c r="P28" i="281"/>
  <c r="Q27" i="281"/>
  <c r="B27" i="281"/>
  <c r="P24" i="281"/>
  <c r="P23" i="281"/>
  <c r="P22" i="281"/>
  <c r="P21" i="281"/>
  <c r="O21" i="281"/>
  <c r="P20" i="281"/>
  <c r="F20" i="281"/>
  <c r="P19" i="281"/>
  <c r="O19" i="281"/>
  <c r="Q19" i="281"/>
  <c r="P18" i="281"/>
  <c r="P17" i="281"/>
  <c r="O17" i="281"/>
  <c r="Q17" i="281"/>
  <c r="P16" i="281"/>
  <c r="O16" i="281"/>
  <c r="Q16" i="281"/>
  <c r="P15" i="281"/>
  <c r="F15" i="281"/>
  <c r="O15" i="281"/>
  <c r="Q15" i="281"/>
  <c r="P14" i="281"/>
  <c r="P13" i="281"/>
  <c r="O13" i="281"/>
  <c r="Q13" i="281"/>
  <c r="P12" i="281"/>
  <c r="F12" i="281"/>
  <c r="P11" i="281"/>
  <c r="O11" i="281"/>
  <c r="Q11" i="281"/>
  <c r="P10" i="281"/>
  <c r="O10" i="281"/>
  <c r="Q10" i="281"/>
  <c r="P9" i="281"/>
  <c r="P8" i="281"/>
  <c r="P7" i="281"/>
  <c r="P6" i="281"/>
  <c r="N4" i="281"/>
  <c r="L4" i="281"/>
  <c r="I3" i="281"/>
  <c r="K3" i="281"/>
  <c r="M3" i="281"/>
  <c r="B1" i="281"/>
  <c r="A1" i="281" s="1"/>
  <c r="F15" i="276"/>
  <c r="O15" i="276"/>
  <c r="Q15" i="276"/>
  <c r="O13" i="282"/>
  <c r="Q13" i="282"/>
  <c r="C13" i="242"/>
  <c r="D13" i="242" s="1"/>
  <c r="E13" i="242" s="1"/>
  <c r="F13" i="242" s="1"/>
  <c r="G13" i="242" s="1"/>
  <c r="C12" i="242"/>
  <c r="D12" i="242" s="1"/>
  <c r="E12" i="242" s="1"/>
  <c r="F12" i="242" s="1"/>
  <c r="G12" i="242" s="1"/>
  <c r="H12" i="242" s="1"/>
  <c r="I12" i="242" s="1"/>
  <c r="J12" i="242" s="1"/>
  <c r="K12" i="242" s="1"/>
  <c r="L12" i="242" s="1"/>
  <c r="M12" i="242" s="1"/>
  <c r="B19" i="242" s="1"/>
  <c r="C19" i="242" s="1"/>
  <c r="D19" i="242" s="1"/>
  <c r="E19" i="242" s="1"/>
  <c r="F19" i="242" s="1"/>
  <c r="G19" i="242" s="1"/>
  <c r="H19" i="242" s="1"/>
  <c r="I19" i="242" s="1"/>
  <c r="J19" i="242" s="1"/>
  <c r="K19" i="242" s="1"/>
  <c r="L19" i="242" s="1"/>
  <c r="M19" i="242" s="1"/>
  <c r="F48" i="275"/>
  <c r="G50" i="275"/>
  <c r="F18" i="275"/>
  <c r="F20" i="276"/>
  <c r="O20" i="276"/>
  <c r="F34" i="276"/>
  <c r="O34" i="276"/>
  <c r="J34" i="276"/>
  <c r="J4" i="276"/>
  <c r="Q48" i="275"/>
  <c r="Q4" i="275"/>
  <c r="P34" i="276"/>
  <c r="H34" i="276"/>
  <c r="H4" i="276"/>
  <c r="F20" i="235"/>
  <c r="F19" i="235"/>
  <c r="I2" i="242"/>
  <c r="J2" i="242" s="1"/>
  <c r="H2" i="242"/>
  <c r="H5" i="242"/>
  <c r="P35" i="276"/>
  <c r="O22" i="276"/>
  <c r="P22" i="276"/>
  <c r="B4" i="271"/>
  <c r="B10" i="271"/>
  <c r="E8" i="271"/>
  <c r="F8" i="271"/>
  <c r="D5" i="278"/>
  <c r="E5" i="278"/>
  <c r="F5" i="278"/>
  <c r="G5" i="278"/>
  <c r="H5" i="278"/>
  <c r="J5" i="278"/>
  <c r="K5" i="278"/>
  <c r="C5" i="278"/>
  <c r="B32" i="278"/>
  <c r="F29" i="278"/>
  <c r="B29" i="278"/>
  <c r="F28" i="278"/>
  <c r="B28" i="278"/>
  <c r="G28" i="278" s="1"/>
  <c r="H28" i="278" s="1"/>
  <c r="F27" i="278"/>
  <c r="G27" i="278" s="1"/>
  <c r="B27" i="278"/>
  <c r="F7" i="275"/>
  <c r="N42" i="275"/>
  <c r="Q7" i="275"/>
  <c r="F8" i="275"/>
  <c r="H83" i="275"/>
  <c r="S13" i="275"/>
  <c r="U13" i="275"/>
  <c r="S12" i="275"/>
  <c r="S11" i="275"/>
  <c r="S10" i="275"/>
  <c r="U10" i="275"/>
  <c r="N48" i="275"/>
  <c r="O8" i="275"/>
  <c r="N6" i="275"/>
  <c r="N7" i="275"/>
  <c r="K7" i="275"/>
  <c r="K48" i="275"/>
  <c r="K6" i="275"/>
  <c r="K4" i="275"/>
  <c r="G55" i="275"/>
  <c r="F45" i="275"/>
  <c r="L45" i="275"/>
  <c r="L42" i="275"/>
  <c r="H48" i="275"/>
  <c r="U48" i="275"/>
  <c r="G20" i="275"/>
  <c r="U22" i="275"/>
  <c r="F23" i="275"/>
  <c r="L23" i="275"/>
  <c r="H7" i="275"/>
  <c r="H42" i="275"/>
  <c r="H6" i="275"/>
  <c r="G42" i="275"/>
  <c r="G25" i="275"/>
  <c r="G23" i="275"/>
  <c r="G18" i="275"/>
  <c r="G14" i="275"/>
  <c r="O11" i="276"/>
  <c r="Q11" i="276"/>
  <c r="F66" i="275"/>
  <c r="E62" i="129"/>
  <c r="I44" i="275"/>
  <c r="R4" i="275"/>
  <c r="O4" i="275"/>
  <c r="I8" i="275"/>
  <c r="H44" i="275"/>
  <c r="S44" i="275"/>
  <c r="H43" i="275"/>
  <c r="G58" i="275"/>
  <c r="G59" i="275"/>
  <c r="G60" i="275"/>
  <c r="G57" i="275"/>
  <c r="O39" i="276"/>
  <c r="O7" i="276"/>
  <c r="Q7" i="276"/>
  <c r="P39" i="276"/>
  <c r="H89" i="275"/>
  <c r="H82" i="275"/>
  <c r="H81" i="275"/>
  <c r="H74" i="275"/>
  <c r="G68" i="275"/>
  <c r="G69" i="275"/>
  <c r="G66" i="275"/>
  <c r="H66" i="275"/>
  <c r="H67" i="275"/>
  <c r="E65" i="275"/>
  <c r="D67" i="129"/>
  <c r="H35" i="275"/>
  <c r="G46" i="275"/>
  <c r="F47" i="275"/>
  <c r="S37" i="275"/>
  <c r="T37" i="275"/>
  <c r="G12" i="275"/>
  <c r="F58" i="275"/>
  <c r="E47" i="275"/>
  <c r="E46" i="275"/>
  <c r="F20" i="275"/>
  <c r="G25" i="266"/>
  <c r="G19" i="266"/>
  <c r="G49" i="266"/>
  <c r="T43" i="275"/>
  <c r="T44" i="275"/>
  <c r="T45" i="275"/>
  <c r="S43" i="275"/>
  <c r="H36" i="275"/>
  <c r="S35" i="275"/>
  <c r="J95" i="261"/>
  <c r="F47" i="266"/>
  <c r="F8" i="266"/>
  <c r="F25" i="266"/>
  <c r="F24" i="266"/>
  <c r="F18" i="266"/>
  <c r="F7" i="266"/>
  <c r="F6" i="266"/>
  <c r="J8" i="266"/>
  <c r="H47" i="266"/>
  <c r="O47" i="266"/>
  <c r="T35" i="275"/>
  <c r="H7" i="266"/>
  <c r="H6" i="266"/>
  <c r="P49" i="276"/>
  <c r="P48" i="276"/>
  <c r="P47" i="276"/>
  <c r="Q42" i="276"/>
  <c r="P42" i="276"/>
  <c r="P41" i="276"/>
  <c r="P33" i="276"/>
  <c r="O32" i="276"/>
  <c r="P29" i="276"/>
  <c r="P28" i="276"/>
  <c r="Q27" i="276"/>
  <c r="B27" i="276"/>
  <c r="P24" i="276"/>
  <c r="F24" i="276"/>
  <c r="O24" i="276"/>
  <c r="Q24" i="276"/>
  <c r="P23" i="276"/>
  <c r="O23" i="276"/>
  <c r="P21" i="276"/>
  <c r="O21" i="276"/>
  <c r="P20" i="276"/>
  <c r="P19" i="276"/>
  <c r="O19" i="276"/>
  <c r="Q19" i="276"/>
  <c r="P18" i="276"/>
  <c r="O18" i="276"/>
  <c r="Q18" i="276"/>
  <c r="P17" i="276"/>
  <c r="O17" i="276"/>
  <c r="Q17" i="276"/>
  <c r="P16" i="276"/>
  <c r="O16" i="276"/>
  <c r="Q16" i="276"/>
  <c r="P15" i="276"/>
  <c r="P14" i="276"/>
  <c r="F14" i="276"/>
  <c r="O14" i="276"/>
  <c r="Q14" i="276"/>
  <c r="P13" i="276"/>
  <c r="O13" i="276"/>
  <c r="Q13" i="276"/>
  <c r="P12" i="276"/>
  <c r="F12" i="276"/>
  <c r="O12" i="276"/>
  <c r="Q12" i="276"/>
  <c r="P11" i="276"/>
  <c r="P10" i="276"/>
  <c r="O10" i="276"/>
  <c r="Q10" i="276"/>
  <c r="P9" i="276"/>
  <c r="P8" i="276"/>
  <c r="O8" i="276"/>
  <c r="Q8" i="276"/>
  <c r="P7" i="276"/>
  <c r="P6" i="276"/>
  <c r="N4" i="276"/>
  <c r="L4" i="276"/>
  <c r="I3" i="276"/>
  <c r="K3" i="276"/>
  <c r="M3" i="276"/>
  <c r="B1" i="276"/>
  <c r="A1" i="276" s="1"/>
  <c r="F15" i="275"/>
  <c r="S15" i="275"/>
  <c r="U15" i="275"/>
  <c r="F12" i="275"/>
  <c r="T55" i="275"/>
  <c r="T54" i="275"/>
  <c r="T53" i="275"/>
  <c r="T48" i="275"/>
  <c r="T47" i="275"/>
  <c r="T46" i="275"/>
  <c r="T42" i="275"/>
  <c r="S41" i="275"/>
  <c r="T38" i="275"/>
  <c r="S38" i="275"/>
  <c r="T36" i="275"/>
  <c r="F36" i="275"/>
  <c r="T34" i="275"/>
  <c r="F34" i="275"/>
  <c r="F29" i="275"/>
  <c r="T33" i="275"/>
  <c r="S33" i="275"/>
  <c r="T32" i="275"/>
  <c r="S32" i="275"/>
  <c r="T31" i="275"/>
  <c r="T30" i="275"/>
  <c r="S30" i="275"/>
  <c r="T29" i="275"/>
  <c r="U28" i="275"/>
  <c r="B28" i="275"/>
  <c r="T25" i="275"/>
  <c r="F25" i="275"/>
  <c r="S25" i="275"/>
  <c r="U25" i="275"/>
  <c r="T24" i="275"/>
  <c r="S24" i="275"/>
  <c r="U24" i="275"/>
  <c r="T23" i="275"/>
  <c r="T22" i="275"/>
  <c r="S22" i="275"/>
  <c r="T21" i="275"/>
  <c r="S21" i="275"/>
  <c r="U21" i="275"/>
  <c r="T20" i="275"/>
  <c r="T19" i="275"/>
  <c r="S19" i="275"/>
  <c r="U19" i="275"/>
  <c r="T18" i="275"/>
  <c r="T17" i="275"/>
  <c r="S17" i="275"/>
  <c r="U17" i="275"/>
  <c r="T16" i="275"/>
  <c r="S16" i="275"/>
  <c r="U16" i="275"/>
  <c r="T15" i="275"/>
  <c r="T14" i="275"/>
  <c r="F14" i="275"/>
  <c r="S14" i="275"/>
  <c r="U14" i="275"/>
  <c r="T13" i="275"/>
  <c r="T12" i="275"/>
  <c r="T11" i="275"/>
  <c r="U11" i="275"/>
  <c r="T10" i="275"/>
  <c r="T9" i="275"/>
  <c r="T8" i="275"/>
  <c r="T7" i="275"/>
  <c r="T6" i="275"/>
  <c r="F6" i="275"/>
  <c r="N4" i="275"/>
  <c r="J3" i="275"/>
  <c r="M3" i="275"/>
  <c r="P3" i="275"/>
  <c r="B1" i="275"/>
  <c r="A1" i="275" s="1"/>
  <c r="G77" i="261"/>
  <c r="H78" i="261"/>
  <c r="I78" i="261"/>
  <c r="J78" i="261"/>
  <c r="I80" i="261"/>
  <c r="I81" i="261"/>
  <c r="E49" i="266"/>
  <c r="E48" i="266"/>
  <c r="O45" i="266"/>
  <c r="J44" i="266"/>
  <c r="H44" i="266"/>
  <c r="J35" i="266"/>
  <c r="H35" i="266"/>
  <c r="H39" i="266"/>
  <c r="C71" i="129"/>
  <c r="C57" i="129"/>
  <c r="C115" i="129"/>
  <c r="C97" i="129"/>
  <c r="C55" i="129"/>
  <c r="C73" i="129"/>
  <c r="G20" i="266"/>
  <c r="H32" i="266"/>
  <c r="O32" i="266"/>
  <c r="G44" i="266"/>
  <c r="G31" i="266"/>
  <c r="O38" i="266"/>
  <c r="F39" i="266"/>
  <c r="O39" i="266"/>
  <c r="P38" i="266"/>
  <c r="J47" i="266"/>
  <c r="P39" i="266"/>
  <c r="H31" i="266"/>
  <c r="G18" i="266"/>
  <c r="G14" i="266"/>
  <c r="F20" i="266"/>
  <c r="F23" i="266"/>
  <c r="O23" i="266"/>
  <c r="B12" i="273"/>
  <c r="J24" i="266"/>
  <c r="H24" i="266"/>
  <c r="P24" i="266"/>
  <c r="P32" i="266"/>
  <c r="O37" i="266"/>
  <c r="P37" i="266"/>
  <c r="F13" i="235"/>
  <c r="F22" i="235"/>
  <c r="F11" i="235"/>
  <c r="B77" i="129"/>
  <c r="B120" i="129"/>
  <c r="B119" i="129"/>
  <c r="B118" i="129"/>
  <c r="B117" i="129"/>
  <c r="B116" i="129"/>
  <c r="B115" i="129"/>
  <c r="B110" i="129"/>
  <c r="B109" i="129"/>
  <c r="B108" i="129"/>
  <c r="B97" i="129"/>
  <c r="B102" i="129"/>
  <c r="B101" i="129"/>
  <c r="B100" i="129"/>
  <c r="B99" i="129"/>
  <c r="B98" i="129"/>
  <c r="B73" i="129"/>
  <c r="B89" i="129"/>
  <c r="B87" i="129"/>
  <c r="B86" i="129"/>
  <c r="B57" i="129"/>
  <c r="B58" i="129"/>
  <c r="B60" i="129"/>
  <c r="B75" i="129"/>
  <c r="B74" i="129"/>
  <c r="B80" i="129"/>
  <c r="B78" i="129"/>
  <c r="B76" i="129"/>
  <c r="I53" i="261"/>
  <c r="L51" i="261"/>
  <c r="K51" i="261"/>
  <c r="J51" i="261"/>
  <c r="I51" i="261"/>
  <c r="G45" i="266"/>
  <c r="G12" i="266"/>
  <c r="F12" i="266"/>
  <c r="O36" i="266"/>
  <c r="P36" i="266"/>
  <c r="F45" i="266"/>
  <c r="E45" i="266"/>
  <c r="F35" i="261"/>
  <c r="F24" i="261"/>
  <c r="F7" i="261"/>
  <c r="F18" i="261"/>
  <c r="G45" i="261"/>
  <c r="H40" i="261"/>
  <c r="H6" i="261"/>
  <c r="F36" i="261"/>
  <c r="O36" i="261"/>
  <c r="E34" i="177"/>
  <c r="E27" i="177"/>
  <c r="E28" i="177"/>
  <c r="E26" i="177"/>
  <c r="E23" i="177"/>
  <c r="E30" i="177"/>
  <c r="E32" i="177"/>
  <c r="E31" i="177"/>
  <c r="K3" i="177"/>
  <c r="Q3" i="177"/>
  <c r="H3" i="177"/>
  <c r="F15" i="235"/>
  <c r="F16" i="235"/>
  <c r="F17" i="235"/>
  <c r="F18" i="235"/>
  <c r="F21" i="235"/>
  <c r="J94" i="261"/>
  <c r="J101" i="261"/>
  <c r="J93" i="261"/>
  <c r="F12" i="261"/>
  <c r="J86" i="261"/>
  <c r="F4" i="274"/>
  <c r="D8" i="274"/>
  <c r="D7" i="274"/>
  <c r="D5" i="274"/>
  <c r="D4" i="274"/>
  <c r="D2" i="274"/>
  <c r="D3" i="274"/>
  <c r="F8" i="261"/>
  <c r="O8" i="261"/>
  <c r="Q8" i="261"/>
  <c r="J8" i="261"/>
  <c r="J7" i="261"/>
  <c r="H7" i="261"/>
  <c r="O7" i="261"/>
  <c r="Q7" i="261"/>
  <c r="O34" i="261"/>
  <c r="P34" i="261"/>
  <c r="G18" i="261"/>
  <c r="O18" i="261"/>
  <c r="Q18" i="261"/>
  <c r="G40" i="261"/>
  <c r="G20" i="261"/>
  <c r="F20" i="261"/>
  <c r="F6" i="271"/>
  <c r="E6" i="271"/>
  <c r="J67" i="74"/>
  <c r="E67" i="74"/>
  <c r="E72" i="74"/>
  <c r="E4" i="74"/>
  <c r="B56" i="74"/>
  <c r="E61" i="74"/>
  <c r="E29" i="74"/>
  <c r="E42" i="74"/>
  <c r="E50" i="74"/>
  <c r="E16" i="74"/>
  <c r="B21" i="74"/>
  <c r="B8" i="273"/>
  <c r="B9" i="273"/>
  <c r="B11" i="273"/>
  <c r="B3" i="273"/>
  <c r="B12" i="265"/>
  <c r="B2" i="271"/>
  <c r="G6" i="271"/>
  <c r="H6" i="271"/>
  <c r="I6" i="271"/>
  <c r="E80" i="261"/>
  <c r="E78" i="261"/>
  <c r="E77" i="261"/>
  <c r="E79" i="261"/>
  <c r="G72" i="261"/>
  <c r="J40" i="261"/>
  <c r="H43" i="261"/>
  <c r="H35" i="261"/>
  <c r="O35" i="261"/>
  <c r="F43" i="261"/>
  <c r="G24" i="261"/>
  <c r="O24" i="261"/>
  <c r="Q24" i="261"/>
  <c r="H18" i="270"/>
  <c r="H17" i="270"/>
  <c r="G3" i="270"/>
  <c r="G4" i="270"/>
  <c r="G5" i="270"/>
  <c r="G6" i="270"/>
  <c r="G7" i="270"/>
  <c r="G8" i="270"/>
  <c r="F23" i="270"/>
  <c r="E23" i="270"/>
  <c r="D23" i="270"/>
  <c r="C23" i="270"/>
  <c r="G15" i="270"/>
  <c r="H16" i="270"/>
  <c r="E19" i="270"/>
  <c r="G19" i="270"/>
  <c r="G20" i="270"/>
  <c r="G21" i="270"/>
  <c r="G22" i="270"/>
  <c r="H22" i="270"/>
  <c r="F18" i="270"/>
  <c r="E18" i="270"/>
  <c r="D18" i="270"/>
  <c r="C18" i="270"/>
  <c r="F35" i="266"/>
  <c r="F34" i="266"/>
  <c r="P54" i="266"/>
  <c r="P53" i="266"/>
  <c r="P52" i="266"/>
  <c r="P47" i="266"/>
  <c r="P46" i="266"/>
  <c r="O46" i="266"/>
  <c r="P45" i="266"/>
  <c r="P44" i="266"/>
  <c r="O43" i="266"/>
  <c r="P40" i="266"/>
  <c r="O40" i="266"/>
  <c r="P35" i="266"/>
  <c r="P34" i="266"/>
  <c r="P33" i="266"/>
  <c r="O33" i="266"/>
  <c r="P31" i="266"/>
  <c r="P30" i="266"/>
  <c r="O30" i="266"/>
  <c r="P29" i="266"/>
  <c r="Q28" i="266"/>
  <c r="B28" i="266"/>
  <c r="P25" i="266"/>
  <c r="P23" i="266"/>
  <c r="P22" i="266"/>
  <c r="O22" i="266"/>
  <c r="P21" i="266"/>
  <c r="O21" i="266"/>
  <c r="P20" i="266"/>
  <c r="P19" i="266"/>
  <c r="O19" i="266"/>
  <c r="Q19" i="266"/>
  <c r="P18" i="266"/>
  <c r="P17" i="266"/>
  <c r="O17" i="266"/>
  <c r="Q17" i="266"/>
  <c r="P16" i="266"/>
  <c r="O16" i="266"/>
  <c r="Q16" i="266"/>
  <c r="P15" i="266"/>
  <c r="O15" i="266"/>
  <c r="Q15" i="266"/>
  <c r="P14" i="266"/>
  <c r="F14" i="266"/>
  <c r="P13" i="266"/>
  <c r="O13" i="266"/>
  <c r="Q13" i="266"/>
  <c r="P12" i="266"/>
  <c r="P11" i="266"/>
  <c r="O11" i="266"/>
  <c r="Q11" i="266"/>
  <c r="P10" i="266"/>
  <c r="O10" i="266"/>
  <c r="Q10" i="266"/>
  <c r="P9" i="266"/>
  <c r="P8" i="266"/>
  <c r="P7" i="266"/>
  <c r="P6" i="266"/>
  <c r="N4" i="266"/>
  <c r="L4" i="266"/>
  <c r="I3" i="266"/>
  <c r="K3" i="266"/>
  <c r="M3" i="266"/>
  <c r="B1" i="266"/>
  <c r="A1" i="266" s="1"/>
  <c r="B14" i="265"/>
  <c r="B16" i="265"/>
  <c r="B23" i="265"/>
  <c r="B22" i="265"/>
  <c r="B7" i="264"/>
  <c r="B16" i="264"/>
  <c r="B3" i="264"/>
  <c r="N43" i="129"/>
  <c r="G14" i="261"/>
  <c r="B17" i="263"/>
  <c r="B32" i="263"/>
  <c r="B12" i="262"/>
  <c r="C10" i="262"/>
  <c r="B10" i="262"/>
  <c r="B6" i="262"/>
  <c r="C6" i="262"/>
  <c r="C7" i="262"/>
  <c r="C12" i="262"/>
  <c r="B7" i="262"/>
  <c r="C4" i="262"/>
  <c r="B4" i="262"/>
  <c r="B8" i="259"/>
  <c r="B9" i="259"/>
  <c r="F42" i="261"/>
  <c r="O42" i="261"/>
  <c r="O23" i="261"/>
  <c r="P23" i="261"/>
  <c r="G12" i="261"/>
  <c r="F33" i="261"/>
  <c r="G53" i="253"/>
  <c r="G52" i="253"/>
  <c r="F15" i="261"/>
  <c r="O15" i="261"/>
  <c r="Q15" i="261"/>
  <c r="F41" i="261"/>
  <c r="O41" i="261"/>
  <c r="E50" i="261"/>
  <c r="J40" i="253"/>
  <c r="J35" i="261"/>
  <c r="H40" i="253"/>
  <c r="H46" i="253"/>
  <c r="O56" i="253"/>
  <c r="E67" i="253"/>
  <c r="H34" i="253"/>
  <c r="O34" i="253"/>
  <c r="F21" i="252"/>
  <c r="F18" i="252"/>
  <c r="F6" i="261"/>
  <c r="J6" i="261"/>
  <c r="P50" i="261"/>
  <c r="P49" i="261"/>
  <c r="P48" i="261"/>
  <c r="E44" i="261"/>
  <c r="P43" i="261"/>
  <c r="P42" i="261"/>
  <c r="P41" i="261"/>
  <c r="P40" i="261"/>
  <c r="O39" i="261"/>
  <c r="P36" i="261"/>
  <c r="P35" i="261"/>
  <c r="P33" i="261"/>
  <c r="P32" i="261"/>
  <c r="O32" i="261"/>
  <c r="P31" i="261"/>
  <c r="P30" i="261"/>
  <c r="O30" i="261"/>
  <c r="P29" i="261"/>
  <c r="O29" i="261"/>
  <c r="P28" i="261"/>
  <c r="Q27" i="261"/>
  <c r="B27" i="261"/>
  <c r="P24" i="261"/>
  <c r="P22" i="261"/>
  <c r="O22" i="261"/>
  <c r="P21" i="261"/>
  <c r="O21" i="261"/>
  <c r="P20" i="261"/>
  <c r="O20" i="261"/>
  <c r="P19" i="261"/>
  <c r="O19" i="261"/>
  <c r="Q19" i="261"/>
  <c r="P18" i="261"/>
  <c r="P17" i="261"/>
  <c r="O17" i="261"/>
  <c r="Q17" i="261"/>
  <c r="P16" i="261"/>
  <c r="O16" i="261"/>
  <c r="Q16" i="261"/>
  <c r="P15" i="261"/>
  <c r="P14" i="261"/>
  <c r="F14" i="261"/>
  <c r="P13" i="261"/>
  <c r="O13" i="261"/>
  <c r="Q13" i="261"/>
  <c r="P12" i="261"/>
  <c r="P11" i="261"/>
  <c r="O11" i="261"/>
  <c r="Q11" i="261"/>
  <c r="P10" i="261"/>
  <c r="O10" i="261"/>
  <c r="Q10" i="261"/>
  <c r="P9" i="261"/>
  <c r="P8" i="261"/>
  <c r="P7" i="261"/>
  <c r="P6" i="261"/>
  <c r="N4" i="261"/>
  <c r="L4" i="261"/>
  <c r="I3" i="261"/>
  <c r="K3" i="261"/>
  <c r="M3" i="261"/>
  <c r="B1" i="261"/>
  <c r="A1" i="261" s="1"/>
  <c r="J34" i="253"/>
  <c r="G40" i="253"/>
  <c r="F6" i="253"/>
  <c r="F8" i="253"/>
  <c r="J8" i="253"/>
  <c r="G46" i="253"/>
  <c r="Q46" i="253"/>
  <c r="F46" i="253"/>
  <c r="O46" i="253"/>
  <c r="G48" i="253"/>
  <c r="H45" i="253"/>
  <c r="O45" i="253"/>
  <c r="E15" i="254"/>
  <c r="F40" i="253"/>
  <c r="F7" i="253"/>
  <c r="F23" i="253"/>
  <c r="F18" i="253"/>
  <c r="H7" i="253"/>
  <c r="O7" i="253"/>
  <c r="J6" i="253"/>
  <c r="J4" i="253"/>
  <c r="J39" i="253"/>
  <c r="J23" i="253"/>
  <c r="F44" i="253"/>
  <c r="O44" i="253"/>
  <c r="H39" i="253"/>
  <c r="G18" i="253"/>
  <c r="O18" i="253"/>
  <c r="Q18" i="253"/>
  <c r="G20" i="253"/>
  <c r="G30" i="253"/>
  <c r="F20" i="253"/>
  <c r="O20" i="253"/>
  <c r="H33" i="253"/>
  <c r="H42" i="253"/>
  <c r="H30" i="253"/>
  <c r="P45" i="253"/>
  <c r="G23" i="253"/>
  <c r="G39" i="253"/>
  <c r="J41" i="253"/>
  <c r="H6" i="253"/>
  <c r="H4" i="253"/>
  <c r="P53" i="253"/>
  <c r="O33" i="253"/>
  <c r="H58" i="253"/>
  <c r="G14" i="253"/>
  <c r="F43" i="253"/>
  <c r="O43" i="253"/>
  <c r="G43" i="253"/>
  <c r="G41" i="253"/>
  <c r="H41" i="253"/>
  <c r="F41" i="253"/>
  <c r="O10" i="253"/>
  <c r="Q10" i="253"/>
  <c r="O11" i="253"/>
  <c r="F12" i="253"/>
  <c r="O12" i="253"/>
  <c r="Q12" i="253"/>
  <c r="G12" i="253"/>
  <c r="O13" i="253"/>
  <c r="F14" i="253"/>
  <c r="O14" i="253"/>
  <c r="Q14" i="253"/>
  <c r="F15" i="253"/>
  <c r="O15" i="253"/>
  <c r="Q15" i="253"/>
  <c r="O16" i="253"/>
  <c r="Q16" i="253"/>
  <c r="O17" i="253"/>
  <c r="Q17" i="253"/>
  <c r="O19" i="253"/>
  <c r="O21" i="253"/>
  <c r="O22" i="253"/>
  <c r="O23" i="253"/>
  <c r="Q23" i="253"/>
  <c r="O38" i="253"/>
  <c r="O28" i="253"/>
  <c r="O29" i="253"/>
  <c r="E47" i="253"/>
  <c r="E48" i="253"/>
  <c r="F34" i="253"/>
  <c r="F27" i="253"/>
  <c r="D26" i="253"/>
  <c r="Q26" i="253"/>
  <c r="Q11" i="253"/>
  <c r="Q13" i="253"/>
  <c r="Q19" i="253"/>
  <c r="O31" i="253"/>
  <c r="O32" i="253"/>
  <c r="O35" i="253"/>
  <c r="Q42" i="253"/>
  <c r="L4" i="253"/>
  <c r="N4" i="253"/>
  <c r="P41" i="253"/>
  <c r="E77" i="252"/>
  <c r="E78" i="252"/>
  <c r="E79" i="252"/>
  <c r="E80" i="252"/>
  <c r="E81" i="252"/>
  <c r="E82" i="252"/>
  <c r="E83" i="252"/>
  <c r="E84" i="252"/>
  <c r="E85" i="252"/>
  <c r="E86" i="252"/>
  <c r="E87" i="252"/>
  <c r="E88" i="252"/>
  <c r="H6" i="252"/>
  <c r="H7" i="252"/>
  <c r="H4" i="252"/>
  <c r="H8" i="252"/>
  <c r="O8" i="252"/>
  <c r="H34" i="252"/>
  <c r="H40" i="252"/>
  <c r="H41" i="252"/>
  <c r="H43" i="252"/>
  <c r="J7" i="252"/>
  <c r="J8" i="252"/>
  <c r="J34" i="252"/>
  <c r="K76" i="252"/>
  <c r="J40" i="252"/>
  <c r="J41" i="252"/>
  <c r="E97" i="252"/>
  <c r="E100" i="252"/>
  <c r="B10" i="258"/>
  <c r="P44" i="253"/>
  <c r="E90" i="252"/>
  <c r="E91" i="252"/>
  <c r="E92" i="252"/>
  <c r="G45" i="252"/>
  <c r="F7" i="252"/>
  <c r="O7" i="252"/>
  <c r="Q7" i="252"/>
  <c r="F8" i="252"/>
  <c r="F23" i="252"/>
  <c r="N60" i="252"/>
  <c r="F6" i="252"/>
  <c r="O6" i="252"/>
  <c r="Q6" i="252"/>
  <c r="O10" i="252"/>
  <c r="Q10" i="252"/>
  <c r="O11" i="252"/>
  <c r="F12" i="252"/>
  <c r="O12" i="252"/>
  <c r="G12" i="252"/>
  <c r="O13" i="252"/>
  <c r="Q13" i="252"/>
  <c r="F14" i="252"/>
  <c r="O14" i="252"/>
  <c r="Q14" i="252"/>
  <c r="G14" i="252"/>
  <c r="F15" i="252"/>
  <c r="O15" i="252"/>
  <c r="Q15" i="252"/>
  <c r="O16" i="252"/>
  <c r="Q16" i="252"/>
  <c r="O17" i="252"/>
  <c r="Q17" i="252"/>
  <c r="G18" i="252"/>
  <c r="O18" i="252"/>
  <c r="Q18" i="252"/>
  <c r="O19" i="252"/>
  <c r="O20" i="252"/>
  <c r="Q20" i="252"/>
  <c r="G21" i="252"/>
  <c r="O22" i="252"/>
  <c r="O23" i="252"/>
  <c r="F24" i="252"/>
  <c r="G24" i="252"/>
  <c r="O24" i="252"/>
  <c r="Q24" i="252"/>
  <c r="O39" i="252"/>
  <c r="O29" i="252"/>
  <c r="O30" i="252"/>
  <c r="E44" i="252"/>
  <c r="D5" i="252"/>
  <c r="F34" i="252"/>
  <c r="F43" i="252"/>
  <c r="F42" i="252"/>
  <c r="F41" i="252"/>
  <c r="G40" i="252"/>
  <c r="Q27" i="252"/>
  <c r="Q8" i="252"/>
  <c r="Q11" i="252"/>
  <c r="Q12" i="252"/>
  <c r="Q19" i="252"/>
  <c r="G32" i="252"/>
  <c r="O32" i="252"/>
  <c r="O33" i="252"/>
  <c r="O35" i="252"/>
  <c r="O36" i="252"/>
  <c r="O43" i="252"/>
  <c r="L4" i="252"/>
  <c r="N4" i="252"/>
  <c r="G42" i="252"/>
  <c r="O42" i="252"/>
  <c r="B39" i="129"/>
  <c r="B42" i="129"/>
  <c r="B44" i="129"/>
  <c r="P42" i="253"/>
  <c r="P40" i="253"/>
  <c r="E65" i="253"/>
  <c r="E56" i="253"/>
  <c r="E57" i="253"/>
  <c r="I130" i="74"/>
  <c r="I154" i="74"/>
  <c r="I140" i="74"/>
  <c r="I138" i="74"/>
  <c r="I136" i="74"/>
  <c r="I135" i="74"/>
  <c r="I134" i="74"/>
  <c r="I119" i="74"/>
  <c r="B14" i="255"/>
  <c r="B3" i="255"/>
  <c r="D9" i="254"/>
  <c r="C10" i="254"/>
  <c r="D10" i="254"/>
  <c r="C8" i="254"/>
  <c r="D8" i="254"/>
  <c r="D11" i="254"/>
  <c r="D7" i="254"/>
  <c r="D6" i="254"/>
  <c r="D5" i="254"/>
  <c r="M70" i="252"/>
  <c r="P52" i="253"/>
  <c r="P51" i="253"/>
  <c r="P46" i="253"/>
  <c r="P43" i="253"/>
  <c r="P39" i="253"/>
  <c r="P35" i="253"/>
  <c r="P34" i="253"/>
  <c r="P33" i="253"/>
  <c r="P32" i="253"/>
  <c r="P31" i="253"/>
  <c r="P30" i="253"/>
  <c r="P29" i="253"/>
  <c r="P28" i="253"/>
  <c r="P27" i="253"/>
  <c r="B26" i="253"/>
  <c r="P23" i="253"/>
  <c r="P22" i="253"/>
  <c r="P21" i="253"/>
  <c r="P20" i="253"/>
  <c r="P19" i="253"/>
  <c r="P18" i="253"/>
  <c r="P17" i="253"/>
  <c r="P16" i="253"/>
  <c r="P15" i="253"/>
  <c r="P14" i="253"/>
  <c r="P13" i="253"/>
  <c r="P12" i="253"/>
  <c r="P11" i="253"/>
  <c r="P10" i="253"/>
  <c r="P9" i="253"/>
  <c r="P8" i="253"/>
  <c r="P7" i="253"/>
  <c r="P6" i="253"/>
  <c r="I3" i="253"/>
  <c r="K3" i="253"/>
  <c r="M3" i="253"/>
  <c r="B1" i="253"/>
  <c r="A1" i="253" s="1"/>
  <c r="K74" i="252"/>
  <c r="I95" i="252"/>
  <c r="H91" i="252"/>
  <c r="I91" i="252"/>
  <c r="H88" i="252"/>
  <c r="I88" i="252"/>
  <c r="H89" i="252"/>
  <c r="I89" i="252"/>
  <c r="H90" i="252"/>
  <c r="I90" i="252"/>
  <c r="H83" i="252"/>
  <c r="I81" i="252"/>
  <c r="I82" i="252"/>
  <c r="I83" i="252"/>
  <c r="K62" i="252"/>
  <c r="K77" i="252"/>
  <c r="K75" i="252"/>
  <c r="K63" i="252"/>
  <c r="H51" i="252"/>
  <c r="B56" i="251"/>
  <c r="C56" i="251"/>
  <c r="B118" i="251"/>
  <c r="B70" i="251"/>
  <c r="C46" i="251"/>
  <c r="B46" i="251"/>
  <c r="F13" i="251"/>
  <c r="F12" i="251"/>
  <c r="F11" i="251"/>
  <c r="E11" i="251"/>
  <c r="J56" i="252"/>
  <c r="H58" i="252"/>
  <c r="B30" i="251"/>
  <c r="B29" i="251"/>
  <c r="B107" i="251"/>
  <c r="B92" i="251"/>
  <c r="C80" i="251"/>
  <c r="B82" i="251"/>
  <c r="C118" i="251"/>
  <c r="B127" i="251"/>
  <c r="B128" i="251"/>
  <c r="C128" i="251"/>
  <c r="C117" i="251"/>
  <c r="C41" i="251"/>
  <c r="B5" i="251"/>
  <c r="F3" i="251"/>
  <c r="Q43" i="252"/>
  <c r="O41" i="252"/>
  <c r="D73" i="252"/>
  <c r="B8" i="241"/>
  <c r="L45" i="129"/>
  <c r="E16" i="251"/>
  <c r="E62" i="252"/>
  <c r="P23" i="252"/>
  <c r="P41" i="252"/>
  <c r="E62" i="247"/>
  <c r="D65" i="247"/>
  <c r="D66" i="247"/>
  <c r="D64" i="247"/>
  <c r="D62" i="247"/>
  <c r="H13" i="251"/>
  <c r="H12" i="251"/>
  <c r="B21" i="251"/>
  <c r="E61" i="252"/>
  <c r="H49" i="252"/>
  <c r="C10" i="251"/>
  <c r="H39" i="247"/>
  <c r="H23" i="247"/>
  <c r="H6" i="247"/>
  <c r="O6" i="247"/>
  <c r="Q6" i="247"/>
  <c r="H33" i="247"/>
  <c r="H7" i="247"/>
  <c r="L39" i="247"/>
  <c r="L8" i="247"/>
  <c r="L33" i="247"/>
  <c r="L23" i="247"/>
  <c r="G43" i="247"/>
  <c r="G18" i="247"/>
  <c r="P49" i="252"/>
  <c r="P48" i="252"/>
  <c r="P43" i="252"/>
  <c r="P42" i="252"/>
  <c r="P40" i="252"/>
  <c r="X39" i="252"/>
  <c r="P36" i="252"/>
  <c r="P35" i="252"/>
  <c r="X34" i="252"/>
  <c r="P34" i="252"/>
  <c r="P33" i="252"/>
  <c r="P32" i="252"/>
  <c r="P31" i="252"/>
  <c r="P30" i="252"/>
  <c r="P29" i="252"/>
  <c r="P28" i="252"/>
  <c r="B27" i="252"/>
  <c r="P24" i="252"/>
  <c r="P22" i="252"/>
  <c r="P21" i="252"/>
  <c r="P20" i="252"/>
  <c r="P19" i="252"/>
  <c r="P18" i="252"/>
  <c r="S17" i="252"/>
  <c r="P17" i="252"/>
  <c r="P16" i="252"/>
  <c r="P15" i="252"/>
  <c r="P14" i="252"/>
  <c r="P13" i="252"/>
  <c r="P12" i="252"/>
  <c r="S11" i="252"/>
  <c r="P11" i="252"/>
  <c r="P10" i="252"/>
  <c r="P9" i="252"/>
  <c r="X8" i="252"/>
  <c r="P8" i="252"/>
  <c r="X7" i="252"/>
  <c r="P7" i="252"/>
  <c r="X6" i="252"/>
  <c r="P6" i="252"/>
  <c r="X5" i="252"/>
  <c r="I3" i="252"/>
  <c r="K3" i="252"/>
  <c r="M3" i="252"/>
  <c r="B1" i="252"/>
  <c r="A1" i="252" s="1"/>
  <c r="B2" i="251"/>
  <c r="C2" i="251"/>
  <c r="D53" i="247"/>
  <c r="D54" i="247"/>
  <c r="G57" i="247"/>
  <c r="F55" i="247"/>
  <c r="F54" i="247"/>
  <c r="F53" i="247"/>
  <c r="H6" i="242"/>
  <c r="J6" i="242"/>
  <c r="K6" i="242" s="1"/>
  <c r="I6" i="242"/>
  <c r="G44" i="229"/>
  <c r="F22" i="229"/>
  <c r="O22" i="229"/>
  <c r="F12" i="229"/>
  <c r="T4" i="220"/>
  <c r="S4" i="220"/>
  <c r="S3" i="220"/>
  <c r="M10" i="220"/>
  <c r="G49" i="247"/>
  <c r="C15" i="251"/>
  <c r="C14" i="251"/>
  <c r="C11" i="251"/>
  <c r="C9" i="251"/>
  <c r="C8" i="251"/>
  <c r="C7" i="251"/>
  <c r="C6" i="251"/>
  <c r="D21" i="251"/>
  <c r="B4" i="251"/>
  <c r="B16" i="251"/>
  <c r="E24" i="249"/>
  <c r="E19" i="249"/>
  <c r="E25" i="249"/>
  <c r="E20" i="249"/>
  <c r="E15" i="249"/>
  <c r="E14" i="249"/>
  <c r="E2" i="249"/>
  <c r="I12" i="249"/>
  <c r="I13" i="249"/>
  <c r="E60" i="247"/>
  <c r="E59" i="247"/>
  <c r="E58" i="247"/>
  <c r="G50" i="247"/>
  <c r="G51" i="247"/>
  <c r="E59" i="250"/>
  <c r="F18" i="229"/>
  <c r="F18" i="250"/>
  <c r="F20" i="250"/>
  <c r="H101" i="250"/>
  <c r="I59" i="250"/>
  <c r="Q57" i="250"/>
  <c r="Q52" i="250"/>
  <c r="P57" i="250"/>
  <c r="I55" i="250"/>
  <c r="I54" i="250"/>
  <c r="P52" i="250"/>
  <c r="O52" i="250"/>
  <c r="F52" i="250"/>
  <c r="I61" i="250"/>
  <c r="P49" i="250"/>
  <c r="P48" i="250"/>
  <c r="P47" i="250"/>
  <c r="G44" i="250"/>
  <c r="E43" i="250"/>
  <c r="E44" i="250"/>
  <c r="Q42" i="250"/>
  <c r="P42" i="250"/>
  <c r="O42" i="250"/>
  <c r="P41" i="250"/>
  <c r="O40" i="250"/>
  <c r="P37" i="250"/>
  <c r="O37" i="250"/>
  <c r="P36" i="250"/>
  <c r="O36" i="250"/>
  <c r="P35" i="250"/>
  <c r="O35" i="250"/>
  <c r="P34" i="250"/>
  <c r="F34" i="250"/>
  <c r="O34" i="250"/>
  <c r="P33" i="250"/>
  <c r="F33" i="250"/>
  <c r="O33" i="250"/>
  <c r="P32" i="250"/>
  <c r="F32" i="250"/>
  <c r="O32" i="250"/>
  <c r="P31" i="250"/>
  <c r="O31" i="250"/>
  <c r="P30" i="250"/>
  <c r="O30" i="250"/>
  <c r="P29" i="250"/>
  <c r="F29" i="250"/>
  <c r="P28" i="250"/>
  <c r="F28" i="250"/>
  <c r="O28" i="250"/>
  <c r="P27" i="250"/>
  <c r="O27" i="250"/>
  <c r="P26" i="250"/>
  <c r="F26" i="250"/>
  <c r="D25" i="250"/>
  <c r="B24" i="250"/>
  <c r="Q25" i="250"/>
  <c r="B25" i="250"/>
  <c r="P22" i="250"/>
  <c r="F22" i="250"/>
  <c r="O22" i="250"/>
  <c r="Q22" i="250"/>
  <c r="P21" i="250"/>
  <c r="F21" i="250"/>
  <c r="O21" i="250"/>
  <c r="Q21" i="250"/>
  <c r="P20" i="250"/>
  <c r="P19" i="250"/>
  <c r="O19" i="250"/>
  <c r="Q19" i="250"/>
  <c r="P18" i="250"/>
  <c r="O18" i="250"/>
  <c r="Q18" i="250"/>
  <c r="P17" i="250"/>
  <c r="O17" i="250"/>
  <c r="Q17" i="250"/>
  <c r="Q16" i="250"/>
  <c r="P16" i="250"/>
  <c r="O16" i="250"/>
  <c r="P15" i="250"/>
  <c r="F15" i="250"/>
  <c r="O15" i="250"/>
  <c r="Q15" i="250"/>
  <c r="P14" i="250"/>
  <c r="F14" i="250"/>
  <c r="O14" i="250"/>
  <c r="Q14" i="250"/>
  <c r="P13" i="250"/>
  <c r="F13" i="250"/>
  <c r="O13" i="250"/>
  <c r="Q13" i="250"/>
  <c r="P12" i="250"/>
  <c r="F12" i="250"/>
  <c r="O12" i="250"/>
  <c r="Q12" i="250"/>
  <c r="P11" i="250"/>
  <c r="F11" i="250"/>
  <c r="O11" i="250"/>
  <c r="Q11" i="250"/>
  <c r="P10" i="250"/>
  <c r="P9" i="250"/>
  <c r="P8" i="250"/>
  <c r="F8" i="250"/>
  <c r="O8" i="250"/>
  <c r="Q8" i="250"/>
  <c r="P7" i="250"/>
  <c r="F7" i="250"/>
  <c r="O7" i="250"/>
  <c r="Q7" i="250"/>
  <c r="P6" i="250"/>
  <c r="F6" i="250"/>
  <c r="N4" i="250"/>
  <c r="L4" i="250"/>
  <c r="J4" i="250"/>
  <c r="H4" i="250"/>
  <c r="O4" i="250"/>
  <c r="I3" i="250"/>
  <c r="K3" i="250"/>
  <c r="M3" i="250"/>
  <c r="B1" i="250"/>
  <c r="A1" i="250" s="1"/>
  <c r="F20" i="229"/>
  <c r="P57" i="229"/>
  <c r="P52" i="229"/>
  <c r="Q57" i="229"/>
  <c r="F15" i="229"/>
  <c r="Q52" i="229"/>
  <c r="I55" i="229"/>
  <c r="I54" i="229"/>
  <c r="F6" i="229"/>
  <c r="O12" i="229"/>
  <c r="Q12" i="229"/>
  <c r="B27" i="249"/>
  <c r="B21" i="249"/>
  <c r="B16" i="249"/>
  <c r="B32" i="249"/>
  <c r="B3" i="249"/>
  <c r="B10" i="249"/>
  <c r="E10" i="249"/>
  <c r="B8" i="249"/>
  <c r="J30" i="247"/>
  <c r="J8" i="247"/>
  <c r="O8" i="247"/>
  <c r="Q8" i="247"/>
  <c r="J39" i="247"/>
  <c r="F23" i="247"/>
  <c r="G21" i="247"/>
  <c r="G39" i="247"/>
  <c r="G23" i="247"/>
  <c r="H32" i="247"/>
  <c r="I59" i="229"/>
  <c r="F18" i="247"/>
  <c r="F21" i="247"/>
  <c r="O21" i="247"/>
  <c r="F33" i="229"/>
  <c r="O33" i="229"/>
  <c r="F21" i="229"/>
  <c r="P20" i="229"/>
  <c r="F14" i="229"/>
  <c r="F14" i="247"/>
  <c r="F13" i="229"/>
  <c r="F8" i="229"/>
  <c r="F11" i="229"/>
  <c r="O11" i="229"/>
  <c r="O52" i="229"/>
  <c r="F41" i="247"/>
  <c r="H41" i="247"/>
  <c r="H34" i="247"/>
  <c r="O34" i="247"/>
  <c r="F35" i="247"/>
  <c r="O35" i="247"/>
  <c r="G14" i="247"/>
  <c r="G40" i="247"/>
  <c r="F40" i="247"/>
  <c r="E40" i="247"/>
  <c r="F34" i="247"/>
  <c r="J53" i="247"/>
  <c r="N54" i="243"/>
  <c r="N55" i="243"/>
  <c r="J47" i="247"/>
  <c r="H7" i="243"/>
  <c r="P40" i="247"/>
  <c r="Q38" i="247"/>
  <c r="P39" i="247"/>
  <c r="F33" i="247"/>
  <c r="O33" i="247"/>
  <c r="G12" i="247"/>
  <c r="K58" i="243"/>
  <c r="D59" i="243"/>
  <c r="D58" i="243"/>
  <c r="D57" i="243"/>
  <c r="D56" i="243"/>
  <c r="D55" i="243"/>
  <c r="E78" i="243"/>
  <c r="E79" i="243"/>
  <c r="H83" i="243"/>
  <c r="H84" i="243"/>
  <c r="H85" i="243"/>
  <c r="H88" i="243"/>
  <c r="F84" i="243"/>
  <c r="F85" i="243"/>
  <c r="G84" i="243"/>
  <c r="G83" i="243"/>
  <c r="E88" i="243"/>
  <c r="J93" i="243"/>
  <c r="I94" i="243"/>
  <c r="J94" i="243"/>
  <c r="J96" i="243"/>
  <c r="J97" i="243"/>
  <c r="D98" i="243"/>
  <c r="D99" i="243"/>
  <c r="D100" i="243"/>
  <c r="J99" i="243"/>
  <c r="J100" i="243"/>
  <c r="J101" i="243"/>
  <c r="L60" i="243"/>
  <c r="K60" i="243"/>
  <c r="K57" i="243"/>
  <c r="H59" i="243"/>
  <c r="D50" i="243"/>
  <c r="H41" i="243"/>
  <c r="H4" i="243"/>
  <c r="H50" i="243"/>
  <c r="D51" i="243"/>
  <c r="F50" i="243"/>
  <c r="J40" i="243"/>
  <c r="L40" i="243"/>
  <c r="L8" i="243"/>
  <c r="O8" i="243"/>
  <c r="Q8" i="243"/>
  <c r="L30" i="243"/>
  <c r="L34" i="243"/>
  <c r="O34" i="243"/>
  <c r="L41" i="243"/>
  <c r="H6" i="243"/>
  <c r="H40" i="243"/>
  <c r="F41" i="243"/>
  <c r="G43" i="243"/>
  <c r="G18" i="243"/>
  <c r="G21" i="243"/>
  <c r="F7" i="243"/>
  <c r="G23" i="243"/>
  <c r="G14" i="243"/>
  <c r="O14" i="243"/>
  <c r="Q14" i="243"/>
  <c r="F14" i="243"/>
  <c r="F18" i="248"/>
  <c r="O18" i="248"/>
  <c r="Q18" i="248"/>
  <c r="E33" i="248"/>
  <c r="B25" i="248"/>
  <c r="F21" i="248"/>
  <c r="G36" i="243"/>
  <c r="E42" i="247"/>
  <c r="O28" i="247"/>
  <c r="P28" i="247"/>
  <c r="F29" i="247"/>
  <c r="O29" i="247"/>
  <c r="P29" i="247"/>
  <c r="F30" i="247"/>
  <c r="P30" i="247"/>
  <c r="O31" i="247"/>
  <c r="P31" i="247"/>
  <c r="O32" i="247"/>
  <c r="P32" i="247"/>
  <c r="P33" i="247"/>
  <c r="X33" i="247"/>
  <c r="P34" i="247"/>
  <c r="P35" i="247"/>
  <c r="P38" i="248"/>
  <c r="P37" i="248"/>
  <c r="P36" i="248"/>
  <c r="Q31" i="248"/>
  <c r="P31" i="248"/>
  <c r="O31" i="248"/>
  <c r="P29" i="248"/>
  <c r="L29" i="248"/>
  <c r="X28" i="248"/>
  <c r="O28" i="248"/>
  <c r="P25" i="248"/>
  <c r="O25" i="248"/>
  <c r="O24" i="248"/>
  <c r="Q24" i="248"/>
  <c r="B24" i="248"/>
  <c r="P21" i="248"/>
  <c r="O21" i="248"/>
  <c r="Q21" i="248"/>
  <c r="P20" i="248"/>
  <c r="O20" i="248"/>
  <c r="P19" i="248"/>
  <c r="O19" i="248"/>
  <c r="Q19" i="248"/>
  <c r="P18" i="248"/>
  <c r="S17" i="248"/>
  <c r="P17" i="248"/>
  <c r="O17" i="248"/>
  <c r="Q17" i="248"/>
  <c r="P16" i="248"/>
  <c r="O16" i="248"/>
  <c r="Q16" i="248"/>
  <c r="P15" i="248"/>
  <c r="F15" i="248"/>
  <c r="O15" i="248"/>
  <c r="Q15" i="248"/>
  <c r="P14" i="248"/>
  <c r="F14" i="248"/>
  <c r="O14" i="248"/>
  <c r="Q14" i="248"/>
  <c r="P13" i="248"/>
  <c r="O13" i="248"/>
  <c r="Q13" i="248"/>
  <c r="P12" i="248"/>
  <c r="F12" i="248"/>
  <c r="O12" i="248"/>
  <c r="Q12" i="248"/>
  <c r="S11" i="248"/>
  <c r="P11" i="248"/>
  <c r="O11" i="248"/>
  <c r="Q11" i="248"/>
  <c r="P10" i="248"/>
  <c r="O10" i="248"/>
  <c r="Q10" i="248"/>
  <c r="P9" i="248"/>
  <c r="X8" i="248"/>
  <c r="P8" i="248"/>
  <c r="L8" i="248"/>
  <c r="O8" i="248"/>
  <c r="Q8" i="248"/>
  <c r="X7" i="248"/>
  <c r="P7" i="248"/>
  <c r="F7" i="248"/>
  <c r="X6" i="248"/>
  <c r="P6" i="248"/>
  <c r="O6" i="248"/>
  <c r="X5" i="248"/>
  <c r="N4" i="248"/>
  <c r="J4" i="248"/>
  <c r="H4" i="248"/>
  <c r="I3" i="248"/>
  <c r="K3" i="248"/>
  <c r="M3" i="248"/>
  <c r="B1" i="248"/>
  <c r="A1" i="248" s="1"/>
  <c r="G12" i="243"/>
  <c r="F36" i="243"/>
  <c r="O36" i="243"/>
  <c r="O23" i="247"/>
  <c r="G43" i="217"/>
  <c r="F15" i="247"/>
  <c r="O15" i="247"/>
  <c r="Q15" i="247"/>
  <c r="F23" i="243"/>
  <c r="O23" i="243"/>
  <c r="Q23" i="243"/>
  <c r="F15" i="243"/>
  <c r="F33" i="243"/>
  <c r="O33" i="243"/>
  <c r="G46" i="209"/>
  <c r="F44" i="209"/>
  <c r="G45" i="207"/>
  <c r="P47" i="247"/>
  <c r="P46" i="247"/>
  <c r="Q41" i="247"/>
  <c r="P41" i="247"/>
  <c r="O41" i="247"/>
  <c r="X38" i="247"/>
  <c r="O38" i="247"/>
  <c r="P27" i="247"/>
  <c r="Q26" i="247"/>
  <c r="B26" i="247"/>
  <c r="P23" i="247"/>
  <c r="P22" i="247"/>
  <c r="O22" i="247"/>
  <c r="P21" i="247"/>
  <c r="P20" i="247"/>
  <c r="O20" i="247"/>
  <c r="Q20" i="247"/>
  <c r="P19" i="247"/>
  <c r="O19" i="247"/>
  <c r="Q19" i="247"/>
  <c r="P18" i="247"/>
  <c r="S17" i="247"/>
  <c r="P17" i="247"/>
  <c r="O17" i="247"/>
  <c r="Q17" i="247"/>
  <c r="P16" i="247"/>
  <c r="O16" i="247"/>
  <c r="Q16" i="247"/>
  <c r="P15" i="247"/>
  <c r="P14" i="247"/>
  <c r="P13" i="247"/>
  <c r="O13" i="247"/>
  <c r="Q13" i="247"/>
  <c r="P12" i="247"/>
  <c r="F12" i="247"/>
  <c r="S11" i="247"/>
  <c r="P11" i="247"/>
  <c r="O11" i="247"/>
  <c r="Q11" i="247"/>
  <c r="P10" i="247"/>
  <c r="O10" i="247"/>
  <c r="Q10" i="247"/>
  <c r="P9" i="247"/>
  <c r="X8" i="247"/>
  <c r="P8" i="247"/>
  <c r="X7" i="247"/>
  <c r="P7" i="247"/>
  <c r="O7" i="247"/>
  <c r="X6" i="247"/>
  <c r="P6" i="247"/>
  <c r="X5" i="247"/>
  <c r="N4" i="247"/>
  <c r="J4" i="247"/>
  <c r="J51" i="247"/>
  <c r="I3" i="247"/>
  <c r="K3" i="247"/>
  <c r="M3" i="247"/>
  <c r="B1" i="247"/>
  <c r="A1" i="247" s="1"/>
  <c r="F28" i="216"/>
  <c r="F21" i="243"/>
  <c r="O21" i="243"/>
  <c r="H33" i="243"/>
  <c r="H36" i="243"/>
  <c r="P36" i="243"/>
  <c r="G19" i="238"/>
  <c r="F46" i="238"/>
  <c r="G48" i="238"/>
  <c r="L11" i="246"/>
  <c r="L10" i="246"/>
  <c r="L13" i="246"/>
  <c r="M13" i="246"/>
  <c r="L12" i="246"/>
  <c r="L9" i="246"/>
  <c r="J4" i="246"/>
  <c r="J5" i="246"/>
  <c r="G2" i="246"/>
  <c r="G4" i="246"/>
  <c r="G3" i="246"/>
  <c r="J3" i="246"/>
  <c r="G5" i="246"/>
  <c r="G6" i="246"/>
  <c r="F15" i="238"/>
  <c r="O15" i="238"/>
  <c r="L44" i="238"/>
  <c r="L7" i="238"/>
  <c r="L8" i="238"/>
  <c r="L6" i="238"/>
  <c r="O6" i="238"/>
  <c r="Q6" i="238"/>
  <c r="L9" i="238"/>
  <c r="I55" i="238"/>
  <c r="H46" i="238"/>
  <c r="H4" i="238"/>
  <c r="P61" i="238"/>
  <c r="L31" i="238"/>
  <c r="L34" i="238"/>
  <c r="L39" i="238"/>
  <c r="O39" i="238"/>
  <c r="L46" i="238"/>
  <c r="L45" i="238"/>
  <c r="O45" i="238"/>
  <c r="F18" i="243"/>
  <c r="O18" i="243"/>
  <c r="Q18" i="243"/>
  <c r="F19" i="238"/>
  <c r="H39" i="238"/>
  <c r="H7" i="238"/>
  <c r="G22" i="238"/>
  <c r="G24" i="238"/>
  <c r="F9" i="238"/>
  <c r="F34" i="243"/>
  <c r="G47" i="237"/>
  <c r="P48" i="243"/>
  <c r="P47" i="243"/>
  <c r="P46" i="243"/>
  <c r="E42" i="243"/>
  <c r="E43" i="243"/>
  <c r="P41" i="243"/>
  <c r="P40" i="243"/>
  <c r="O39" i="243"/>
  <c r="P35" i="243"/>
  <c r="O35" i="243"/>
  <c r="P34" i="243"/>
  <c r="P33" i="243"/>
  <c r="P32" i="243"/>
  <c r="O32" i="243"/>
  <c r="P31" i="243"/>
  <c r="O31" i="243"/>
  <c r="P30" i="243"/>
  <c r="F30" i="243"/>
  <c r="P29" i="243"/>
  <c r="F29" i="243"/>
  <c r="P28" i="243"/>
  <c r="O28" i="243"/>
  <c r="P27" i="243"/>
  <c r="Q26" i="243"/>
  <c r="B26" i="243"/>
  <c r="P23" i="243"/>
  <c r="P22" i="243"/>
  <c r="O22" i="243"/>
  <c r="P21" i="243"/>
  <c r="P20" i="243"/>
  <c r="O20" i="243"/>
  <c r="Q20" i="243"/>
  <c r="P19" i="243"/>
  <c r="O19" i="243"/>
  <c r="Q19" i="243"/>
  <c r="P18" i="243"/>
  <c r="P17" i="243"/>
  <c r="O17" i="243"/>
  <c r="Q17" i="243"/>
  <c r="P16" i="243"/>
  <c r="O16" i="243"/>
  <c r="Q16" i="243"/>
  <c r="P15" i="243"/>
  <c r="O15" i="243"/>
  <c r="Q15" i="243"/>
  <c r="P14" i="243"/>
  <c r="P13" i="243"/>
  <c r="O13" i="243"/>
  <c r="Q13" i="243"/>
  <c r="P12" i="243"/>
  <c r="F12" i="243"/>
  <c r="O12" i="243"/>
  <c r="Q12" i="243"/>
  <c r="P11" i="243"/>
  <c r="O11" i="243"/>
  <c r="Q11" i="243"/>
  <c r="P10" i="243"/>
  <c r="O10" i="243"/>
  <c r="Q10" i="243"/>
  <c r="P9" i="243"/>
  <c r="P8" i="243"/>
  <c r="P7" i="243"/>
  <c r="P6" i="243"/>
  <c r="N4" i="243"/>
  <c r="J4" i="243"/>
  <c r="I3" i="243"/>
  <c r="K3" i="243"/>
  <c r="M3" i="243"/>
  <c r="B1" i="243"/>
  <c r="A1" i="243" s="1"/>
  <c r="F7" i="238"/>
  <c r="G15" i="238"/>
  <c r="G40" i="238"/>
  <c r="O40" i="238"/>
  <c r="O6" i="243"/>
  <c r="Q6" i="243"/>
  <c r="G13" i="238"/>
  <c r="X43" i="238"/>
  <c r="X34" i="238"/>
  <c r="X8" i="238"/>
  <c r="X7" i="238"/>
  <c r="X6" i="238"/>
  <c r="X5" i="238"/>
  <c r="P45" i="238"/>
  <c r="P46" i="238"/>
  <c r="Q45" i="238"/>
  <c r="O43" i="238"/>
  <c r="F38" i="238"/>
  <c r="G3" i="242"/>
  <c r="H3" i="242" s="1"/>
  <c r="F37" i="238"/>
  <c r="N64" i="237"/>
  <c r="L44" i="237"/>
  <c r="L35" i="237"/>
  <c r="H44" i="237"/>
  <c r="F45" i="237"/>
  <c r="Q45" i="237"/>
  <c r="G19" i="237"/>
  <c r="F19" i="237"/>
  <c r="B28" i="232"/>
  <c r="N32" i="232"/>
  <c r="N20" i="232"/>
  <c r="N8" i="232"/>
  <c r="B31" i="232"/>
  <c r="B19" i="232"/>
  <c r="B7" i="232"/>
  <c r="Y3" i="232"/>
  <c r="Y6" i="232"/>
  <c r="S27" i="237"/>
  <c r="H38" i="129"/>
  <c r="L39" i="237"/>
  <c r="L6" i="237"/>
  <c r="O6" i="237"/>
  <c r="Q6" i="237"/>
  <c r="L7" i="237"/>
  <c r="L45" i="237"/>
  <c r="L9" i="237"/>
  <c r="F40" i="237"/>
  <c r="H39" i="237"/>
  <c r="O39" i="237"/>
  <c r="G44" i="237"/>
  <c r="G15" i="237"/>
  <c r="L8" i="237"/>
  <c r="G22" i="237"/>
  <c r="O22" i="237"/>
  <c r="H7" i="237"/>
  <c r="P39" i="237"/>
  <c r="F36" i="237"/>
  <c r="L36" i="237"/>
  <c r="M52" i="232"/>
  <c r="O52" i="232"/>
  <c r="N49" i="232"/>
  <c r="N52" i="232"/>
  <c r="B28" i="240"/>
  <c r="F25" i="240"/>
  <c r="B25" i="240"/>
  <c r="F24" i="240"/>
  <c r="B24" i="240"/>
  <c r="F23" i="240"/>
  <c r="B23" i="240"/>
  <c r="B28" i="239"/>
  <c r="F25" i="239"/>
  <c r="B25" i="239"/>
  <c r="F24" i="239"/>
  <c r="B24" i="239"/>
  <c r="G24" i="239"/>
  <c r="H24" i="239"/>
  <c r="F23" i="239"/>
  <c r="B23" i="239"/>
  <c r="G23" i="239"/>
  <c r="H23" i="239"/>
  <c r="Q13" i="177"/>
  <c r="O38" i="238"/>
  <c r="P38" i="238"/>
  <c r="Q46" i="232"/>
  <c r="F8" i="237"/>
  <c r="G24" i="237"/>
  <c r="F34" i="237"/>
  <c r="D71" i="232"/>
  <c r="B71" i="232"/>
  <c r="C70" i="232"/>
  <c r="B70" i="232"/>
  <c r="B69" i="232"/>
  <c r="B67" i="232"/>
  <c r="B66" i="232"/>
  <c r="B61" i="232"/>
  <c r="Q4" i="177"/>
  <c r="H15" i="177"/>
  <c r="Q7" i="177"/>
  <c r="P53" i="238"/>
  <c r="P52" i="238"/>
  <c r="P51" i="238"/>
  <c r="E47" i="238"/>
  <c r="E48" i="238"/>
  <c r="P44" i="238"/>
  <c r="P40" i="238"/>
  <c r="P39" i="238"/>
  <c r="P37" i="238"/>
  <c r="O37" i="238"/>
  <c r="P36" i="238"/>
  <c r="O36" i="238"/>
  <c r="P35" i="238"/>
  <c r="F35" i="238"/>
  <c r="O35" i="238"/>
  <c r="P34" i="238"/>
  <c r="F34" i="238"/>
  <c r="O34" i="238"/>
  <c r="P33" i="238"/>
  <c r="O33" i="238"/>
  <c r="P32" i="238"/>
  <c r="O32" i="238"/>
  <c r="P31" i="238"/>
  <c r="F31" i="238"/>
  <c r="P30" i="238"/>
  <c r="F30" i="238"/>
  <c r="O30" i="238"/>
  <c r="P29" i="238"/>
  <c r="O29" i="238"/>
  <c r="P28" i="238"/>
  <c r="Q27" i="238"/>
  <c r="B27" i="238"/>
  <c r="P24" i="238"/>
  <c r="F24" i="238"/>
  <c r="O24" i="238"/>
  <c r="Q24" i="238"/>
  <c r="P23" i="238"/>
  <c r="O23" i="238"/>
  <c r="P22" i="238"/>
  <c r="F22" i="238"/>
  <c r="O22" i="238"/>
  <c r="P21" i="238"/>
  <c r="O21" i="238"/>
  <c r="Q21" i="238"/>
  <c r="P20" i="238"/>
  <c r="O20" i="238"/>
  <c r="Q20" i="238"/>
  <c r="P19" i="238"/>
  <c r="O19" i="238"/>
  <c r="Q19" i="238"/>
  <c r="P18" i="238"/>
  <c r="O18" i="238"/>
  <c r="Q18" i="238"/>
  <c r="P17" i="238"/>
  <c r="O17" i="238"/>
  <c r="Q17" i="238"/>
  <c r="P16" i="238"/>
  <c r="F16" i="238"/>
  <c r="O16" i="238"/>
  <c r="Q16" i="238"/>
  <c r="P15" i="238"/>
  <c r="Q15" i="238"/>
  <c r="P14" i="238"/>
  <c r="O14" i="238"/>
  <c r="Q14" i="238"/>
  <c r="P13" i="238"/>
  <c r="F13" i="238"/>
  <c r="O13" i="238"/>
  <c r="P12" i="238"/>
  <c r="O12" i="238"/>
  <c r="Q12" i="238"/>
  <c r="P11" i="238"/>
  <c r="O11" i="238"/>
  <c r="Q11" i="238"/>
  <c r="P10" i="238"/>
  <c r="P9" i="238"/>
  <c r="O9" i="238"/>
  <c r="Q9" i="238"/>
  <c r="P8" i="238"/>
  <c r="O8" i="238"/>
  <c r="Q8" i="238"/>
  <c r="P7" i="238"/>
  <c r="O7" i="238"/>
  <c r="Q7" i="238"/>
  <c r="P6" i="238"/>
  <c r="N4" i="238"/>
  <c r="J4" i="238"/>
  <c r="I3" i="238"/>
  <c r="K3" i="238"/>
  <c r="M3" i="238"/>
  <c r="B1" i="238"/>
  <c r="A1" i="238" s="1"/>
  <c r="O23" i="237"/>
  <c r="P23" i="237"/>
  <c r="F24" i="237"/>
  <c r="G34" i="237"/>
  <c r="O40" i="237"/>
  <c r="F38" i="237"/>
  <c r="O38" i="237"/>
  <c r="G13" i="237"/>
  <c r="K2" i="177"/>
  <c r="Q2" i="177"/>
  <c r="R2" i="177"/>
  <c r="H2" i="177"/>
  <c r="H7" i="236"/>
  <c r="F52" i="236"/>
  <c r="G52" i="236"/>
  <c r="G53" i="236"/>
  <c r="G54" i="236"/>
  <c r="H45" i="236"/>
  <c r="H34" i="237"/>
  <c r="H44" i="236"/>
  <c r="H6" i="236"/>
  <c r="J44" i="237"/>
  <c r="J44" i="236"/>
  <c r="G19" i="236"/>
  <c r="G44" i="236"/>
  <c r="G47" i="236"/>
  <c r="F45" i="236"/>
  <c r="G15" i="236"/>
  <c r="J43" i="129"/>
  <c r="F9" i="235"/>
  <c r="P52" i="237"/>
  <c r="P51" i="237"/>
  <c r="P50" i="237"/>
  <c r="E46" i="237"/>
  <c r="P45" i="237"/>
  <c r="P44" i="237"/>
  <c r="O43" i="237"/>
  <c r="P40" i="237"/>
  <c r="P38" i="237"/>
  <c r="P37" i="237"/>
  <c r="O37" i="237"/>
  <c r="P36" i="237"/>
  <c r="O36" i="237"/>
  <c r="P35" i="237"/>
  <c r="F35" i="237"/>
  <c r="O35" i="237"/>
  <c r="P34" i="237"/>
  <c r="P33" i="237"/>
  <c r="O33" i="237"/>
  <c r="P32" i="237"/>
  <c r="O32" i="237"/>
  <c r="P31" i="237"/>
  <c r="F31" i="237"/>
  <c r="P30" i="237"/>
  <c r="F30" i="237"/>
  <c r="O30" i="237"/>
  <c r="P29" i="237"/>
  <c r="O29" i="237"/>
  <c r="P28" i="237"/>
  <c r="Q27" i="237"/>
  <c r="B27" i="237"/>
  <c r="P24" i="237"/>
  <c r="P22" i="237"/>
  <c r="F22" i="237"/>
  <c r="P21" i="237"/>
  <c r="O21" i="237"/>
  <c r="Q21" i="237"/>
  <c r="P20" i="237"/>
  <c r="O20" i="237"/>
  <c r="Q20" i="237"/>
  <c r="P19" i="237"/>
  <c r="P18" i="237"/>
  <c r="O18" i="237"/>
  <c r="Q18" i="237"/>
  <c r="P17" i="237"/>
  <c r="O17" i="237"/>
  <c r="Q17" i="237"/>
  <c r="P16" i="237"/>
  <c r="F16" i="237"/>
  <c r="O16" i="237"/>
  <c r="Q16" i="237"/>
  <c r="P15" i="237"/>
  <c r="F15" i="237"/>
  <c r="P14" i="237"/>
  <c r="O14" i="237"/>
  <c r="Q14" i="237"/>
  <c r="P13" i="237"/>
  <c r="F13" i="237"/>
  <c r="P12" i="237"/>
  <c r="O12" i="237"/>
  <c r="Q12" i="237"/>
  <c r="P11" i="237"/>
  <c r="O11" i="237"/>
  <c r="Q11" i="237"/>
  <c r="P10" i="237"/>
  <c r="P9" i="237"/>
  <c r="F9" i="237"/>
  <c r="O9" i="237"/>
  <c r="Q9" i="237"/>
  <c r="P8" i="237"/>
  <c r="P7" i="237"/>
  <c r="O7" i="237"/>
  <c r="Q7" i="237"/>
  <c r="P6" i="237"/>
  <c r="N4" i="237"/>
  <c r="I3" i="237"/>
  <c r="K3" i="237"/>
  <c r="M3" i="237"/>
  <c r="B1" i="237"/>
  <c r="A1" i="237" s="1"/>
  <c r="H34" i="236"/>
  <c r="J45" i="236"/>
  <c r="J34" i="236"/>
  <c r="J38" i="236"/>
  <c r="J35" i="236"/>
  <c r="H35" i="236"/>
  <c r="H38" i="236"/>
  <c r="G22" i="236"/>
  <c r="G24" i="236"/>
  <c r="E79" i="236"/>
  <c r="E81" i="236"/>
  <c r="E82" i="236"/>
  <c r="J74" i="236"/>
  <c r="J75" i="236"/>
  <c r="K73" i="236"/>
  <c r="F19" i="236"/>
  <c r="K72" i="236"/>
  <c r="J8" i="236"/>
  <c r="O8" i="236"/>
  <c r="Q8" i="236"/>
  <c r="F38" i="129"/>
  <c r="J31" i="236"/>
  <c r="J7" i="236"/>
  <c r="F36" i="236"/>
  <c r="O36" i="236"/>
  <c r="G13" i="236"/>
  <c r="F8" i="235"/>
  <c r="F23" i="236"/>
  <c r="O23" i="236"/>
  <c r="P23" i="236"/>
  <c r="G16" i="236"/>
  <c r="L66" i="234"/>
  <c r="G64" i="234"/>
  <c r="J42" i="234"/>
  <c r="F34" i="236"/>
  <c r="F31" i="236"/>
  <c r="F35" i="236"/>
  <c r="F22" i="236"/>
  <c r="O22" i="236"/>
  <c r="F24" i="236"/>
  <c r="P22" i="236"/>
  <c r="G77" i="234"/>
  <c r="G72" i="234"/>
  <c r="P52" i="236"/>
  <c r="P51" i="236"/>
  <c r="P50" i="236"/>
  <c r="E46" i="236"/>
  <c r="P45" i="236"/>
  <c r="P44" i="236"/>
  <c r="O43" i="236"/>
  <c r="P40" i="236"/>
  <c r="O40" i="236"/>
  <c r="P39" i="236"/>
  <c r="O39" i="236"/>
  <c r="P38" i="236"/>
  <c r="P37" i="236"/>
  <c r="O37" i="236"/>
  <c r="P36" i="236"/>
  <c r="P35" i="236"/>
  <c r="P34" i="236"/>
  <c r="P33" i="236"/>
  <c r="O33" i="236"/>
  <c r="P32" i="236"/>
  <c r="O32" i="236"/>
  <c r="P31" i="236"/>
  <c r="P30" i="236"/>
  <c r="F30" i="236"/>
  <c r="O30" i="236"/>
  <c r="P29" i="236"/>
  <c r="O29" i="236"/>
  <c r="P28" i="236"/>
  <c r="Q27" i="236"/>
  <c r="B27" i="236"/>
  <c r="P24" i="236"/>
  <c r="P21" i="236"/>
  <c r="O21" i="236"/>
  <c r="Q21" i="236"/>
  <c r="P20" i="236"/>
  <c r="O20" i="236"/>
  <c r="Q20" i="236"/>
  <c r="P19" i="236"/>
  <c r="P18" i="236"/>
  <c r="O18" i="236"/>
  <c r="Q18" i="236"/>
  <c r="P17" i="236"/>
  <c r="O17" i="236"/>
  <c r="Q17" i="236"/>
  <c r="P16" i="236"/>
  <c r="F16" i="236"/>
  <c r="P15" i="236"/>
  <c r="F15" i="236"/>
  <c r="P14" i="236"/>
  <c r="O14" i="236"/>
  <c r="Q14" i="236"/>
  <c r="P13" i="236"/>
  <c r="F13" i="236"/>
  <c r="P12" i="236"/>
  <c r="O12" i="236"/>
  <c r="Q12" i="236"/>
  <c r="P11" i="236"/>
  <c r="O11" i="236"/>
  <c r="Q11" i="236"/>
  <c r="P10" i="236"/>
  <c r="P9" i="236"/>
  <c r="F9" i="236"/>
  <c r="O9" i="236"/>
  <c r="Q9" i="236"/>
  <c r="P8" i="236"/>
  <c r="P7" i="236"/>
  <c r="P6" i="236"/>
  <c r="N4" i="236"/>
  <c r="L4" i="236"/>
  <c r="I3" i="236"/>
  <c r="K3" i="236"/>
  <c r="M3" i="236"/>
  <c r="B1" i="236"/>
  <c r="A1" i="236" s="1"/>
  <c r="H43" i="234"/>
  <c r="H6" i="234"/>
  <c r="O6" i="234"/>
  <c r="H33" i="234"/>
  <c r="F74" i="234"/>
  <c r="F73" i="234"/>
  <c r="H7" i="234"/>
  <c r="O7" i="234"/>
  <c r="Q7" i="234"/>
  <c r="G19" i="234"/>
  <c r="G5" i="234"/>
  <c r="H42" i="234"/>
  <c r="G46" i="234"/>
  <c r="F43" i="234"/>
  <c r="F19" i="234"/>
  <c r="G15" i="234"/>
  <c r="J43" i="234"/>
  <c r="J9" i="234"/>
  <c r="Q6" i="234"/>
  <c r="H8" i="234"/>
  <c r="H37" i="234"/>
  <c r="F33" i="234"/>
  <c r="J54" i="234"/>
  <c r="H29" i="234"/>
  <c r="H9" i="234"/>
  <c r="H44" i="234"/>
  <c r="J37" i="234"/>
  <c r="O37" i="234"/>
  <c r="P37" i="234"/>
  <c r="J8" i="234"/>
  <c r="G42" i="234"/>
  <c r="G22" i="234"/>
  <c r="F22" i="234"/>
  <c r="E38" i="129"/>
  <c r="F15" i="234"/>
  <c r="F32" i="234"/>
  <c r="O32" i="234"/>
  <c r="G38" i="234"/>
  <c r="F38" i="234"/>
  <c r="G54" i="234"/>
  <c r="G55" i="234"/>
  <c r="I4" i="233"/>
  <c r="I58" i="233"/>
  <c r="G13" i="234"/>
  <c r="J41" i="233"/>
  <c r="J42" i="233"/>
  <c r="F42" i="233"/>
  <c r="G44" i="233"/>
  <c r="J29" i="233"/>
  <c r="H32" i="233"/>
  <c r="H7" i="233"/>
  <c r="H33" i="233"/>
  <c r="H41" i="233"/>
  <c r="H42" i="233"/>
  <c r="P44" i="234"/>
  <c r="F34" i="233"/>
  <c r="O34" i="233"/>
  <c r="G19" i="233"/>
  <c r="G41" i="233"/>
  <c r="F7" i="235"/>
  <c r="F6" i="235"/>
  <c r="F5" i="235"/>
  <c r="F14" i="235"/>
  <c r="F4" i="235"/>
  <c r="F3" i="235"/>
  <c r="F2" i="235"/>
  <c r="H54" i="233"/>
  <c r="J8" i="233"/>
  <c r="O8" i="233"/>
  <c r="Q8" i="233"/>
  <c r="J36" i="233"/>
  <c r="J33" i="233"/>
  <c r="H6" i="233"/>
  <c r="H9" i="233"/>
  <c r="G15" i="233"/>
  <c r="G80" i="233"/>
  <c r="G81" i="233"/>
  <c r="G79" i="233"/>
  <c r="G78" i="233"/>
  <c r="O36" i="233"/>
  <c r="J9" i="233"/>
  <c r="O7" i="233"/>
  <c r="Q7" i="233"/>
  <c r="G22" i="233"/>
  <c r="O22" i="233"/>
  <c r="Q22" i="233"/>
  <c r="F22" i="233"/>
  <c r="F33" i="233"/>
  <c r="G37" i="233"/>
  <c r="F37" i="233"/>
  <c r="H66" i="231"/>
  <c r="G16" i="233"/>
  <c r="G13" i="233"/>
  <c r="F19" i="233"/>
  <c r="F16" i="233"/>
  <c r="O16" i="233"/>
  <c r="Q16" i="233"/>
  <c r="F13" i="234"/>
  <c r="P51" i="234"/>
  <c r="P50" i="234"/>
  <c r="P49" i="234"/>
  <c r="E45" i="234"/>
  <c r="P43" i="234"/>
  <c r="P42" i="234"/>
  <c r="O41" i="234"/>
  <c r="P38" i="234"/>
  <c r="P36" i="234"/>
  <c r="O36" i="234"/>
  <c r="P35" i="234"/>
  <c r="O35" i="234"/>
  <c r="P34" i="234"/>
  <c r="F34" i="234"/>
  <c r="O34" i="234"/>
  <c r="P33" i="234"/>
  <c r="P32" i="234"/>
  <c r="P31" i="234"/>
  <c r="O31" i="234"/>
  <c r="P30" i="234"/>
  <c r="O30" i="234"/>
  <c r="P29" i="234"/>
  <c r="F29" i="234"/>
  <c r="P28" i="234"/>
  <c r="F28" i="234"/>
  <c r="O28" i="234"/>
  <c r="P27" i="234"/>
  <c r="O27" i="234"/>
  <c r="P26" i="234"/>
  <c r="Q25" i="234"/>
  <c r="B25" i="234"/>
  <c r="P22" i="234"/>
  <c r="P21" i="234"/>
  <c r="O21" i="234"/>
  <c r="Q21" i="234"/>
  <c r="P20" i="234"/>
  <c r="O20" i="234"/>
  <c r="Q20" i="234"/>
  <c r="P19" i="234"/>
  <c r="P18" i="234"/>
  <c r="O18" i="234"/>
  <c r="Q18" i="234"/>
  <c r="P17" i="234"/>
  <c r="O17" i="234"/>
  <c r="Q17" i="234"/>
  <c r="P16" i="234"/>
  <c r="F16" i="234"/>
  <c r="O16" i="234"/>
  <c r="Q16" i="234"/>
  <c r="P15" i="234"/>
  <c r="P14" i="234"/>
  <c r="O14" i="234"/>
  <c r="Q14" i="234"/>
  <c r="P13" i="234"/>
  <c r="P12" i="234"/>
  <c r="O12" i="234"/>
  <c r="Q12" i="234"/>
  <c r="P11" i="234"/>
  <c r="O11" i="234"/>
  <c r="Q11" i="234"/>
  <c r="P10" i="234"/>
  <c r="P9" i="234"/>
  <c r="F9" i="234"/>
  <c r="P8" i="234"/>
  <c r="P7" i="234"/>
  <c r="P6" i="234"/>
  <c r="N4" i="234"/>
  <c r="L4" i="234"/>
  <c r="I3" i="234"/>
  <c r="K3" i="234"/>
  <c r="M3" i="234"/>
  <c r="B1" i="234"/>
  <c r="A1" i="234" s="1"/>
  <c r="F13" i="233"/>
  <c r="O13" i="233"/>
  <c r="Q13" i="233"/>
  <c r="F42" i="231"/>
  <c r="Q42" i="231"/>
  <c r="G44" i="231"/>
  <c r="E44" i="231"/>
  <c r="H42" i="231"/>
  <c r="H65" i="231"/>
  <c r="F34" i="231"/>
  <c r="J41" i="231"/>
  <c r="F7" i="231"/>
  <c r="J8" i="231"/>
  <c r="O8" i="231"/>
  <c r="Q8" i="231"/>
  <c r="J34" i="231"/>
  <c r="H41" i="231"/>
  <c r="H6" i="231"/>
  <c r="G41" i="231"/>
  <c r="G19" i="231"/>
  <c r="G15" i="231"/>
  <c r="J7" i="231"/>
  <c r="H34" i="231"/>
  <c r="O34" i="231"/>
  <c r="H7" i="231"/>
  <c r="G32" i="231"/>
  <c r="F32" i="231"/>
  <c r="H32" i="231"/>
  <c r="J32" i="231"/>
  <c r="G22" i="231"/>
  <c r="F22" i="231"/>
  <c r="O22" i="231"/>
  <c r="Q22" i="231"/>
  <c r="G37" i="231"/>
  <c r="P49" i="233"/>
  <c r="P48" i="233"/>
  <c r="P47" i="233"/>
  <c r="E43" i="233"/>
  <c r="E44" i="233"/>
  <c r="P42" i="233"/>
  <c r="P41" i="233"/>
  <c r="O40" i="233"/>
  <c r="P37" i="233"/>
  <c r="P36" i="233"/>
  <c r="P35" i="233"/>
  <c r="O35" i="233"/>
  <c r="P34" i="233"/>
  <c r="P33" i="233"/>
  <c r="P32" i="233"/>
  <c r="F32" i="233"/>
  <c r="O32" i="233"/>
  <c r="P31" i="233"/>
  <c r="O31" i="233"/>
  <c r="P30" i="233"/>
  <c r="O30" i="233"/>
  <c r="P29" i="233"/>
  <c r="F29" i="233"/>
  <c r="P28" i="233"/>
  <c r="F28" i="233"/>
  <c r="O28" i="233"/>
  <c r="P27" i="233"/>
  <c r="O27" i="233"/>
  <c r="P26" i="233"/>
  <c r="Q25" i="233"/>
  <c r="B25" i="233"/>
  <c r="P22" i="233"/>
  <c r="Q21" i="233"/>
  <c r="P21" i="233"/>
  <c r="O21" i="233"/>
  <c r="P20" i="233"/>
  <c r="O20" i="233"/>
  <c r="Q20" i="233"/>
  <c r="P19" i="233"/>
  <c r="P18" i="233"/>
  <c r="O18" i="233"/>
  <c r="Q18" i="233"/>
  <c r="P17" i="233"/>
  <c r="F17" i="233"/>
  <c r="O17" i="233"/>
  <c r="Q17" i="233"/>
  <c r="P16" i="233"/>
  <c r="P15" i="233"/>
  <c r="F15" i="233"/>
  <c r="O15" i="233"/>
  <c r="Q15" i="233"/>
  <c r="P14" i="233"/>
  <c r="O14" i="233"/>
  <c r="Q14" i="233"/>
  <c r="P13" i="233"/>
  <c r="P12" i="233"/>
  <c r="O12" i="233"/>
  <c r="Q12" i="233"/>
  <c r="P11" i="233"/>
  <c r="O11" i="233"/>
  <c r="Q11" i="233"/>
  <c r="P10" i="233"/>
  <c r="P9" i="233"/>
  <c r="F9" i="233"/>
  <c r="P8" i="233"/>
  <c r="P7" i="233"/>
  <c r="P6" i="233"/>
  <c r="N4" i="233"/>
  <c r="L4" i="233"/>
  <c r="I3" i="233"/>
  <c r="K3" i="233"/>
  <c r="M3" i="233"/>
  <c r="B1" i="233"/>
  <c r="A1" i="233" s="1"/>
  <c r="F37" i="231"/>
  <c r="O37" i="231"/>
  <c r="P49" i="231"/>
  <c r="F6" i="231"/>
  <c r="O6" i="231"/>
  <c r="O36" i="231"/>
  <c r="O35" i="231"/>
  <c r="O31" i="231"/>
  <c r="O30" i="231"/>
  <c r="O28" i="231"/>
  <c r="O27" i="231"/>
  <c r="G13" i="231"/>
  <c r="F42" i="230"/>
  <c r="Q42" i="230"/>
  <c r="G44" i="230"/>
  <c r="G19" i="230"/>
  <c r="G41" i="230"/>
  <c r="O19" i="230"/>
  <c r="Q19" i="230"/>
  <c r="G15" i="230"/>
  <c r="O15" i="230"/>
  <c r="Q15" i="230"/>
  <c r="H7" i="230"/>
  <c r="H4" i="230"/>
  <c r="H34" i="230"/>
  <c r="H42" i="230"/>
  <c r="L42" i="230"/>
  <c r="L41" i="230"/>
  <c r="L54" i="230"/>
  <c r="F19" i="230"/>
  <c r="L8" i="230"/>
  <c r="L7" i="230"/>
  <c r="L32" i="230"/>
  <c r="L9" i="230"/>
  <c r="L6" i="230"/>
  <c r="H41" i="230"/>
  <c r="G22" i="230"/>
  <c r="O22" i="230"/>
  <c r="Q22" i="230"/>
  <c r="B54" i="232"/>
  <c r="B4" i="232"/>
  <c r="N3" i="232"/>
  <c r="C43" i="232"/>
  <c r="C44" i="232"/>
  <c r="B51" i="232"/>
  <c r="B50" i="232"/>
  <c r="C46" i="232"/>
  <c r="B41" i="232"/>
  <c r="B43" i="232"/>
  <c r="C42" i="232"/>
  <c r="B46" i="232"/>
  <c r="C3" i="232"/>
  <c r="C4" i="232"/>
  <c r="B16" i="232"/>
  <c r="N27" i="232"/>
  <c r="F29" i="231"/>
  <c r="P50" i="231"/>
  <c r="P48" i="231"/>
  <c r="E43" i="231"/>
  <c r="P42" i="231"/>
  <c r="P41" i="231"/>
  <c r="O40" i="231"/>
  <c r="P37" i="231"/>
  <c r="P36" i="231"/>
  <c r="P35" i="231"/>
  <c r="P34" i="231"/>
  <c r="P33" i="231"/>
  <c r="F33" i="231"/>
  <c r="O33" i="231"/>
  <c r="P32" i="231"/>
  <c r="P31" i="231"/>
  <c r="P30" i="231"/>
  <c r="P29" i="231"/>
  <c r="P28" i="231"/>
  <c r="F28" i="231"/>
  <c r="P27" i="231"/>
  <c r="P26" i="231"/>
  <c r="Q25" i="231"/>
  <c r="B25" i="231"/>
  <c r="P22" i="231"/>
  <c r="P21" i="231"/>
  <c r="O21" i="231"/>
  <c r="Q21" i="231"/>
  <c r="P20" i="231"/>
  <c r="O20" i="231"/>
  <c r="Q20" i="231"/>
  <c r="P19" i="231"/>
  <c r="F19" i="231"/>
  <c r="O19" i="231"/>
  <c r="Q19" i="231"/>
  <c r="P18" i="231"/>
  <c r="O18" i="231"/>
  <c r="Q18" i="231"/>
  <c r="P17" i="231"/>
  <c r="F17" i="231"/>
  <c r="O17" i="231"/>
  <c r="Q17" i="231"/>
  <c r="P16" i="231"/>
  <c r="F16" i="231"/>
  <c r="E10" i="231"/>
  <c r="P15" i="231"/>
  <c r="F15" i="231"/>
  <c r="O15" i="231"/>
  <c r="Q15" i="231"/>
  <c r="P14" i="231"/>
  <c r="O14" i="231"/>
  <c r="Q14" i="231"/>
  <c r="P13" i="231"/>
  <c r="F13" i="231"/>
  <c r="O13" i="231"/>
  <c r="Q13" i="231"/>
  <c r="P12" i="231"/>
  <c r="O12" i="231"/>
  <c r="Q12" i="231"/>
  <c r="P11" i="231"/>
  <c r="O11" i="231"/>
  <c r="Q11" i="231"/>
  <c r="P10" i="231"/>
  <c r="P9" i="231"/>
  <c r="F9" i="231"/>
  <c r="O9" i="231"/>
  <c r="Q9" i="231"/>
  <c r="P8" i="231"/>
  <c r="P7" i="231"/>
  <c r="P6" i="231"/>
  <c r="L4" i="231"/>
  <c r="N4" i="231"/>
  <c r="I3" i="231"/>
  <c r="K3" i="231"/>
  <c r="M3" i="231"/>
  <c r="B1" i="231"/>
  <c r="A1" i="231" s="1"/>
  <c r="F29" i="230"/>
  <c r="F32" i="230"/>
  <c r="O32" i="230"/>
  <c r="G13" i="230"/>
  <c r="F7" i="230"/>
  <c r="J7" i="230"/>
  <c r="L48" i="230"/>
  <c r="L49" i="230"/>
  <c r="J41" i="230"/>
  <c r="J6" i="230"/>
  <c r="O6" i="230"/>
  <c r="Q6" i="230"/>
  <c r="F33" i="230"/>
  <c r="O33" i="230"/>
  <c r="F6" i="230"/>
  <c r="H101" i="230"/>
  <c r="F72" i="230"/>
  <c r="G72" i="230"/>
  <c r="H72" i="230"/>
  <c r="I72" i="230"/>
  <c r="J72" i="230"/>
  <c r="K72" i="230"/>
  <c r="L72" i="230"/>
  <c r="H71" i="230"/>
  <c r="I71" i="230"/>
  <c r="P49" i="230"/>
  <c r="P48" i="230"/>
  <c r="P47" i="230"/>
  <c r="E43" i="230"/>
  <c r="E44" i="230"/>
  <c r="P42" i="230"/>
  <c r="P41" i="230"/>
  <c r="O40" i="230"/>
  <c r="P37" i="230"/>
  <c r="O37" i="230"/>
  <c r="P36" i="230"/>
  <c r="O36" i="230"/>
  <c r="P35" i="230"/>
  <c r="O35" i="230"/>
  <c r="P34" i="230"/>
  <c r="F34" i="230"/>
  <c r="P33" i="230"/>
  <c r="P32" i="230"/>
  <c r="P31" i="230"/>
  <c r="O31" i="230"/>
  <c r="P30" i="230"/>
  <c r="O30" i="230"/>
  <c r="P29" i="230"/>
  <c r="P28" i="230"/>
  <c r="O28" i="230"/>
  <c r="F28" i="230"/>
  <c r="F26" i="230"/>
  <c r="D25" i="230"/>
  <c r="P27" i="230"/>
  <c r="O27" i="230"/>
  <c r="P26" i="230"/>
  <c r="Q25" i="230"/>
  <c r="B25" i="230"/>
  <c r="P22" i="230"/>
  <c r="F22" i="230"/>
  <c r="P21" i="230"/>
  <c r="O21" i="230"/>
  <c r="Q21" i="230"/>
  <c r="P20" i="230"/>
  <c r="O20" i="230"/>
  <c r="Q20" i="230"/>
  <c r="P19" i="230"/>
  <c r="P18" i="230"/>
  <c r="O18" i="230"/>
  <c r="Q18" i="230"/>
  <c r="P17" i="230"/>
  <c r="F17" i="230"/>
  <c r="O17" i="230"/>
  <c r="Q17" i="230"/>
  <c r="P16" i="230"/>
  <c r="F16" i="230"/>
  <c r="E10" i="230"/>
  <c r="P15" i="230"/>
  <c r="F15" i="230"/>
  <c r="P14" i="230"/>
  <c r="O14" i="230"/>
  <c r="Q14" i="230"/>
  <c r="P13" i="230"/>
  <c r="F13" i="230"/>
  <c r="O13" i="230"/>
  <c r="Q13" i="230"/>
  <c r="P12" i="230"/>
  <c r="O12" i="230"/>
  <c r="Q12" i="230"/>
  <c r="P11" i="230"/>
  <c r="O11" i="230"/>
  <c r="Q11" i="230"/>
  <c r="P10" i="230"/>
  <c r="P9" i="230"/>
  <c r="F9" i="230"/>
  <c r="O9" i="230"/>
  <c r="Q9" i="230"/>
  <c r="P8" i="230"/>
  <c r="F8" i="230"/>
  <c r="P7" i="230"/>
  <c r="P6" i="230"/>
  <c r="N4" i="230"/>
  <c r="I3" i="230"/>
  <c r="K3" i="230"/>
  <c r="M3" i="230"/>
  <c r="B1" i="230"/>
  <c r="A1" i="230" s="1"/>
  <c r="J42" i="228"/>
  <c r="J41" i="228"/>
  <c r="J33" i="228"/>
  <c r="J7" i="228"/>
  <c r="J8" i="228"/>
  <c r="F7" i="228"/>
  <c r="F6" i="228"/>
  <c r="J6" i="228"/>
  <c r="Q42" i="228"/>
  <c r="J32" i="228"/>
  <c r="O32" i="228"/>
  <c r="G44" i="228"/>
  <c r="E44" i="228"/>
  <c r="F42" i="228"/>
  <c r="G42" i="228"/>
  <c r="G19" i="228"/>
  <c r="G41" i="228"/>
  <c r="G15" i="228"/>
  <c r="H41" i="228"/>
  <c r="D8" i="215"/>
  <c r="D16" i="215"/>
  <c r="D21" i="215"/>
  <c r="K15" i="215"/>
  <c r="D9" i="215"/>
  <c r="D10" i="215"/>
  <c r="H71" i="228"/>
  <c r="I71" i="228"/>
  <c r="J71" i="228"/>
  <c r="G72" i="228"/>
  <c r="H72" i="228"/>
  <c r="K72" i="228"/>
  <c r="L72" i="228"/>
  <c r="M72" i="228"/>
  <c r="F72" i="228"/>
  <c r="I52" i="228"/>
  <c r="G22" i="228"/>
  <c r="J29" i="228"/>
  <c r="F32" i="229"/>
  <c r="O32" i="229"/>
  <c r="O42" i="229"/>
  <c r="E44" i="229"/>
  <c r="C26" i="229"/>
  <c r="H101" i="229"/>
  <c r="F52" i="229"/>
  <c r="P49" i="229"/>
  <c r="P48" i="229"/>
  <c r="P47" i="229"/>
  <c r="E43" i="229"/>
  <c r="Q42" i="229"/>
  <c r="P42" i="229"/>
  <c r="P41" i="229"/>
  <c r="O40" i="229"/>
  <c r="P37" i="229"/>
  <c r="O37" i="229"/>
  <c r="P36" i="229"/>
  <c r="O36" i="229"/>
  <c r="P35" i="229"/>
  <c r="O35" i="229"/>
  <c r="P34" i="229"/>
  <c r="F34" i="229"/>
  <c r="O34" i="229"/>
  <c r="P33" i="229"/>
  <c r="P32" i="229"/>
  <c r="P31" i="229"/>
  <c r="O31" i="229"/>
  <c r="P30" i="229"/>
  <c r="O30" i="229"/>
  <c r="P29" i="229"/>
  <c r="F29" i="229"/>
  <c r="P28" i="229"/>
  <c r="F28" i="229"/>
  <c r="O28" i="229"/>
  <c r="P27" i="229"/>
  <c r="O27" i="229"/>
  <c r="P26" i="229"/>
  <c r="Q25" i="229"/>
  <c r="B25" i="229"/>
  <c r="P22" i="229"/>
  <c r="Q22" i="229"/>
  <c r="P21" i="229"/>
  <c r="O21" i="229"/>
  <c r="Q21" i="229"/>
  <c r="P19" i="229"/>
  <c r="O19" i="229"/>
  <c r="Q19" i="229"/>
  <c r="P18" i="229"/>
  <c r="O18" i="229"/>
  <c r="Q18" i="229"/>
  <c r="P17" i="229"/>
  <c r="O17" i="229"/>
  <c r="Q17" i="229"/>
  <c r="P16" i="229"/>
  <c r="P15" i="229"/>
  <c r="O15" i="229"/>
  <c r="Q15" i="229"/>
  <c r="P14" i="229"/>
  <c r="O14" i="229"/>
  <c r="Q14" i="229"/>
  <c r="P13" i="229"/>
  <c r="O13" i="229"/>
  <c r="Q13" i="229"/>
  <c r="P12" i="229"/>
  <c r="P11" i="229"/>
  <c r="Q11" i="229"/>
  <c r="P10" i="229"/>
  <c r="P9" i="229"/>
  <c r="P8" i="229"/>
  <c r="O8" i="229"/>
  <c r="Q8" i="229"/>
  <c r="P7" i="229"/>
  <c r="F7" i="229"/>
  <c r="P6" i="229"/>
  <c r="J4" i="229"/>
  <c r="O6" i="229"/>
  <c r="Q6" i="229"/>
  <c r="N4" i="229"/>
  <c r="L4" i="229"/>
  <c r="H4" i="229"/>
  <c r="I3" i="229"/>
  <c r="K3" i="229"/>
  <c r="M3" i="229"/>
  <c r="B1" i="229"/>
  <c r="A1" i="229" s="1"/>
  <c r="F19" i="228"/>
  <c r="O19" i="228"/>
  <c r="Q19" i="228"/>
  <c r="E52" i="228"/>
  <c r="F52" i="228"/>
  <c r="J52" i="228"/>
  <c r="F22" i="228"/>
  <c r="O22" i="228"/>
  <c r="Q22" i="228"/>
  <c r="J9" i="228"/>
  <c r="O9" i="228"/>
  <c r="Q9" i="228"/>
  <c r="E5" i="215"/>
  <c r="E6" i="215"/>
  <c r="E7" i="215"/>
  <c r="E3" i="215"/>
  <c r="E4" i="215"/>
  <c r="E2" i="215"/>
  <c r="C7" i="215"/>
  <c r="C8" i="215"/>
  <c r="C9" i="215"/>
  <c r="C6" i="215"/>
  <c r="C5" i="215"/>
  <c r="D5" i="215"/>
  <c r="D6" i="215"/>
  <c r="D19" i="215"/>
  <c r="G16" i="228"/>
  <c r="O16" i="228"/>
  <c r="Q16" i="228"/>
  <c r="G13" i="228"/>
  <c r="G17" i="228"/>
  <c r="F32" i="228"/>
  <c r="H101" i="228"/>
  <c r="P49" i="228"/>
  <c r="P48" i="228"/>
  <c r="P47" i="228"/>
  <c r="E43" i="228"/>
  <c r="P42" i="228"/>
  <c r="P41" i="228"/>
  <c r="O40" i="228"/>
  <c r="P37" i="228"/>
  <c r="O37" i="228"/>
  <c r="P36" i="228"/>
  <c r="O36" i="228"/>
  <c r="P35" i="228"/>
  <c r="O35" i="228"/>
  <c r="P34" i="228"/>
  <c r="O34" i="228"/>
  <c r="F34" i="228"/>
  <c r="P33" i="228"/>
  <c r="F33" i="228"/>
  <c r="O33" i="228"/>
  <c r="P32" i="228"/>
  <c r="P31" i="228"/>
  <c r="O31" i="228"/>
  <c r="P30" i="228"/>
  <c r="O30" i="228"/>
  <c r="P29" i="228"/>
  <c r="F29" i="228"/>
  <c r="P28" i="228"/>
  <c r="F28" i="228"/>
  <c r="O28" i="228"/>
  <c r="P27" i="228"/>
  <c r="O27" i="228"/>
  <c r="P26" i="228"/>
  <c r="F26" i="228"/>
  <c r="D25" i="228"/>
  <c r="Q25" i="228"/>
  <c r="B25" i="228"/>
  <c r="P22" i="228"/>
  <c r="P21" i="228"/>
  <c r="F21" i="228"/>
  <c r="O21" i="228"/>
  <c r="Q21" i="228"/>
  <c r="P20" i="228"/>
  <c r="O20" i="228"/>
  <c r="Q20" i="228"/>
  <c r="P19" i="228"/>
  <c r="P18" i="228"/>
  <c r="O18" i="228"/>
  <c r="Q18" i="228"/>
  <c r="P17" i="228"/>
  <c r="F17" i="228"/>
  <c r="O17" i="228"/>
  <c r="Q17" i="228"/>
  <c r="P16" i="228"/>
  <c r="F16" i="228"/>
  <c r="P15" i="228"/>
  <c r="F15" i="228"/>
  <c r="O15" i="228"/>
  <c r="Q15" i="228"/>
  <c r="P14" i="228"/>
  <c r="O14" i="228"/>
  <c r="Q14" i="228"/>
  <c r="P13" i="228"/>
  <c r="F13" i="228"/>
  <c r="O13" i="228"/>
  <c r="Q13" i="228"/>
  <c r="P12" i="228"/>
  <c r="O12" i="228"/>
  <c r="Q12" i="228"/>
  <c r="P11" i="228"/>
  <c r="O11" i="228"/>
  <c r="Q11" i="228"/>
  <c r="P10" i="228"/>
  <c r="P9" i="228"/>
  <c r="F9" i="228"/>
  <c r="P8" i="228"/>
  <c r="O8" i="228"/>
  <c r="Q8" i="228"/>
  <c r="F8" i="228"/>
  <c r="P7" i="228"/>
  <c r="H4" i="228"/>
  <c r="O7" i="228"/>
  <c r="Q7" i="228"/>
  <c r="P6" i="228"/>
  <c r="N4" i="228"/>
  <c r="L4" i="228"/>
  <c r="I3" i="228"/>
  <c r="K3" i="228"/>
  <c r="M3" i="228"/>
  <c r="B1" i="228"/>
  <c r="A1" i="228" s="1"/>
  <c r="E52" i="227"/>
  <c r="F34" i="227"/>
  <c r="O34" i="227"/>
  <c r="G44" i="227"/>
  <c r="E44" i="227"/>
  <c r="J8" i="227"/>
  <c r="J42" i="227"/>
  <c r="J6" i="227"/>
  <c r="J7" i="227"/>
  <c r="J41" i="227"/>
  <c r="F42" i="227"/>
  <c r="O42" i="227"/>
  <c r="Q7" i="227"/>
  <c r="J9" i="227"/>
  <c r="J33" i="227"/>
  <c r="H42" i="227"/>
  <c r="F19" i="227"/>
  <c r="D5" i="227"/>
  <c r="C6" i="227"/>
  <c r="G22" i="227"/>
  <c r="G15" i="227"/>
  <c r="G19" i="227"/>
  <c r="J35" i="227"/>
  <c r="O35" i="227"/>
  <c r="H7" i="227"/>
  <c r="F7" i="227"/>
  <c r="O7" i="227"/>
  <c r="H32" i="227"/>
  <c r="F6" i="227"/>
  <c r="O6" i="227"/>
  <c r="Q6" i="227"/>
  <c r="F8" i="227"/>
  <c r="O8" i="227"/>
  <c r="Q8" i="227"/>
  <c r="F9" i="227"/>
  <c r="O9" i="227"/>
  <c r="Q9" i="227"/>
  <c r="O11" i="227"/>
  <c r="Q11" i="227"/>
  <c r="O12" i="227"/>
  <c r="Q12" i="227"/>
  <c r="F13" i="227"/>
  <c r="O13" i="227"/>
  <c r="Q13" i="227"/>
  <c r="G13" i="227"/>
  <c r="O14" i="227"/>
  <c r="Q14" i="227"/>
  <c r="F15" i="227"/>
  <c r="F16" i="227"/>
  <c r="O16" i="227"/>
  <c r="Q16" i="227"/>
  <c r="F17" i="227"/>
  <c r="O17" i="227"/>
  <c r="Q17" i="227"/>
  <c r="O18" i="227"/>
  <c r="Q18" i="227"/>
  <c r="O20" i="227"/>
  <c r="Q20" i="227"/>
  <c r="F21" i="227"/>
  <c r="O21" i="227"/>
  <c r="Q21" i="227"/>
  <c r="F22" i="227"/>
  <c r="O22" i="227"/>
  <c r="Q22" i="227"/>
  <c r="E43" i="227"/>
  <c r="F28" i="227"/>
  <c r="F29" i="227"/>
  <c r="F32" i="227"/>
  <c r="F33" i="227"/>
  <c r="G41" i="227"/>
  <c r="Q25" i="227"/>
  <c r="H4" i="227"/>
  <c r="L4" i="227"/>
  <c r="N4" i="227"/>
  <c r="H101" i="227"/>
  <c r="P47" i="227"/>
  <c r="P48" i="227"/>
  <c r="P49" i="227"/>
  <c r="O40" i="227"/>
  <c r="P41" i="227"/>
  <c r="P42" i="227"/>
  <c r="O27" i="227"/>
  <c r="O28" i="227"/>
  <c r="O30" i="227"/>
  <c r="O31" i="227"/>
  <c r="O32" i="227"/>
  <c r="O36" i="227"/>
  <c r="O37" i="227"/>
  <c r="B25" i="227"/>
  <c r="P26" i="227"/>
  <c r="P27" i="227"/>
  <c r="P28" i="227"/>
  <c r="P29" i="227"/>
  <c r="P30" i="227"/>
  <c r="P31" i="227"/>
  <c r="P32" i="227"/>
  <c r="P33" i="227"/>
  <c r="P34" i="227"/>
  <c r="P35" i="227"/>
  <c r="P36" i="227"/>
  <c r="P37" i="227"/>
  <c r="B1" i="227"/>
  <c r="A1" i="227" s="1"/>
  <c r="I3" i="227"/>
  <c r="K3" i="227"/>
  <c r="M3" i="227"/>
  <c r="P6" i="227"/>
  <c r="P7" i="227"/>
  <c r="P8" i="227"/>
  <c r="P9" i="227"/>
  <c r="P10" i="227"/>
  <c r="P11" i="227"/>
  <c r="P12" i="227"/>
  <c r="P13" i="227"/>
  <c r="P14" i="227"/>
  <c r="P15" i="227"/>
  <c r="P16" i="227"/>
  <c r="P17" i="227"/>
  <c r="P18" i="227"/>
  <c r="P19" i="227"/>
  <c r="P20" i="227"/>
  <c r="P21" i="227"/>
  <c r="P22" i="227"/>
  <c r="A190" i="74"/>
  <c r="A191" i="74"/>
  <c r="G44" i="226"/>
  <c r="E43" i="226"/>
  <c r="E44" i="226"/>
  <c r="F6" i="226"/>
  <c r="F7" i="226"/>
  <c r="F8" i="226"/>
  <c r="F9" i="226"/>
  <c r="F13" i="226"/>
  <c r="F15" i="226"/>
  <c r="F16" i="226"/>
  <c r="F17" i="226"/>
  <c r="F19" i="226"/>
  <c r="O19" i="226"/>
  <c r="Q19" i="226"/>
  <c r="F21" i="226"/>
  <c r="F22" i="226"/>
  <c r="F28" i="226"/>
  <c r="F29" i="226"/>
  <c r="F32" i="226"/>
  <c r="F33" i="226"/>
  <c r="F34" i="226"/>
  <c r="F26" i="226"/>
  <c r="D25" i="226"/>
  <c r="F42" i="226"/>
  <c r="G41" i="226"/>
  <c r="H41" i="226"/>
  <c r="J41" i="226"/>
  <c r="Q25" i="226"/>
  <c r="H6" i="226"/>
  <c r="J6" i="226"/>
  <c r="O6" i="226"/>
  <c r="Q6" i="226"/>
  <c r="H7" i="226"/>
  <c r="J7" i="226"/>
  <c r="O7" i="226"/>
  <c r="Q7" i="226"/>
  <c r="H8" i="226"/>
  <c r="O8" i="226"/>
  <c r="Q8" i="226"/>
  <c r="J8" i="226"/>
  <c r="H9" i="226"/>
  <c r="O9" i="226"/>
  <c r="Q9" i="226"/>
  <c r="O11" i="226"/>
  <c r="Q11" i="226"/>
  <c r="O12" i="226"/>
  <c r="Q12" i="226"/>
  <c r="G13" i="226"/>
  <c r="O13" i="226"/>
  <c r="Q13" i="226"/>
  <c r="O14" i="226"/>
  <c r="Q14" i="226"/>
  <c r="G15" i="226"/>
  <c r="O15" i="226"/>
  <c r="Q15" i="226"/>
  <c r="O16" i="226"/>
  <c r="Q16" i="226"/>
  <c r="O17" i="226"/>
  <c r="Q17" i="226"/>
  <c r="O18" i="226"/>
  <c r="Q18" i="226"/>
  <c r="G19" i="226"/>
  <c r="O20" i="226"/>
  <c r="Q20" i="226"/>
  <c r="L48" i="226"/>
  <c r="J42" i="226"/>
  <c r="J33" i="226"/>
  <c r="J29" i="226"/>
  <c r="H33" i="226"/>
  <c r="H32" i="226"/>
  <c r="G29" i="226"/>
  <c r="G22" i="226"/>
  <c r="O34" i="226"/>
  <c r="P21" i="226"/>
  <c r="H42" i="226"/>
  <c r="L21" i="129"/>
  <c r="J7" i="217"/>
  <c r="J8" i="217"/>
  <c r="J9" i="217"/>
  <c r="J40" i="217"/>
  <c r="J4" i="217"/>
  <c r="K4" i="217"/>
  <c r="I70" i="217"/>
  <c r="I71" i="217"/>
  <c r="J41" i="217"/>
  <c r="H6" i="217"/>
  <c r="H7" i="217"/>
  <c r="H8" i="217"/>
  <c r="H4" i="217"/>
  <c r="I4" i="217"/>
  <c r="H31" i="217"/>
  <c r="H32" i="217"/>
  <c r="H40" i="217"/>
  <c r="H41" i="217"/>
  <c r="I63" i="217"/>
  <c r="I65" i="217"/>
  <c r="I64" i="217"/>
  <c r="H101" i="226"/>
  <c r="P49" i="226"/>
  <c r="P48" i="226"/>
  <c r="P47" i="226"/>
  <c r="P42" i="226"/>
  <c r="P41" i="226"/>
  <c r="O40" i="226"/>
  <c r="P37" i="226"/>
  <c r="O37" i="226"/>
  <c r="P36" i="226"/>
  <c r="O36" i="226"/>
  <c r="P35" i="226"/>
  <c r="O35" i="226"/>
  <c r="P34" i="226"/>
  <c r="P33" i="226"/>
  <c r="O33" i="226"/>
  <c r="P32" i="226"/>
  <c r="P31" i="226"/>
  <c r="O31" i="226"/>
  <c r="P30" i="226"/>
  <c r="O30" i="226"/>
  <c r="P29" i="226"/>
  <c r="P28" i="226"/>
  <c r="P27" i="226"/>
  <c r="O27" i="226"/>
  <c r="P26" i="226"/>
  <c r="B25" i="226"/>
  <c r="P22" i="226"/>
  <c r="P20" i="226"/>
  <c r="P19" i="226"/>
  <c r="P18" i="226"/>
  <c r="P17" i="226"/>
  <c r="P16" i="226"/>
  <c r="P15" i="226"/>
  <c r="P14" i="226"/>
  <c r="P13" i="226"/>
  <c r="P12" i="226"/>
  <c r="P11" i="226"/>
  <c r="P10" i="226"/>
  <c r="P9" i="226"/>
  <c r="P8" i="226"/>
  <c r="P7" i="226"/>
  <c r="P6" i="226"/>
  <c r="N4" i="226"/>
  <c r="L4" i="226"/>
  <c r="I3" i="226"/>
  <c r="K3" i="226"/>
  <c r="M3" i="226"/>
  <c r="B1" i="226"/>
  <c r="A1" i="226" s="1"/>
  <c r="I52" i="217"/>
  <c r="O61" i="217"/>
  <c r="N61" i="217"/>
  <c r="F8" i="217"/>
  <c r="F7" i="217"/>
  <c r="S9" i="215"/>
  <c r="S7" i="215"/>
  <c r="S8" i="215"/>
  <c r="S6" i="215"/>
  <c r="J97" i="204"/>
  <c r="J96" i="204"/>
  <c r="I96" i="204"/>
  <c r="I97" i="204"/>
  <c r="I95" i="204"/>
  <c r="F96" i="204"/>
  <c r="F97" i="204"/>
  <c r="F95" i="204"/>
  <c r="F91" i="204"/>
  <c r="F90" i="204"/>
  <c r="F89" i="204"/>
  <c r="I91" i="204"/>
  <c r="I90" i="204"/>
  <c r="I89" i="204"/>
  <c r="I83" i="204"/>
  <c r="J81" i="204"/>
  <c r="H83" i="204"/>
  <c r="H82" i="204"/>
  <c r="H74" i="204"/>
  <c r="F9" i="217"/>
  <c r="G53" i="217"/>
  <c r="G54" i="217"/>
  <c r="G55" i="217"/>
  <c r="G58" i="217"/>
  <c r="G59" i="217"/>
  <c r="K55" i="217"/>
  <c r="K53" i="217"/>
  <c r="I61" i="217"/>
  <c r="I52" i="216"/>
  <c r="G21" i="217"/>
  <c r="F21" i="217"/>
  <c r="G19" i="217"/>
  <c r="F19" i="217"/>
  <c r="O19" i="217"/>
  <c r="G15" i="217"/>
  <c r="G13" i="217"/>
  <c r="H49" i="217"/>
  <c r="H6" i="216"/>
  <c r="H7" i="216"/>
  <c r="H8" i="216"/>
  <c r="H32" i="216"/>
  <c r="H33" i="216"/>
  <c r="H42" i="216"/>
  <c r="H43" i="216"/>
  <c r="G45" i="216"/>
  <c r="F43" i="216"/>
  <c r="F6" i="216"/>
  <c r="J43" i="216"/>
  <c r="J42" i="216"/>
  <c r="J33" i="216"/>
  <c r="J8" i="216"/>
  <c r="F7" i="216"/>
  <c r="O7" i="216"/>
  <c r="Q7" i="216"/>
  <c r="I57" i="216"/>
  <c r="I56" i="216"/>
  <c r="G20" i="216"/>
  <c r="F20" i="216"/>
  <c r="F17" i="216"/>
  <c r="J32" i="216"/>
  <c r="O32" i="216"/>
  <c r="J9" i="216"/>
  <c r="J29" i="216"/>
  <c r="F50" i="216"/>
  <c r="F51" i="216"/>
  <c r="F32" i="216"/>
  <c r="U26" i="204"/>
  <c r="S26" i="204"/>
  <c r="U25" i="204"/>
  <c r="S25" i="204"/>
  <c r="U24" i="204"/>
  <c r="S24" i="204"/>
  <c r="D23" i="204"/>
  <c r="C23" i="204"/>
  <c r="N59" i="204"/>
  <c r="O25" i="216"/>
  <c r="F31" i="216"/>
  <c r="O31" i="216"/>
  <c r="B22" i="129"/>
  <c r="B25" i="129"/>
  <c r="B28" i="129"/>
  <c r="J43" i="213"/>
  <c r="J44" i="213"/>
  <c r="J34" i="213"/>
  <c r="H43" i="213"/>
  <c r="H44" i="213"/>
  <c r="H6" i="213"/>
  <c r="I3" i="220"/>
  <c r="B6" i="220"/>
  <c r="G22" i="213"/>
  <c r="F22" i="213"/>
  <c r="G19" i="213"/>
  <c r="G15" i="213"/>
  <c r="F19" i="213"/>
  <c r="G46" i="213"/>
  <c r="J9" i="213"/>
  <c r="J8" i="213"/>
  <c r="J35" i="213"/>
  <c r="F7" i="213"/>
  <c r="H7" i="213"/>
  <c r="K59" i="213"/>
  <c r="K60" i="213"/>
  <c r="F16" i="217"/>
  <c r="O16" i="217"/>
  <c r="Q16" i="217"/>
  <c r="F17" i="217"/>
  <c r="F16" i="216"/>
  <c r="J7" i="213"/>
  <c r="J4" i="213"/>
  <c r="J6" i="213"/>
  <c r="K4" i="204"/>
  <c r="L4" i="204"/>
  <c r="E123" i="213"/>
  <c r="E118" i="213"/>
  <c r="E112" i="213"/>
  <c r="F44" i="213"/>
  <c r="G21" i="213"/>
  <c r="G23" i="213"/>
  <c r="F23" i="213"/>
  <c r="O23" i="213"/>
  <c r="R3" i="204"/>
  <c r="R4" i="204"/>
  <c r="H33" i="213"/>
  <c r="F33" i="217"/>
  <c r="O33" i="217"/>
  <c r="G43" i="213"/>
  <c r="L53" i="213"/>
  <c r="O39" i="213"/>
  <c r="B5" i="129"/>
  <c r="D3" i="129" s="1"/>
  <c r="L80" i="213"/>
  <c r="L74" i="213"/>
  <c r="L68" i="213"/>
  <c r="L67" i="213"/>
  <c r="L69" i="213"/>
  <c r="K84" i="213"/>
  <c r="H71" i="213"/>
  <c r="H72" i="213"/>
  <c r="H73" i="213"/>
  <c r="H74" i="213"/>
  <c r="H75" i="213"/>
  <c r="H76" i="213"/>
  <c r="H77" i="213"/>
  <c r="H78" i="213"/>
  <c r="H79" i="213"/>
  <c r="H80" i="213"/>
  <c r="H81" i="213"/>
  <c r="H62" i="213"/>
  <c r="H63" i="213"/>
  <c r="H64" i="213"/>
  <c r="H65" i="213"/>
  <c r="H66" i="213"/>
  <c r="H67" i="213"/>
  <c r="H55" i="213"/>
  <c r="H56" i="213"/>
  <c r="H57" i="213"/>
  <c r="H58" i="213"/>
  <c r="L72" i="213"/>
  <c r="L75" i="213"/>
  <c r="L78" i="213"/>
  <c r="L81" i="213"/>
  <c r="G30" i="213"/>
  <c r="O42" i="213"/>
  <c r="H30" i="213"/>
  <c r="G13" i="213"/>
  <c r="F30" i="213"/>
  <c r="I52" i="209"/>
  <c r="J30" i="213"/>
  <c r="F29" i="216"/>
  <c r="F28" i="217"/>
  <c r="H100" i="217"/>
  <c r="P48" i="217"/>
  <c r="P47" i="217"/>
  <c r="P46" i="217"/>
  <c r="E42" i="217"/>
  <c r="P41" i="217"/>
  <c r="Q41" i="217"/>
  <c r="P40" i="217"/>
  <c r="O39" i="217"/>
  <c r="P36" i="217"/>
  <c r="O36" i="217"/>
  <c r="P35" i="217"/>
  <c r="O35" i="217"/>
  <c r="P34" i="217"/>
  <c r="O34" i="217"/>
  <c r="P33" i="217"/>
  <c r="P32" i="217"/>
  <c r="F32" i="217"/>
  <c r="O32" i="217"/>
  <c r="P31" i="217"/>
  <c r="F31" i="217"/>
  <c r="O31" i="217"/>
  <c r="P30" i="217"/>
  <c r="O30" i="217"/>
  <c r="P29" i="217"/>
  <c r="O29" i="217"/>
  <c r="P28" i="217"/>
  <c r="P27" i="217"/>
  <c r="F27" i="217"/>
  <c r="P26" i="217"/>
  <c r="O26" i="217"/>
  <c r="P25" i="217"/>
  <c r="Q24" i="217"/>
  <c r="O24" i="217"/>
  <c r="B24" i="217"/>
  <c r="P21" i="217"/>
  <c r="P20" i="217"/>
  <c r="O20" i="217"/>
  <c r="Q20" i="217"/>
  <c r="P19" i="217"/>
  <c r="P18" i="217"/>
  <c r="O18" i="217"/>
  <c r="Q18" i="217"/>
  <c r="P17" i="217"/>
  <c r="O17" i="217"/>
  <c r="Q17" i="217"/>
  <c r="P16" i="217"/>
  <c r="P15" i="217"/>
  <c r="F15" i="217"/>
  <c r="O15" i="217"/>
  <c r="Q15" i="217"/>
  <c r="P14" i="217"/>
  <c r="O14" i="217"/>
  <c r="Q14" i="217"/>
  <c r="P13" i="217"/>
  <c r="F13" i="217"/>
  <c r="O13" i="217"/>
  <c r="Q13" i="217"/>
  <c r="P12" i="217"/>
  <c r="O12" i="217"/>
  <c r="Q12" i="217"/>
  <c r="O11" i="217"/>
  <c r="Q11" i="217"/>
  <c r="P11" i="217"/>
  <c r="P10" i="217"/>
  <c r="P9" i="217"/>
  <c r="O9" i="217"/>
  <c r="Q9" i="217"/>
  <c r="P8" i="217"/>
  <c r="O8" i="217"/>
  <c r="Q8" i="217"/>
  <c r="P7" i="217"/>
  <c r="P6" i="217"/>
  <c r="O6" i="217"/>
  <c r="Q6" i="217"/>
  <c r="N4" i="217"/>
  <c r="L4" i="217"/>
  <c r="I3" i="217"/>
  <c r="K3" i="217"/>
  <c r="M3" i="217"/>
  <c r="B1" i="217"/>
  <c r="A1" i="217" s="1"/>
  <c r="H30" i="129"/>
  <c r="F34" i="213"/>
  <c r="J59" i="204"/>
  <c r="I61" i="204"/>
  <c r="J65" i="204"/>
  <c r="I67" i="204"/>
  <c r="P50" i="216"/>
  <c r="P49" i="216"/>
  <c r="P48" i="216"/>
  <c r="E44" i="216"/>
  <c r="E45" i="216"/>
  <c r="C26" i="216"/>
  <c r="P43" i="216"/>
  <c r="P42" i="216"/>
  <c r="O41" i="216"/>
  <c r="P38" i="216"/>
  <c r="O38" i="216"/>
  <c r="P37" i="216"/>
  <c r="O37" i="216"/>
  <c r="P36" i="216"/>
  <c r="O36" i="216"/>
  <c r="P35" i="216"/>
  <c r="O35" i="216"/>
  <c r="P34" i="216"/>
  <c r="O34" i="216"/>
  <c r="P33" i="216"/>
  <c r="F33" i="216"/>
  <c r="O33" i="216"/>
  <c r="P32" i="216"/>
  <c r="P31" i="216"/>
  <c r="P30" i="216"/>
  <c r="O30" i="216"/>
  <c r="P29" i="216"/>
  <c r="P28" i="216"/>
  <c r="P27" i="216"/>
  <c r="O27" i="216"/>
  <c r="P26" i="216"/>
  <c r="Q25" i="216"/>
  <c r="B25" i="216"/>
  <c r="P22" i="216"/>
  <c r="F22" i="216"/>
  <c r="O22" i="216"/>
  <c r="P21" i="216"/>
  <c r="O21" i="216"/>
  <c r="Q21" i="216"/>
  <c r="P20" i="216"/>
  <c r="O20" i="216"/>
  <c r="Q20" i="216"/>
  <c r="P19" i="216"/>
  <c r="O19" i="216"/>
  <c r="Q19" i="216"/>
  <c r="P18" i="216"/>
  <c r="O18" i="216"/>
  <c r="Q18" i="216"/>
  <c r="P17" i="216"/>
  <c r="O17" i="216"/>
  <c r="Q17" i="216"/>
  <c r="P16" i="216"/>
  <c r="O16" i="216"/>
  <c r="Q16" i="216"/>
  <c r="P15" i="216"/>
  <c r="F15" i="216"/>
  <c r="O15" i="216"/>
  <c r="Q15" i="216"/>
  <c r="P14" i="216"/>
  <c r="O14" i="216"/>
  <c r="Q14" i="216"/>
  <c r="P13" i="216"/>
  <c r="F13" i="216"/>
  <c r="O13" i="216"/>
  <c r="Q13" i="216"/>
  <c r="P12" i="216"/>
  <c r="O12" i="216"/>
  <c r="Q12" i="216"/>
  <c r="P11" i="216"/>
  <c r="O11" i="216"/>
  <c r="Q11" i="216"/>
  <c r="P10" i="216"/>
  <c r="P9" i="216"/>
  <c r="F9" i="216"/>
  <c r="P8" i="216"/>
  <c r="P7" i="216"/>
  <c r="P6" i="216"/>
  <c r="N4" i="216"/>
  <c r="L4" i="216"/>
  <c r="I3" i="216"/>
  <c r="K3" i="216"/>
  <c r="M3" i="216"/>
  <c r="B1" i="216"/>
  <c r="A1" i="216" s="1"/>
  <c r="L3" i="204"/>
  <c r="K3" i="204"/>
  <c r="Q19" i="217"/>
  <c r="F21" i="213"/>
  <c r="F21" i="209"/>
  <c r="D54" i="209"/>
  <c r="D53" i="209"/>
  <c r="D55" i="209"/>
  <c r="D56" i="209"/>
  <c r="E51" i="209"/>
  <c r="O19" i="213"/>
  <c r="Q19" i="213"/>
  <c r="H23" i="129"/>
  <c r="F9" i="213"/>
  <c r="P51" i="213"/>
  <c r="P50" i="213"/>
  <c r="P49" i="213"/>
  <c r="E45" i="213"/>
  <c r="E46" i="213"/>
  <c r="P44" i="213"/>
  <c r="Q44" i="213"/>
  <c r="P43" i="213"/>
  <c r="P39" i="213"/>
  <c r="P38" i="213"/>
  <c r="O38" i="213"/>
  <c r="P37" i="213"/>
  <c r="O37" i="213"/>
  <c r="P36" i="213"/>
  <c r="O36" i="213"/>
  <c r="P35" i="213"/>
  <c r="O35" i="213"/>
  <c r="P34" i="213"/>
  <c r="O34" i="213"/>
  <c r="P33" i="213"/>
  <c r="F33" i="213"/>
  <c r="O33" i="213"/>
  <c r="P32" i="213"/>
  <c r="O32" i="213"/>
  <c r="P31" i="213"/>
  <c r="O31" i="213"/>
  <c r="P30" i="213"/>
  <c r="P29" i="213"/>
  <c r="F29" i="213"/>
  <c r="O29" i="213"/>
  <c r="P28" i="213"/>
  <c r="O28" i="213"/>
  <c r="P27" i="213"/>
  <c r="Q26" i="213"/>
  <c r="B26" i="213"/>
  <c r="P21" i="213"/>
  <c r="O21" i="213"/>
  <c r="P20" i="213"/>
  <c r="O20" i="213"/>
  <c r="Q20" i="213"/>
  <c r="P19" i="213"/>
  <c r="P18" i="213"/>
  <c r="O18" i="213"/>
  <c r="Q18" i="213"/>
  <c r="P23" i="213"/>
  <c r="Q23" i="213"/>
  <c r="P17" i="213"/>
  <c r="O17" i="213"/>
  <c r="Q17" i="213"/>
  <c r="P16" i="213"/>
  <c r="F16" i="213"/>
  <c r="O16" i="213"/>
  <c r="Q16" i="213"/>
  <c r="P22" i="213"/>
  <c r="O22" i="213"/>
  <c r="P15" i="213"/>
  <c r="F15" i="213"/>
  <c r="O15" i="213"/>
  <c r="Q15" i="213"/>
  <c r="P14" i="213"/>
  <c r="O14" i="213"/>
  <c r="Q14" i="213"/>
  <c r="P13" i="213"/>
  <c r="F13" i="213"/>
  <c r="P12" i="213"/>
  <c r="O12" i="213"/>
  <c r="Q12" i="213"/>
  <c r="P11" i="213"/>
  <c r="O11" i="213"/>
  <c r="Q11" i="213"/>
  <c r="P10" i="213"/>
  <c r="P9" i="213"/>
  <c r="P8" i="213"/>
  <c r="O8" i="213"/>
  <c r="P7" i="213"/>
  <c r="P6" i="213"/>
  <c r="N4" i="213"/>
  <c r="L4" i="213"/>
  <c r="I3" i="213"/>
  <c r="K3" i="213"/>
  <c r="M3" i="213"/>
  <c r="B1" i="213"/>
  <c r="A1" i="213" s="1"/>
  <c r="I30" i="129"/>
  <c r="F30" i="209"/>
  <c r="J30" i="209"/>
  <c r="H26" i="129"/>
  <c r="F9" i="209"/>
  <c r="O9" i="209"/>
  <c r="J7" i="209"/>
  <c r="J8" i="209"/>
  <c r="J43" i="209"/>
  <c r="H44" i="209"/>
  <c r="Q44" i="209"/>
  <c r="H43" i="209"/>
  <c r="H7" i="209"/>
  <c r="H6" i="209"/>
  <c r="F34" i="209"/>
  <c r="H34" i="209"/>
  <c r="G23" i="209"/>
  <c r="F23" i="209"/>
  <c r="O23" i="209"/>
  <c r="G21" i="209"/>
  <c r="G15" i="209"/>
  <c r="J44" i="209"/>
  <c r="R18" i="129"/>
  <c r="R20" i="129" s="1"/>
  <c r="F29" i="209"/>
  <c r="H9" i="209"/>
  <c r="Q9" i="209"/>
  <c r="H8" i="209"/>
  <c r="H15" i="211"/>
  <c r="H11" i="211"/>
  <c r="H8" i="211"/>
  <c r="K3" i="211"/>
  <c r="F15" i="209"/>
  <c r="G16" i="209"/>
  <c r="G43" i="209"/>
  <c r="O35" i="209"/>
  <c r="O36" i="209"/>
  <c r="O37" i="209"/>
  <c r="O38" i="209"/>
  <c r="O39" i="209"/>
  <c r="G13" i="209"/>
  <c r="J6" i="208"/>
  <c r="J7" i="208"/>
  <c r="J8" i="208"/>
  <c r="J36" i="208"/>
  <c r="J37" i="208"/>
  <c r="J41" i="208"/>
  <c r="J43" i="208"/>
  <c r="H6" i="208"/>
  <c r="H7" i="208"/>
  <c r="H8" i="208"/>
  <c r="H9" i="208"/>
  <c r="H33" i="208"/>
  <c r="H36" i="208"/>
  <c r="H37" i="208"/>
  <c r="H41" i="208"/>
  <c r="H43" i="208"/>
  <c r="H30" i="209"/>
  <c r="M69" i="208"/>
  <c r="M70" i="208"/>
  <c r="M71" i="208"/>
  <c r="M73" i="208"/>
  <c r="P39" i="209"/>
  <c r="F33" i="209"/>
  <c r="O33" i="209"/>
  <c r="P38" i="209"/>
  <c r="P37" i="209"/>
  <c r="P36" i="209"/>
  <c r="P35" i="209"/>
  <c r="D10" i="204"/>
  <c r="D11" i="204"/>
  <c r="D12" i="204"/>
  <c r="C11" i="204"/>
  <c r="C12" i="204"/>
  <c r="D15" i="204"/>
  <c r="C15" i="204"/>
  <c r="B15" i="204"/>
  <c r="D18" i="204"/>
  <c r="C18" i="204"/>
  <c r="D21" i="204"/>
  <c r="C21" i="204"/>
  <c r="J63" i="208"/>
  <c r="R22" i="129"/>
  <c r="F43" i="208"/>
  <c r="G45" i="208"/>
  <c r="E45" i="208"/>
  <c r="C28" i="208"/>
  <c r="F7" i="209"/>
  <c r="P51" i="209"/>
  <c r="P50" i="209"/>
  <c r="P49" i="209"/>
  <c r="E45" i="209"/>
  <c r="P44" i="209"/>
  <c r="P43" i="209"/>
  <c r="O42" i="209"/>
  <c r="P34" i="209"/>
  <c r="P33" i="209"/>
  <c r="P32" i="209"/>
  <c r="O32" i="209"/>
  <c r="P31" i="209"/>
  <c r="O31" i="209"/>
  <c r="P30" i="209"/>
  <c r="P29" i="209"/>
  <c r="P28" i="209"/>
  <c r="O28" i="209"/>
  <c r="P27" i="209"/>
  <c r="Q26" i="209"/>
  <c r="O26" i="209"/>
  <c r="B26" i="209"/>
  <c r="P23" i="209"/>
  <c r="P22" i="209"/>
  <c r="O22" i="209"/>
  <c r="Q22" i="209"/>
  <c r="P21" i="209"/>
  <c r="P20" i="209"/>
  <c r="O20" i="209"/>
  <c r="Q20" i="209"/>
  <c r="P19" i="209"/>
  <c r="O19" i="209"/>
  <c r="Q19" i="209"/>
  <c r="P18" i="209"/>
  <c r="O18" i="209"/>
  <c r="Q18" i="209"/>
  <c r="P17" i="209"/>
  <c r="F17" i="209"/>
  <c r="O17" i="209"/>
  <c r="Q17" i="209"/>
  <c r="P16" i="209"/>
  <c r="F16" i="209"/>
  <c r="O16" i="209"/>
  <c r="Q16" i="209"/>
  <c r="P15" i="209"/>
  <c r="P14" i="209"/>
  <c r="O14" i="209"/>
  <c r="Q14" i="209"/>
  <c r="P13" i="209"/>
  <c r="F13" i="209"/>
  <c r="P12" i="209"/>
  <c r="O12" i="209"/>
  <c r="Q12" i="209"/>
  <c r="P11" i="209"/>
  <c r="O11" i="209"/>
  <c r="Q11" i="209"/>
  <c r="P10" i="209"/>
  <c r="P9" i="209"/>
  <c r="P8" i="209"/>
  <c r="P7" i="209"/>
  <c r="P6" i="209"/>
  <c r="N4" i="209"/>
  <c r="L4" i="209"/>
  <c r="I3" i="209"/>
  <c r="K3" i="209"/>
  <c r="M3" i="209"/>
  <c r="B1" i="209"/>
  <c r="A1" i="209" s="1"/>
  <c r="J29" i="129"/>
  <c r="I36" i="208"/>
  <c r="H51" i="208"/>
  <c r="H52" i="208"/>
  <c r="K52" i="208"/>
  <c r="F24" i="208"/>
  <c r="G24" i="208"/>
  <c r="O24" i="208"/>
  <c r="G13" i="208"/>
  <c r="G21" i="208"/>
  <c r="G33" i="208"/>
  <c r="G16" i="208"/>
  <c r="F15" i="208"/>
  <c r="O15" i="208"/>
  <c r="Q15" i="208"/>
  <c r="G15" i="208"/>
  <c r="G41" i="208"/>
  <c r="F21" i="208"/>
  <c r="O21" i="208"/>
  <c r="Q21" i="208"/>
  <c r="F7" i="208"/>
  <c r="F9" i="208"/>
  <c r="M52" i="208"/>
  <c r="F36" i="208"/>
  <c r="E86" i="208"/>
  <c r="F86" i="208"/>
  <c r="E87" i="208"/>
  <c r="E76" i="208"/>
  <c r="E82" i="208"/>
  <c r="E72" i="208"/>
  <c r="G74" i="208"/>
  <c r="F73" i="208"/>
  <c r="E73" i="208"/>
  <c r="H74" i="208"/>
  <c r="H73" i="208"/>
  <c r="F74" i="208"/>
  <c r="E60" i="208"/>
  <c r="E61" i="208"/>
  <c r="E62" i="208"/>
  <c r="E64" i="208"/>
  <c r="E63" i="208"/>
  <c r="F4" i="204"/>
  <c r="K4" i="207"/>
  <c r="E74" i="207"/>
  <c r="E78" i="207"/>
  <c r="E79" i="207"/>
  <c r="F8" i="208"/>
  <c r="P50" i="208"/>
  <c r="P49" i="208"/>
  <c r="P48" i="208"/>
  <c r="E44" i="208"/>
  <c r="P43" i="208"/>
  <c r="Q42" i="208"/>
  <c r="P42" i="208"/>
  <c r="O42" i="208"/>
  <c r="P41" i="208"/>
  <c r="O40" i="208"/>
  <c r="P37" i="208"/>
  <c r="F37" i="208"/>
  <c r="O37" i="208"/>
  <c r="P36" i="208"/>
  <c r="P35" i="208"/>
  <c r="F35" i="208"/>
  <c r="O35" i="208"/>
  <c r="P34" i="208"/>
  <c r="O34" i="208"/>
  <c r="P33" i="208"/>
  <c r="P32" i="208"/>
  <c r="O32" i="208"/>
  <c r="P31" i="208"/>
  <c r="O31" i="208"/>
  <c r="P30" i="208"/>
  <c r="O30" i="208"/>
  <c r="P29" i="208"/>
  <c r="O29" i="208"/>
  <c r="P28" i="208"/>
  <c r="F28" i="208"/>
  <c r="Q27" i="208"/>
  <c r="O27" i="208"/>
  <c r="D27" i="208"/>
  <c r="B26" i="208"/>
  <c r="B27" i="208"/>
  <c r="P24" i="208"/>
  <c r="P23" i="208"/>
  <c r="O23" i="208"/>
  <c r="P22" i="208"/>
  <c r="O22" i="208"/>
  <c r="Q22" i="208"/>
  <c r="S21" i="208"/>
  <c r="P21" i="208"/>
  <c r="P20" i="208"/>
  <c r="O20" i="208"/>
  <c r="Q20" i="208"/>
  <c r="P19" i="208"/>
  <c r="O19" i="208"/>
  <c r="Q19" i="208"/>
  <c r="P18" i="208"/>
  <c r="O18" i="208"/>
  <c r="Q18" i="208"/>
  <c r="P17" i="208"/>
  <c r="F17" i="208"/>
  <c r="F13" i="208"/>
  <c r="O13" i="208"/>
  <c r="F16" i="208"/>
  <c r="E10" i="208"/>
  <c r="P16" i="208"/>
  <c r="O16" i="208"/>
  <c r="Q16" i="208"/>
  <c r="P15" i="208"/>
  <c r="P14" i="208"/>
  <c r="O14" i="208"/>
  <c r="Q14" i="208"/>
  <c r="P13" i="208"/>
  <c r="Q13" i="208"/>
  <c r="P12" i="208"/>
  <c r="O12" i="208"/>
  <c r="Q12" i="208"/>
  <c r="O11" i="208"/>
  <c r="Q11" i="208"/>
  <c r="P11" i="208"/>
  <c r="P10" i="208"/>
  <c r="P9" i="208"/>
  <c r="O9" i="208"/>
  <c r="Q9" i="208"/>
  <c r="P8" i="208"/>
  <c r="O8" i="208"/>
  <c r="Q8" i="208"/>
  <c r="P7" i="208"/>
  <c r="P6" i="208"/>
  <c r="O6" i="208"/>
  <c r="Q6" i="208"/>
  <c r="N4" i="208"/>
  <c r="L4" i="208"/>
  <c r="I3" i="208"/>
  <c r="K3" i="208"/>
  <c r="M3" i="208"/>
  <c r="B1" i="208"/>
  <c r="A1" i="208" s="1"/>
  <c r="H92" i="207"/>
  <c r="F92" i="207"/>
  <c r="J33" i="207"/>
  <c r="N26" i="129"/>
  <c r="H43" i="207"/>
  <c r="D53" i="207"/>
  <c r="D52" i="207"/>
  <c r="D54" i="207"/>
  <c r="F43" i="207"/>
  <c r="G21" i="207"/>
  <c r="F21" i="207"/>
  <c r="O21" i="207"/>
  <c r="Q21" i="207"/>
  <c r="G15" i="207"/>
  <c r="G7" i="207"/>
  <c r="G17" i="207"/>
  <c r="O17" i="207"/>
  <c r="Q17" i="207"/>
  <c r="G24" i="207"/>
  <c r="G16" i="207"/>
  <c r="F15" i="207"/>
  <c r="J43" i="207"/>
  <c r="J41" i="207"/>
  <c r="H33" i="207"/>
  <c r="F7" i="207"/>
  <c r="F8" i="207"/>
  <c r="H37" i="207"/>
  <c r="E44" i="207"/>
  <c r="E45" i="207"/>
  <c r="H6" i="207"/>
  <c r="O6" i="207"/>
  <c r="H7" i="207"/>
  <c r="H41" i="207"/>
  <c r="F9" i="207"/>
  <c r="H8" i="207"/>
  <c r="H42" i="207"/>
  <c r="J42" i="207"/>
  <c r="E49" i="207"/>
  <c r="E50" i="207"/>
  <c r="H50" i="207"/>
  <c r="H49" i="207"/>
  <c r="J7" i="207"/>
  <c r="H9" i="207"/>
  <c r="U22" i="204"/>
  <c r="U23" i="204"/>
  <c r="S22" i="204"/>
  <c r="H42" i="203"/>
  <c r="F23" i="207"/>
  <c r="O23" i="207"/>
  <c r="F36" i="207"/>
  <c r="O36" i="207"/>
  <c r="F13" i="207"/>
  <c r="E10" i="207"/>
  <c r="F16" i="207"/>
  <c r="O16" i="207"/>
  <c r="Q16" i="207"/>
  <c r="F17" i="207"/>
  <c r="F24" i="207"/>
  <c r="O24" i="207"/>
  <c r="G13" i="207"/>
  <c r="H6" i="205"/>
  <c r="H7" i="205"/>
  <c r="H8" i="205"/>
  <c r="H9" i="205"/>
  <c r="H23" i="205"/>
  <c r="H33" i="205"/>
  <c r="H36" i="205"/>
  <c r="H37" i="205"/>
  <c r="H41" i="205"/>
  <c r="H42" i="205"/>
  <c r="Q42" i="205"/>
  <c r="H43" i="205"/>
  <c r="J6" i="205"/>
  <c r="J4" i="205"/>
  <c r="K4" i="205"/>
  <c r="J7" i="205"/>
  <c r="J8" i="205"/>
  <c r="J33" i="205"/>
  <c r="J37" i="205"/>
  <c r="J41" i="205"/>
  <c r="J43" i="205"/>
  <c r="J8" i="207"/>
  <c r="O8" i="207"/>
  <c r="Q8" i="207"/>
  <c r="F43" i="205"/>
  <c r="G45" i="205"/>
  <c r="H82" i="207"/>
  <c r="P50" i="207"/>
  <c r="P49" i="207"/>
  <c r="P48" i="207"/>
  <c r="P43" i="207"/>
  <c r="P42" i="207"/>
  <c r="P41" i="207"/>
  <c r="O40" i="207"/>
  <c r="P37" i="207"/>
  <c r="F37" i="207"/>
  <c r="O37" i="207"/>
  <c r="P36" i="207"/>
  <c r="F35" i="207"/>
  <c r="O35" i="207"/>
  <c r="F28" i="207"/>
  <c r="D27" i="207"/>
  <c r="P35" i="207"/>
  <c r="P34" i="207"/>
  <c r="O34" i="207"/>
  <c r="P33" i="207"/>
  <c r="P32" i="207"/>
  <c r="O32" i="207"/>
  <c r="P31" i="207"/>
  <c r="O31" i="207"/>
  <c r="P30" i="207"/>
  <c r="O30" i="207"/>
  <c r="P29" i="207"/>
  <c r="O29" i="207"/>
  <c r="P28" i="207"/>
  <c r="Q27" i="207"/>
  <c r="O27" i="207"/>
  <c r="B27" i="207"/>
  <c r="P24" i="207"/>
  <c r="P23" i="207"/>
  <c r="P22" i="207"/>
  <c r="O22" i="207"/>
  <c r="Q22" i="207"/>
  <c r="S21" i="207"/>
  <c r="P21" i="207"/>
  <c r="P20" i="207"/>
  <c r="O20" i="207"/>
  <c r="Q20" i="207"/>
  <c r="P19" i="207"/>
  <c r="O19" i="207"/>
  <c r="Q19" i="207"/>
  <c r="P18" i="207"/>
  <c r="O18" i="207"/>
  <c r="Q18" i="207"/>
  <c r="P17" i="207"/>
  <c r="P16" i="207"/>
  <c r="P15" i="207"/>
  <c r="P14" i="207"/>
  <c r="O14" i="207"/>
  <c r="Q14" i="207"/>
  <c r="P13" i="207"/>
  <c r="P12" i="207"/>
  <c r="O12" i="207"/>
  <c r="Q12" i="207"/>
  <c r="P11" i="207"/>
  <c r="O11" i="207"/>
  <c r="P10" i="207"/>
  <c r="P9" i="207"/>
  <c r="O9" i="207"/>
  <c r="Q9" i="207"/>
  <c r="P8" i="207"/>
  <c r="P7" i="207"/>
  <c r="P6" i="207"/>
  <c r="N4" i="207"/>
  <c r="L4" i="207"/>
  <c r="I3" i="207"/>
  <c r="K3" i="207"/>
  <c r="M3" i="207"/>
  <c r="B1" i="207"/>
  <c r="A1" i="207" s="1"/>
  <c r="F23" i="205"/>
  <c r="P23" i="205"/>
  <c r="F24" i="205"/>
  <c r="O24" i="205"/>
  <c r="L47" i="204"/>
  <c r="K51" i="204"/>
  <c r="H51" i="204"/>
  <c r="I54" i="204"/>
  <c r="I50" i="204"/>
  <c r="I49" i="204"/>
  <c r="I53" i="204"/>
  <c r="I47" i="204"/>
  <c r="I48" i="204"/>
  <c r="I52" i="204"/>
  <c r="F65" i="204"/>
  <c r="F64" i="204"/>
  <c r="F63" i="204"/>
  <c r="F62" i="204"/>
  <c r="C63" i="204"/>
  <c r="C64" i="204"/>
  <c r="C62" i="204"/>
  <c r="E60" i="204"/>
  <c r="E59" i="204"/>
  <c r="E56" i="204"/>
  <c r="C52" i="204"/>
  <c r="C53" i="204"/>
  <c r="C54" i="204"/>
  <c r="E54" i="204"/>
  <c r="C50" i="204"/>
  <c r="C49" i="204"/>
  <c r="C46" i="204"/>
  <c r="H38" i="204"/>
  <c r="H39" i="204"/>
  <c r="B23" i="204"/>
  <c r="G29" i="129"/>
  <c r="J87" i="205"/>
  <c r="G13" i="205"/>
  <c r="F13" i="205"/>
  <c r="O13" i="205"/>
  <c r="Q13" i="205"/>
  <c r="J50" i="205"/>
  <c r="J51" i="205"/>
  <c r="M71" i="205"/>
  <c r="G86" i="205"/>
  <c r="G89" i="205"/>
  <c r="G87" i="205"/>
  <c r="P42" i="205"/>
  <c r="O42" i="205"/>
  <c r="M78" i="205"/>
  <c r="M72" i="205"/>
  <c r="M73" i="205"/>
  <c r="M75" i="205"/>
  <c r="M76" i="205"/>
  <c r="F36" i="205"/>
  <c r="O36" i="205"/>
  <c r="M65" i="205"/>
  <c r="N65" i="205"/>
  <c r="M66" i="205"/>
  <c r="M64" i="205"/>
  <c r="F19" i="205"/>
  <c r="O19" i="205"/>
  <c r="Q19" i="205"/>
  <c r="F17" i="205"/>
  <c r="M73" i="203"/>
  <c r="M74" i="203"/>
  <c r="M75" i="203"/>
  <c r="F41" i="203"/>
  <c r="J41" i="203"/>
  <c r="J32" i="203"/>
  <c r="J7" i="203"/>
  <c r="J6" i="203"/>
  <c r="J8" i="203"/>
  <c r="J9" i="203"/>
  <c r="J35" i="203"/>
  <c r="J36" i="203"/>
  <c r="J40" i="203"/>
  <c r="H7" i="203"/>
  <c r="O7" i="203"/>
  <c r="H6" i="203"/>
  <c r="H41" i="203"/>
  <c r="H40" i="203"/>
  <c r="H36" i="203"/>
  <c r="H32" i="203"/>
  <c r="I49" i="203"/>
  <c r="F8" i="203"/>
  <c r="H8" i="203"/>
  <c r="E60" i="171"/>
  <c r="E61" i="171"/>
  <c r="E14" i="171"/>
  <c r="E13" i="171"/>
  <c r="E54" i="171"/>
  <c r="E5" i="171"/>
  <c r="H35" i="203"/>
  <c r="H4" i="203"/>
  <c r="L4" i="203"/>
  <c r="P42" i="203"/>
  <c r="O42" i="203"/>
  <c r="M61" i="203"/>
  <c r="K5" i="204"/>
  <c r="H82" i="205"/>
  <c r="E56" i="205"/>
  <c r="E51" i="205"/>
  <c r="P50" i="205"/>
  <c r="P49" i="205"/>
  <c r="E49" i="205"/>
  <c r="P48" i="205"/>
  <c r="E44" i="205"/>
  <c r="P43" i="205"/>
  <c r="P41" i="205"/>
  <c r="O40" i="205"/>
  <c r="P37" i="205"/>
  <c r="F37" i="205"/>
  <c r="P36" i="205"/>
  <c r="P35" i="205"/>
  <c r="F35" i="205"/>
  <c r="O35" i="205"/>
  <c r="P34" i="205"/>
  <c r="O34" i="205"/>
  <c r="P33" i="205"/>
  <c r="P32" i="205"/>
  <c r="O32" i="205"/>
  <c r="P31" i="205"/>
  <c r="O31" i="205"/>
  <c r="P30" i="205"/>
  <c r="O30" i="205"/>
  <c r="P29" i="205"/>
  <c r="O29" i="205"/>
  <c r="P28" i="205"/>
  <c r="Q27" i="205"/>
  <c r="O27" i="205"/>
  <c r="B27" i="205"/>
  <c r="P24" i="205"/>
  <c r="P22" i="205"/>
  <c r="O22" i="205"/>
  <c r="Q22" i="205"/>
  <c r="S21" i="205"/>
  <c r="P21" i="205"/>
  <c r="F21" i="205"/>
  <c r="O21" i="205"/>
  <c r="Q21" i="205"/>
  <c r="P20" i="205"/>
  <c r="O20" i="205"/>
  <c r="Q20" i="205"/>
  <c r="P19" i="205"/>
  <c r="P18" i="205"/>
  <c r="O18" i="205"/>
  <c r="Q18" i="205"/>
  <c r="P17" i="205"/>
  <c r="O17" i="205"/>
  <c r="Q17" i="205"/>
  <c r="P16" i="205"/>
  <c r="F16" i="205"/>
  <c r="O16" i="205"/>
  <c r="Q16" i="205"/>
  <c r="P15" i="205"/>
  <c r="F15" i="205"/>
  <c r="O15" i="205"/>
  <c r="Q15" i="205"/>
  <c r="P14" i="205"/>
  <c r="O14" i="205"/>
  <c r="Q14" i="205"/>
  <c r="P13" i="205"/>
  <c r="P12" i="205"/>
  <c r="O12" i="205"/>
  <c r="Q12" i="205"/>
  <c r="P11" i="205"/>
  <c r="O11" i="205"/>
  <c r="P10" i="205"/>
  <c r="P9" i="205"/>
  <c r="O9" i="205"/>
  <c r="P8" i="205"/>
  <c r="F8" i="205"/>
  <c r="P7" i="205"/>
  <c r="O7" i="205"/>
  <c r="Q7" i="205"/>
  <c r="P6" i="205"/>
  <c r="N4" i="205"/>
  <c r="L4" i="205"/>
  <c r="I3" i="205"/>
  <c r="K3" i="205"/>
  <c r="M3" i="205"/>
  <c r="B1" i="205"/>
  <c r="A1" i="205" s="1"/>
  <c r="F35" i="203"/>
  <c r="F36" i="203"/>
  <c r="O36" i="203"/>
  <c r="H48" i="203"/>
  <c r="G44" i="203"/>
  <c r="G23" i="203"/>
  <c r="G21" i="203"/>
  <c r="F13" i="203"/>
  <c r="O13" i="203"/>
  <c r="G16" i="203"/>
  <c r="G15" i="203"/>
  <c r="O15" i="203"/>
  <c r="Q15" i="203"/>
  <c r="O31" i="203"/>
  <c r="P31" i="203"/>
  <c r="O35" i="203"/>
  <c r="H25" i="204"/>
  <c r="K24" i="204"/>
  <c r="K13" i="204"/>
  <c r="K14" i="204"/>
  <c r="K15" i="204"/>
  <c r="J15" i="204"/>
  <c r="B32" i="204"/>
  <c r="B21" i="204"/>
  <c r="B18" i="204"/>
  <c r="E55" i="203"/>
  <c r="E48" i="203"/>
  <c r="C29" i="129"/>
  <c r="J6" i="202"/>
  <c r="J8" i="202"/>
  <c r="J9" i="202"/>
  <c r="J4" i="202"/>
  <c r="K4" i="202"/>
  <c r="J34" i="202"/>
  <c r="J41" i="202"/>
  <c r="H36" i="202"/>
  <c r="P49" i="203"/>
  <c r="P48" i="203"/>
  <c r="P47" i="203"/>
  <c r="E43" i="203"/>
  <c r="P41" i="203"/>
  <c r="P40" i="203"/>
  <c r="O39" i="203"/>
  <c r="P36" i="203"/>
  <c r="P35" i="203"/>
  <c r="P34" i="203"/>
  <c r="F34" i="203"/>
  <c r="O34" i="203"/>
  <c r="P33" i="203"/>
  <c r="O33" i="203"/>
  <c r="P32" i="203"/>
  <c r="P30" i="203"/>
  <c r="O30" i="203"/>
  <c r="P29" i="203"/>
  <c r="O29" i="203"/>
  <c r="P28" i="203"/>
  <c r="O28" i="203"/>
  <c r="P27" i="203"/>
  <c r="Q26" i="203"/>
  <c r="O26" i="203"/>
  <c r="B26" i="203"/>
  <c r="P23" i="203"/>
  <c r="F23" i="203"/>
  <c r="P22" i="203"/>
  <c r="O22" i="203"/>
  <c r="Q22" i="203"/>
  <c r="S21" i="203"/>
  <c r="P21" i="203"/>
  <c r="F21" i="203"/>
  <c r="O21" i="203"/>
  <c r="Q21" i="203"/>
  <c r="P20" i="203"/>
  <c r="O20" i="203"/>
  <c r="Q20" i="203"/>
  <c r="P19" i="203"/>
  <c r="O19" i="203"/>
  <c r="Q19" i="203"/>
  <c r="P18" i="203"/>
  <c r="O18" i="203"/>
  <c r="Q18" i="203"/>
  <c r="P17" i="203"/>
  <c r="O17" i="203"/>
  <c r="Q17" i="203"/>
  <c r="P16" i="203"/>
  <c r="F16" i="203"/>
  <c r="P15" i="203"/>
  <c r="F15" i="203"/>
  <c r="P14" i="203"/>
  <c r="O14" i="203"/>
  <c r="Q14" i="203"/>
  <c r="P13" i="203"/>
  <c r="P12" i="203"/>
  <c r="O12" i="203"/>
  <c r="Q12" i="203"/>
  <c r="P11" i="203"/>
  <c r="O11" i="203"/>
  <c r="Q11" i="203"/>
  <c r="P10" i="203"/>
  <c r="P9" i="203"/>
  <c r="O9" i="203"/>
  <c r="Q9" i="203"/>
  <c r="P8" i="203"/>
  <c r="P7" i="203"/>
  <c r="P6" i="203"/>
  <c r="N4" i="203"/>
  <c r="I3" i="203"/>
  <c r="K3" i="203"/>
  <c r="M3" i="203"/>
  <c r="B1" i="203"/>
  <c r="A1" i="203" s="1"/>
  <c r="H34" i="202"/>
  <c r="O34" i="202"/>
  <c r="H6" i="202"/>
  <c r="H7" i="202"/>
  <c r="O7" i="202"/>
  <c r="H8" i="202"/>
  <c r="H4" i="202"/>
  <c r="I4" i="202"/>
  <c r="H9" i="202"/>
  <c r="H41" i="202"/>
  <c r="O35" i="202"/>
  <c r="F13" i="202"/>
  <c r="F15" i="202"/>
  <c r="O15" i="202"/>
  <c r="F16" i="202"/>
  <c r="O16" i="202"/>
  <c r="Q16" i="202"/>
  <c r="F21" i="202"/>
  <c r="F23" i="202"/>
  <c r="O23" i="202"/>
  <c r="F33" i="202"/>
  <c r="O20" i="202"/>
  <c r="Q20" i="202"/>
  <c r="P20" i="202"/>
  <c r="G44" i="202"/>
  <c r="F31" i="200"/>
  <c r="F24" i="200"/>
  <c r="D23" i="200"/>
  <c r="F13" i="201"/>
  <c r="F15" i="201"/>
  <c r="O15" i="201"/>
  <c r="Q15" i="201"/>
  <c r="F16" i="201"/>
  <c r="E10" i="201"/>
  <c r="G5" i="201"/>
  <c r="F20" i="201"/>
  <c r="F22" i="201"/>
  <c r="O22" i="201"/>
  <c r="P50" i="202"/>
  <c r="P49" i="202"/>
  <c r="P48" i="202"/>
  <c r="P47" i="202"/>
  <c r="E43" i="202"/>
  <c r="E44" i="202"/>
  <c r="Q42" i="202"/>
  <c r="P42" i="202"/>
  <c r="O42" i="202"/>
  <c r="P41" i="202"/>
  <c r="O40" i="202"/>
  <c r="P37" i="202"/>
  <c r="F37" i="202"/>
  <c r="P36" i="202"/>
  <c r="O36" i="202"/>
  <c r="P35" i="202"/>
  <c r="P34" i="202"/>
  <c r="P33" i="202"/>
  <c r="O33" i="202"/>
  <c r="P32" i="202"/>
  <c r="O32" i="202"/>
  <c r="P31" i="202"/>
  <c r="P30" i="202"/>
  <c r="O30" i="202"/>
  <c r="P29" i="202"/>
  <c r="O29" i="202"/>
  <c r="P28" i="202"/>
  <c r="O28" i="202"/>
  <c r="P27" i="202"/>
  <c r="Q26" i="202"/>
  <c r="O26" i="202"/>
  <c r="B26" i="202"/>
  <c r="P23" i="202"/>
  <c r="P22" i="202"/>
  <c r="O22" i="202"/>
  <c r="Q22" i="202"/>
  <c r="S21" i="202"/>
  <c r="P21" i="202"/>
  <c r="O21" i="202"/>
  <c r="Q21" i="202"/>
  <c r="P19" i="202"/>
  <c r="O19" i="202"/>
  <c r="Q19" i="202"/>
  <c r="P18" i="202"/>
  <c r="O18" i="202"/>
  <c r="Q18" i="202"/>
  <c r="P17" i="202"/>
  <c r="O17" i="202"/>
  <c r="Q17" i="202"/>
  <c r="P16" i="202"/>
  <c r="P15" i="202"/>
  <c r="Q15" i="202"/>
  <c r="P14" i="202"/>
  <c r="O14" i="202"/>
  <c r="Q14" i="202"/>
  <c r="P13" i="202"/>
  <c r="P12" i="202"/>
  <c r="O12" i="202"/>
  <c r="Q12" i="202"/>
  <c r="P11" i="202"/>
  <c r="O11" i="202"/>
  <c r="P10" i="202"/>
  <c r="P9" i="202"/>
  <c r="P8" i="202"/>
  <c r="F8" i="202"/>
  <c r="O8" i="202"/>
  <c r="Q8" i="202"/>
  <c r="P7" i="202"/>
  <c r="F7" i="202"/>
  <c r="P6" i="202"/>
  <c r="O6" i="202"/>
  <c r="Q6" i="202"/>
  <c r="N4" i="202"/>
  <c r="L4" i="202"/>
  <c r="I3" i="202"/>
  <c r="K3" i="202"/>
  <c r="M3" i="202"/>
  <c r="B1" i="202"/>
  <c r="A1" i="202" s="1"/>
  <c r="H33" i="201"/>
  <c r="O33" i="201"/>
  <c r="H35" i="201"/>
  <c r="H36" i="201"/>
  <c r="H34" i="201"/>
  <c r="P34" i="201"/>
  <c r="P33" i="201"/>
  <c r="J68" i="201"/>
  <c r="G40" i="201"/>
  <c r="F41" i="201"/>
  <c r="G43" i="201"/>
  <c r="H40" i="201"/>
  <c r="H7" i="201"/>
  <c r="H6" i="201"/>
  <c r="H8" i="201"/>
  <c r="J40" i="201"/>
  <c r="J41" i="201"/>
  <c r="J7" i="201"/>
  <c r="H47" i="201"/>
  <c r="H48" i="201"/>
  <c r="H41" i="201"/>
  <c r="H9" i="201"/>
  <c r="O9" i="201"/>
  <c r="Q9" i="201"/>
  <c r="G22" i="201"/>
  <c r="S20" i="201"/>
  <c r="G20" i="201"/>
  <c r="O20" i="201"/>
  <c r="Q20" i="201"/>
  <c r="F35" i="201"/>
  <c r="O35" i="201"/>
  <c r="G15" i="201"/>
  <c r="G16" i="201"/>
  <c r="G13" i="201"/>
  <c r="P10" i="201"/>
  <c r="O39" i="201"/>
  <c r="P22" i="201"/>
  <c r="J36" i="201"/>
  <c r="O25" i="201"/>
  <c r="K57" i="201"/>
  <c r="J58" i="201"/>
  <c r="J59" i="201"/>
  <c r="F64" i="201"/>
  <c r="F59" i="201"/>
  <c r="F60" i="201"/>
  <c r="G57" i="201"/>
  <c r="G60" i="201"/>
  <c r="O27" i="201"/>
  <c r="P27" i="201"/>
  <c r="L54" i="200"/>
  <c r="H31" i="200"/>
  <c r="H30" i="200"/>
  <c r="O30" i="200"/>
  <c r="J6" i="200"/>
  <c r="J4" i="200"/>
  <c r="I4" i="200"/>
  <c r="J7" i="200"/>
  <c r="J8" i="200"/>
  <c r="J9" i="200"/>
  <c r="O9" i="200"/>
  <c r="Q9" i="200"/>
  <c r="J25" i="200"/>
  <c r="J27" i="200"/>
  <c r="J31" i="200"/>
  <c r="J36" i="200"/>
  <c r="J37" i="200"/>
  <c r="Q37" i="200"/>
  <c r="J6" i="201"/>
  <c r="M36" i="200"/>
  <c r="M39" i="200"/>
  <c r="F7" i="201"/>
  <c r="E25" i="200"/>
  <c r="O25" i="200"/>
  <c r="J48" i="200"/>
  <c r="J49" i="200"/>
  <c r="J54" i="200"/>
  <c r="F37" i="200"/>
  <c r="K39" i="200"/>
  <c r="P49" i="201"/>
  <c r="P48" i="201"/>
  <c r="P47" i="201"/>
  <c r="P46" i="201"/>
  <c r="E42" i="201"/>
  <c r="P41" i="201"/>
  <c r="P40" i="201"/>
  <c r="P36" i="201"/>
  <c r="F36" i="201"/>
  <c r="P35" i="201"/>
  <c r="P32" i="201"/>
  <c r="O32" i="201"/>
  <c r="P31" i="201"/>
  <c r="O31" i="201"/>
  <c r="P30" i="201"/>
  <c r="P29" i="201"/>
  <c r="O29" i="201"/>
  <c r="P28" i="201"/>
  <c r="O28" i="201"/>
  <c r="P26" i="201"/>
  <c r="Q25" i="201"/>
  <c r="B25" i="201"/>
  <c r="P21" i="201"/>
  <c r="O21" i="201"/>
  <c r="Q21" i="201"/>
  <c r="P20" i="201"/>
  <c r="P19" i="201"/>
  <c r="O19" i="201"/>
  <c r="Q19" i="201"/>
  <c r="P18" i="201"/>
  <c r="O18" i="201"/>
  <c r="Q18" i="201"/>
  <c r="P17" i="201"/>
  <c r="O17" i="201"/>
  <c r="Q17" i="201"/>
  <c r="P16" i="201"/>
  <c r="O16" i="201"/>
  <c r="Q16" i="201"/>
  <c r="P15" i="201"/>
  <c r="P14" i="201"/>
  <c r="O14" i="201"/>
  <c r="Q14" i="201"/>
  <c r="P13" i="201"/>
  <c r="O13" i="201"/>
  <c r="Q13" i="201"/>
  <c r="P12" i="201"/>
  <c r="O12" i="201"/>
  <c r="Q12" i="201"/>
  <c r="P11" i="201"/>
  <c r="O11" i="201"/>
  <c r="Q11" i="201"/>
  <c r="P9" i="201"/>
  <c r="P8" i="201"/>
  <c r="F8" i="201"/>
  <c r="O8" i="201"/>
  <c r="Q8" i="201"/>
  <c r="P7" i="201"/>
  <c r="P6" i="201"/>
  <c r="N4" i="201"/>
  <c r="L4" i="201"/>
  <c r="I3" i="201"/>
  <c r="K3" i="201"/>
  <c r="M3" i="201"/>
  <c r="B1" i="201"/>
  <c r="A1" i="201" s="1"/>
  <c r="H8" i="200"/>
  <c r="H7" i="200"/>
  <c r="K36" i="200"/>
  <c r="F7" i="200"/>
  <c r="F35" i="200"/>
  <c r="G35" i="200"/>
  <c r="O37" i="200"/>
  <c r="F8" i="200"/>
  <c r="O8" i="200"/>
  <c r="Q8" i="200"/>
  <c r="F9" i="200"/>
  <c r="G39" i="200"/>
  <c r="G19" i="200"/>
  <c r="G15" i="200"/>
  <c r="G14" i="200"/>
  <c r="F14" i="200"/>
  <c r="O14" i="200"/>
  <c r="Q14" i="200"/>
  <c r="E38" i="200"/>
  <c r="L6" i="199"/>
  <c r="L7" i="199"/>
  <c r="L8" i="199"/>
  <c r="L27" i="199"/>
  <c r="L30" i="199"/>
  <c r="L31" i="199"/>
  <c r="L36" i="199"/>
  <c r="L37" i="199"/>
  <c r="H27" i="199"/>
  <c r="H4" i="199"/>
  <c r="K56" i="199"/>
  <c r="L48" i="199"/>
  <c r="P45" i="200"/>
  <c r="P44" i="200"/>
  <c r="P43" i="200"/>
  <c r="P42" i="200"/>
  <c r="P37" i="200"/>
  <c r="P36" i="200"/>
  <c r="P35" i="200"/>
  <c r="P31" i="200"/>
  <c r="P30" i="200"/>
  <c r="P29" i="200"/>
  <c r="O29" i="200"/>
  <c r="P28" i="200"/>
  <c r="O28" i="200"/>
  <c r="P27" i="200"/>
  <c r="P26" i="200"/>
  <c r="O26" i="200"/>
  <c r="P25" i="200"/>
  <c r="P24" i="200"/>
  <c r="Q23" i="200"/>
  <c r="B23" i="200"/>
  <c r="P20" i="200"/>
  <c r="O20" i="200"/>
  <c r="Q20" i="200"/>
  <c r="P19" i="200"/>
  <c r="F19" i="200"/>
  <c r="O19" i="200"/>
  <c r="Q19" i="200"/>
  <c r="P18" i="200"/>
  <c r="O18" i="200"/>
  <c r="Q18" i="200"/>
  <c r="P17" i="200"/>
  <c r="O17" i="200"/>
  <c r="Q17" i="200"/>
  <c r="P16" i="200"/>
  <c r="O16" i="200"/>
  <c r="Q16" i="200"/>
  <c r="P15" i="200"/>
  <c r="F15" i="200"/>
  <c r="O15" i="200"/>
  <c r="Q15" i="200"/>
  <c r="P14" i="200"/>
  <c r="P13" i="200"/>
  <c r="O13" i="200"/>
  <c r="Q13" i="200"/>
  <c r="P12" i="200"/>
  <c r="F12" i="200"/>
  <c r="O12" i="200"/>
  <c r="Q12" i="200"/>
  <c r="P11" i="200"/>
  <c r="O11" i="200"/>
  <c r="Q11" i="200"/>
  <c r="P10" i="200"/>
  <c r="O10" i="200"/>
  <c r="Q10" i="200"/>
  <c r="P9" i="200"/>
  <c r="P8" i="200"/>
  <c r="P7" i="200"/>
  <c r="P6" i="200"/>
  <c r="O6" i="200"/>
  <c r="N4" i="200"/>
  <c r="L4" i="200"/>
  <c r="I3" i="200"/>
  <c r="K3" i="200"/>
  <c r="M3" i="200"/>
  <c r="B1" i="200"/>
  <c r="A1" i="200" s="1"/>
  <c r="O26" i="199"/>
  <c r="F35" i="199"/>
  <c r="G35" i="199"/>
  <c r="O35" i="199"/>
  <c r="Q35" i="199"/>
  <c r="G39" i="199"/>
  <c r="K39" i="199"/>
  <c r="E39" i="199"/>
  <c r="F7" i="199"/>
  <c r="D5" i="199"/>
  <c r="F8" i="199"/>
  <c r="O8" i="199"/>
  <c r="Q8" i="199"/>
  <c r="F9" i="199"/>
  <c r="F12" i="199"/>
  <c r="F14" i="199"/>
  <c r="O14" i="199"/>
  <c r="Q14" i="199"/>
  <c r="F15" i="199"/>
  <c r="F19" i="199"/>
  <c r="O19" i="199"/>
  <c r="Q19" i="199"/>
  <c r="F31" i="199"/>
  <c r="F24" i="199"/>
  <c r="D23" i="199"/>
  <c r="F37" i="199"/>
  <c r="M36" i="199"/>
  <c r="Q23" i="199"/>
  <c r="O6" i="199"/>
  <c r="Q6" i="199"/>
  <c r="O7" i="199"/>
  <c r="Q7" i="199"/>
  <c r="O9" i="199"/>
  <c r="Q9" i="199"/>
  <c r="O10" i="199"/>
  <c r="Q10" i="199"/>
  <c r="O11" i="199"/>
  <c r="Q11" i="199"/>
  <c r="G12" i="199"/>
  <c r="O12" i="199"/>
  <c r="Q12" i="199"/>
  <c r="O13" i="199"/>
  <c r="Q13" i="199"/>
  <c r="G14" i="199"/>
  <c r="G15" i="199"/>
  <c r="O15" i="199"/>
  <c r="Q15" i="199"/>
  <c r="O16" i="199"/>
  <c r="Q16" i="199"/>
  <c r="G17" i="199"/>
  <c r="O17" i="199"/>
  <c r="Q17" i="199"/>
  <c r="O18" i="199"/>
  <c r="Q18" i="199"/>
  <c r="G19" i="199"/>
  <c r="G20" i="199"/>
  <c r="O20" i="199"/>
  <c r="Q20" i="199"/>
  <c r="O28" i="199"/>
  <c r="O29" i="199"/>
  <c r="O30" i="199"/>
  <c r="O31" i="199"/>
  <c r="L49" i="199"/>
  <c r="L50" i="199"/>
  <c r="L51" i="199"/>
  <c r="L52" i="199"/>
  <c r="P45" i="199"/>
  <c r="P44" i="199"/>
  <c r="P43" i="199"/>
  <c r="P42" i="199"/>
  <c r="P37" i="199"/>
  <c r="O37" i="199"/>
  <c r="Q37" i="199"/>
  <c r="P36" i="199"/>
  <c r="P35" i="199"/>
  <c r="P31" i="199"/>
  <c r="P30" i="199"/>
  <c r="P29" i="199"/>
  <c r="P28" i="199"/>
  <c r="P27" i="199"/>
  <c r="P26" i="199"/>
  <c r="P25" i="199"/>
  <c r="E25" i="199"/>
  <c r="O25" i="199"/>
  <c r="P24" i="199"/>
  <c r="B23" i="199"/>
  <c r="P20" i="199"/>
  <c r="P19" i="199"/>
  <c r="P18" i="199"/>
  <c r="P17" i="199"/>
  <c r="P16" i="199"/>
  <c r="P15" i="199"/>
  <c r="P14" i="199"/>
  <c r="P13" i="199"/>
  <c r="P12" i="199"/>
  <c r="P11" i="199"/>
  <c r="P10" i="199"/>
  <c r="P9" i="199"/>
  <c r="P8" i="199"/>
  <c r="P7" i="199"/>
  <c r="P6" i="199"/>
  <c r="N4" i="199"/>
  <c r="J4" i="199"/>
  <c r="I3" i="199"/>
  <c r="K3" i="199"/>
  <c r="M3" i="199"/>
  <c r="B1" i="199"/>
  <c r="A1" i="199" s="1"/>
  <c r="C13" i="198"/>
  <c r="G6" i="198"/>
  <c r="H6" i="198"/>
  <c r="G7" i="198"/>
  <c r="D6" i="198"/>
  <c r="D5" i="198"/>
  <c r="D7" i="198"/>
  <c r="C14" i="198"/>
  <c r="D4" i="198"/>
  <c r="D21" i="197"/>
  <c r="D19" i="197"/>
  <c r="D20" i="197"/>
  <c r="A13" i="197"/>
  <c r="D18" i="197"/>
  <c r="D16" i="197"/>
  <c r="D17" i="197"/>
  <c r="A12" i="197"/>
  <c r="E13" i="197"/>
  <c r="C12" i="197"/>
  <c r="C13" i="197"/>
  <c r="C16" i="197"/>
  <c r="C17" i="197"/>
  <c r="C18" i="197"/>
  <c r="C19" i="197"/>
  <c r="C20" i="197"/>
  <c r="C21" i="197"/>
  <c r="D3" i="197"/>
  <c r="D4" i="197"/>
  <c r="D10" i="197"/>
  <c r="D11" i="197"/>
  <c r="D12" i="197"/>
  <c r="D13" i="197"/>
  <c r="G8" i="197"/>
  <c r="A11" i="197"/>
  <c r="G11" i="197"/>
  <c r="G10" i="197"/>
  <c r="E10" i="197"/>
  <c r="E11" i="197"/>
  <c r="E12" i="197"/>
  <c r="I8" i="197"/>
  <c r="I7" i="197"/>
  <c r="E4" i="197"/>
  <c r="E3" i="197"/>
  <c r="I137" i="74"/>
  <c r="L47" i="195"/>
  <c r="L7" i="195"/>
  <c r="L8" i="195"/>
  <c r="L24" i="195"/>
  <c r="L33" i="195"/>
  <c r="L34" i="195"/>
  <c r="P46" i="195"/>
  <c r="H26" i="195"/>
  <c r="H6" i="195"/>
  <c r="H7" i="195"/>
  <c r="H8" i="195"/>
  <c r="H24" i="195"/>
  <c r="H33" i="195"/>
  <c r="H34" i="195"/>
  <c r="Q46" i="195"/>
  <c r="R46" i="195"/>
  <c r="M9" i="129"/>
  <c r="S27" i="195"/>
  <c r="S28" i="195"/>
  <c r="F24" i="195"/>
  <c r="D23" i="195"/>
  <c r="B22" i="195"/>
  <c r="F32" i="195"/>
  <c r="G32" i="195"/>
  <c r="O32" i="195"/>
  <c r="Q32" i="195"/>
  <c r="G36" i="195"/>
  <c r="K36" i="195"/>
  <c r="M36" i="195"/>
  <c r="E35" i="195"/>
  <c r="F7" i="195"/>
  <c r="F8" i="195"/>
  <c r="F9" i="195"/>
  <c r="F12" i="195"/>
  <c r="F14" i="195"/>
  <c r="O14" i="195"/>
  <c r="Q14" i="195"/>
  <c r="F15" i="195"/>
  <c r="F18" i="195"/>
  <c r="F19" i="195"/>
  <c r="F26" i="195"/>
  <c r="F34" i="195"/>
  <c r="J33" i="195"/>
  <c r="J4" i="195"/>
  <c r="K33" i="195"/>
  <c r="M33" i="195"/>
  <c r="Q23" i="195"/>
  <c r="O8" i="195"/>
  <c r="Q8" i="195"/>
  <c r="O9" i="195"/>
  <c r="Q9" i="195"/>
  <c r="O10" i="195"/>
  <c r="Q10" i="195"/>
  <c r="O11" i="195"/>
  <c r="Q11" i="195"/>
  <c r="G12" i="195"/>
  <c r="O12" i="195"/>
  <c r="Q12" i="195"/>
  <c r="O13" i="195"/>
  <c r="Q13" i="195"/>
  <c r="G14" i="195"/>
  <c r="G15" i="195"/>
  <c r="O15" i="195"/>
  <c r="Q15" i="195"/>
  <c r="O16" i="195"/>
  <c r="Q16" i="195"/>
  <c r="O17" i="195"/>
  <c r="Q17" i="195"/>
  <c r="O18" i="195"/>
  <c r="Q18" i="195"/>
  <c r="G19" i="195"/>
  <c r="O20" i="195"/>
  <c r="Q20" i="195"/>
  <c r="N44" i="195"/>
  <c r="O27" i="195"/>
  <c r="P42" i="195"/>
  <c r="P41" i="195"/>
  <c r="F56" i="195"/>
  <c r="H51" i="195"/>
  <c r="G51" i="195"/>
  <c r="P40" i="195"/>
  <c r="F52" i="195"/>
  <c r="F53" i="195"/>
  <c r="O26" i="195"/>
  <c r="H38" i="194"/>
  <c r="L5" i="129"/>
  <c r="R27" i="194"/>
  <c r="G27" i="194"/>
  <c r="R30" i="194"/>
  <c r="S30" i="194"/>
  <c r="G37" i="194"/>
  <c r="E37" i="194"/>
  <c r="I37" i="194"/>
  <c r="E36" i="194"/>
  <c r="F7" i="194"/>
  <c r="F8" i="194"/>
  <c r="O8" i="194"/>
  <c r="Q8" i="194"/>
  <c r="F9" i="194"/>
  <c r="F12" i="194"/>
  <c r="O12" i="194"/>
  <c r="Q12" i="194"/>
  <c r="F14" i="194"/>
  <c r="O14" i="194"/>
  <c r="F15" i="194"/>
  <c r="F18" i="194"/>
  <c r="F19" i="194"/>
  <c r="O19" i="194"/>
  <c r="Q19" i="194"/>
  <c r="D5" i="194"/>
  <c r="F25" i="194"/>
  <c r="D24" i="194"/>
  <c r="B23" i="194"/>
  <c r="F33" i="194"/>
  <c r="F35" i="194"/>
  <c r="P39" i="195"/>
  <c r="P34" i="195"/>
  <c r="P33" i="195"/>
  <c r="P32" i="195"/>
  <c r="P28" i="195"/>
  <c r="O28" i="195"/>
  <c r="P27" i="195"/>
  <c r="P26" i="195"/>
  <c r="P25" i="195"/>
  <c r="O25" i="195"/>
  <c r="P24" i="195"/>
  <c r="B23" i="195"/>
  <c r="P20" i="195"/>
  <c r="P19" i="195"/>
  <c r="P18" i="195"/>
  <c r="P17" i="195"/>
  <c r="P16" i="195"/>
  <c r="P15" i="195"/>
  <c r="P14" i="195"/>
  <c r="P13" i="195"/>
  <c r="P12" i="195"/>
  <c r="P11" i="195"/>
  <c r="P10" i="195"/>
  <c r="P9" i="195"/>
  <c r="P8" i="195"/>
  <c r="P7" i="195"/>
  <c r="P6" i="195"/>
  <c r="N4" i="195"/>
  <c r="I3" i="195"/>
  <c r="K3" i="195"/>
  <c r="M3" i="195"/>
  <c r="E3" i="195"/>
  <c r="B1" i="195"/>
  <c r="A1" i="195" s="1"/>
  <c r="M46" i="194"/>
  <c r="M47" i="194"/>
  <c r="J38" i="194"/>
  <c r="L7" i="194"/>
  <c r="L4" i="194"/>
  <c r="M4" i="194"/>
  <c r="K4" i="194"/>
  <c r="L26" i="194"/>
  <c r="L34" i="194"/>
  <c r="L35" i="194"/>
  <c r="N34" i="194"/>
  <c r="N4" i="194"/>
  <c r="N35" i="194"/>
  <c r="H26" i="194"/>
  <c r="H27" i="194"/>
  <c r="H35" i="194"/>
  <c r="H34" i="194"/>
  <c r="H7" i="194"/>
  <c r="O7" i="194"/>
  <c r="Q7" i="194"/>
  <c r="H6" i="194"/>
  <c r="H8" i="194"/>
  <c r="J8" i="194"/>
  <c r="J35" i="194"/>
  <c r="J4" i="194"/>
  <c r="G19" i="194"/>
  <c r="G14" i="194"/>
  <c r="G26" i="194"/>
  <c r="J25" i="194"/>
  <c r="H25" i="194"/>
  <c r="G33" i="194"/>
  <c r="G34" i="194"/>
  <c r="H9" i="194"/>
  <c r="G25" i="194"/>
  <c r="O27" i="194"/>
  <c r="G15" i="194"/>
  <c r="G18" i="194"/>
  <c r="O18" i="194"/>
  <c r="Q18" i="194"/>
  <c r="J11" i="129"/>
  <c r="E25" i="194"/>
  <c r="R26" i="193"/>
  <c r="R27" i="193"/>
  <c r="S27" i="193"/>
  <c r="E27" i="193"/>
  <c r="O27" i="193"/>
  <c r="L35" i="193"/>
  <c r="F35" i="193"/>
  <c r="L36" i="193"/>
  <c r="L51" i="193"/>
  <c r="L45" i="193"/>
  <c r="L7" i="193"/>
  <c r="O7" i="193"/>
  <c r="Q7" i="193"/>
  <c r="L8" i="193"/>
  <c r="L9" i="193"/>
  <c r="O9" i="193"/>
  <c r="Q9" i="193"/>
  <c r="L25" i="193"/>
  <c r="L4" i="193"/>
  <c r="L50" i="193"/>
  <c r="L28" i="193"/>
  <c r="L33" i="193"/>
  <c r="L34" i="193"/>
  <c r="O6" i="194"/>
  <c r="Q6" i="194"/>
  <c r="J34" i="193"/>
  <c r="J7" i="193"/>
  <c r="J6" i="193"/>
  <c r="J8" i="193"/>
  <c r="J25" i="193"/>
  <c r="J36" i="193"/>
  <c r="J4" i="193"/>
  <c r="O4" i="193"/>
  <c r="I11" i="129"/>
  <c r="M49" i="193"/>
  <c r="M43" i="193"/>
  <c r="F19" i="193"/>
  <c r="O19" i="193"/>
  <c r="Q19" i="193"/>
  <c r="F7" i="193"/>
  <c r="F8" i="193"/>
  <c r="N8" i="193"/>
  <c r="N25" i="193"/>
  <c r="F26" i="193"/>
  <c r="O26" i="193"/>
  <c r="M38" i="193"/>
  <c r="M19" i="193"/>
  <c r="M16" i="193"/>
  <c r="O16" i="193"/>
  <c r="Q16" i="193"/>
  <c r="M34" i="193"/>
  <c r="P44" i="193"/>
  <c r="P45" i="193"/>
  <c r="F6" i="193"/>
  <c r="F28" i="193"/>
  <c r="D24" i="193"/>
  <c r="F33" i="193"/>
  <c r="N7" i="193"/>
  <c r="N34" i="193"/>
  <c r="F9" i="193"/>
  <c r="J65" i="193"/>
  <c r="K65" i="193"/>
  <c r="P43" i="193"/>
  <c r="G34" i="193"/>
  <c r="H34" i="193"/>
  <c r="G38" i="193"/>
  <c r="G33" i="193"/>
  <c r="G19" i="193"/>
  <c r="G7" i="193"/>
  <c r="G21" i="193"/>
  <c r="F12" i="193"/>
  <c r="O12" i="193"/>
  <c r="Q12" i="193"/>
  <c r="G14" i="193"/>
  <c r="H25" i="193"/>
  <c r="H6" i="193"/>
  <c r="H7" i="193"/>
  <c r="J9" i="129"/>
  <c r="K67" i="193"/>
  <c r="K68" i="193"/>
  <c r="J64" i="193"/>
  <c r="K64" i="193"/>
  <c r="K63" i="193"/>
  <c r="K60" i="193"/>
  <c r="J59" i="193"/>
  <c r="K59" i="193"/>
  <c r="K58" i="193"/>
  <c r="F21" i="193"/>
  <c r="E25" i="193"/>
  <c r="E103" i="193"/>
  <c r="F25" i="193"/>
  <c r="H28" i="193"/>
  <c r="H8" i="193"/>
  <c r="H4" i="193"/>
  <c r="I3" i="129"/>
  <c r="G39" i="186"/>
  <c r="P41" i="194"/>
  <c r="P40" i="194"/>
  <c r="P35" i="194"/>
  <c r="P34" i="194"/>
  <c r="P33" i="194"/>
  <c r="O33" i="194"/>
  <c r="Q33" i="194"/>
  <c r="P29" i="194"/>
  <c r="O29" i="194"/>
  <c r="P28" i="194"/>
  <c r="O28" i="194"/>
  <c r="P27" i="194"/>
  <c r="P26" i="194"/>
  <c r="O26" i="194"/>
  <c r="P25" i="194"/>
  <c r="Q24" i="194"/>
  <c r="B24" i="194"/>
  <c r="P21" i="194"/>
  <c r="O21" i="194"/>
  <c r="Q21" i="194"/>
  <c r="P20" i="194"/>
  <c r="O20" i="194"/>
  <c r="Q20" i="194"/>
  <c r="P19" i="194"/>
  <c r="P18" i="194"/>
  <c r="P17" i="194"/>
  <c r="O17" i="194"/>
  <c r="Q17" i="194"/>
  <c r="P16" i="194"/>
  <c r="O16" i="194"/>
  <c r="Q16" i="194"/>
  <c r="P15" i="194"/>
  <c r="O15" i="194"/>
  <c r="Q15" i="194"/>
  <c r="P14" i="194"/>
  <c r="O13" i="194"/>
  <c r="Q13" i="194"/>
  <c r="P13" i="194"/>
  <c r="P12" i="194"/>
  <c r="P11" i="194"/>
  <c r="O11" i="194"/>
  <c r="Q11" i="194"/>
  <c r="P10" i="194"/>
  <c r="O10" i="194"/>
  <c r="Q10" i="194"/>
  <c r="P9" i="194"/>
  <c r="O9" i="194"/>
  <c r="Q9" i="194"/>
  <c r="P8" i="194"/>
  <c r="P7" i="194"/>
  <c r="P6" i="194"/>
  <c r="I3" i="194"/>
  <c r="K3" i="194"/>
  <c r="M3" i="194"/>
  <c r="E3" i="194"/>
  <c r="B1" i="194"/>
  <c r="A1" i="194" s="1"/>
  <c r="H98" i="193"/>
  <c r="H99" i="193"/>
  <c r="H96" i="193"/>
  <c r="H97" i="193"/>
  <c r="H82" i="193"/>
  <c r="G82" i="193"/>
  <c r="G86" i="193"/>
  <c r="H6" i="186"/>
  <c r="H7" i="186"/>
  <c r="H8" i="186"/>
  <c r="H9" i="186"/>
  <c r="H25" i="186"/>
  <c r="H4" i="186"/>
  <c r="O4" i="186"/>
  <c r="L51" i="186"/>
  <c r="L55" i="186"/>
  <c r="M55" i="186"/>
  <c r="M58" i="186"/>
  <c r="H27" i="186"/>
  <c r="H28" i="186"/>
  <c r="H29" i="186"/>
  <c r="H31" i="186"/>
  <c r="O31" i="186"/>
  <c r="H36" i="186"/>
  <c r="H37" i="186"/>
  <c r="Q37" i="186"/>
  <c r="J31" i="186"/>
  <c r="J36" i="186"/>
  <c r="J4" i="186"/>
  <c r="L4" i="186"/>
  <c r="N4" i="186"/>
  <c r="L52" i="186"/>
  <c r="P42" i="193"/>
  <c r="P41" i="193"/>
  <c r="E37" i="193"/>
  <c r="P35" i="193"/>
  <c r="P34" i="193"/>
  <c r="P33" i="193"/>
  <c r="P29" i="193"/>
  <c r="O29" i="193"/>
  <c r="P28" i="193"/>
  <c r="P27" i="193"/>
  <c r="P26" i="193"/>
  <c r="P25" i="193"/>
  <c r="Q24" i="193"/>
  <c r="B24" i="193"/>
  <c r="P21" i="193"/>
  <c r="P20" i="193"/>
  <c r="O20" i="193"/>
  <c r="Q20" i="193"/>
  <c r="P19" i="193"/>
  <c r="P18" i="193"/>
  <c r="F18" i="193"/>
  <c r="O18" i="193"/>
  <c r="Q18" i="193"/>
  <c r="P17" i="193"/>
  <c r="O17" i="193"/>
  <c r="Q17" i="193"/>
  <c r="P16" i="193"/>
  <c r="P15" i="193"/>
  <c r="F15" i="193"/>
  <c r="O15" i="193"/>
  <c r="Q15" i="193"/>
  <c r="P14" i="193"/>
  <c r="F14" i="193"/>
  <c r="O14" i="193"/>
  <c r="Q14" i="193"/>
  <c r="P13" i="193"/>
  <c r="O13" i="193"/>
  <c r="Q13" i="193"/>
  <c r="P12" i="193"/>
  <c r="P11" i="193"/>
  <c r="O11" i="193"/>
  <c r="Q11" i="193"/>
  <c r="P10" i="193"/>
  <c r="O10" i="193"/>
  <c r="Q10" i="193"/>
  <c r="P9" i="193"/>
  <c r="P8" i="193"/>
  <c r="O8" i="193"/>
  <c r="Q8" i="193"/>
  <c r="P7" i="193"/>
  <c r="P6" i="193"/>
  <c r="I3" i="193"/>
  <c r="K3" i="193"/>
  <c r="M3" i="193"/>
  <c r="E3" i="193"/>
  <c r="B1" i="193"/>
  <c r="A1" i="193" s="1"/>
  <c r="M56" i="186"/>
  <c r="G28" i="186"/>
  <c r="G12" i="186"/>
  <c r="G19" i="186"/>
  <c r="F19" i="186"/>
  <c r="O19" i="186"/>
  <c r="Q19" i="186"/>
  <c r="G14" i="186"/>
  <c r="F28" i="186"/>
  <c r="O28" i="186"/>
  <c r="D24" i="186"/>
  <c r="E28" i="186"/>
  <c r="F35" i="186"/>
  <c r="E29" i="186"/>
  <c r="O29" i="186"/>
  <c r="F37" i="186"/>
  <c r="G25" i="186"/>
  <c r="G35" i="186"/>
  <c r="G36" i="186"/>
  <c r="G21" i="186"/>
  <c r="F15" i="186"/>
  <c r="O15" i="186"/>
  <c r="Q15" i="186"/>
  <c r="E27" i="186"/>
  <c r="O27" i="186"/>
  <c r="P27" i="186"/>
  <c r="O26" i="186"/>
  <c r="P28" i="186"/>
  <c r="G15" i="186"/>
  <c r="F15" i="188"/>
  <c r="F14" i="186"/>
  <c r="O14" i="186"/>
  <c r="Q14" i="186"/>
  <c r="K25" i="188"/>
  <c r="E38" i="186"/>
  <c r="N25" i="188"/>
  <c r="S23" i="188"/>
  <c r="S25" i="188"/>
  <c r="S26" i="188"/>
  <c r="O30" i="186"/>
  <c r="P31" i="186"/>
  <c r="P30" i="186"/>
  <c r="P29" i="186"/>
  <c r="P26" i="186"/>
  <c r="I64" i="188"/>
  <c r="L32" i="188"/>
  <c r="L7" i="188"/>
  <c r="L4" i="188"/>
  <c r="S4" i="188"/>
  <c r="F38" i="188"/>
  <c r="M25" i="188"/>
  <c r="H58" i="188"/>
  <c r="H59" i="188"/>
  <c r="H60" i="188"/>
  <c r="H61" i="188"/>
  <c r="H62" i="188"/>
  <c r="H3" i="129"/>
  <c r="H4" i="129" s="1"/>
  <c r="N37" i="188"/>
  <c r="J8" i="188"/>
  <c r="J4" i="188"/>
  <c r="J9" i="188"/>
  <c r="J30" i="188"/>
  <c r="J31" i="188"/>
  <c r="J32" i="188"/>
  <c r="J37" i="188"/>
  <c r="H6" i="188"/>
  <c r="H7" i="188"/>
  <c r="H8" i="188"/>
  <c r="H9" i="188"/>
  <c r="O9" i="188"/>
  <c r="H21" i="188"/>
  <c r="H25" i="188"/>
  <c r="H30" i="188"/>
  <c r="H31" i="188"/>
  <c r="O31" i="188"/>
  <c r="H32" i="188"/>
  <c r="H37" i="188"/>
  <c r="H38" i="188"/>
  <c r="K37" i="188"/>
  <c r="F12" i="186"/>
  <c r="F12" i="188"/>
  <c r="K40" i="188"/>
  <c r="G32" i="188"/>
  <c r="M52" i="188"/>
  <c r="F19" i="188"/>
  <c r="F31" i="188"/>
  <c r="I54" i="188"/>
  <c r="I56" i="188"/>
  <c r="I55" i="188"/>
  <c r="I30" i="188"/>
  <c r="O30" i="188"/>
  <c r="I40" i="188"/>
  <c r="P41" i="188"/>
  <c r="P42" i="188"/>
  <c r="P40" i="188"/>
  <c r="G19" i="188"/>
  <c r="O19" i="188"/>
  <c r="Q19" i="188"/>
  <c r="G37" i="188"/>
  <c r="G36" i="188"/>
  <c r="O36" i="188"/>
  <c r="F36" i="188"/>
  <c r="G15" i="188"/>
  <c r="G14" i="188"/>
  <c r="F14" i="188"/>
  <c r="O14" i="188"/>
  <c r="G40" i="188"/>
  <c r="P26" i="188"/>
  <c r="O26" i="188"/>
  <c r="F27" i="188"/>
  <c r="P31" i="188"/>
  <c r="P32" i="188"/>
  <c r="P27" i="188"/>
  <c r="P28" i="188"/>
  <c r="P29" i="188"/>
  <c r="P30" i="188"/>
  <c r="O28" i="188"/>
  <c r="O29" i="188"/>
  <c r="P47" i="195"/>
  <c r="R47" i="195"/>
  <c r="R24" i="195"/>
  <c r="O34" i="195"/>
  <c r="O35" i="194"/>
  <c r="Q14" i="194"/>
  <c r="N4" i="193"/>
  <c r="G87" i="193"/>
  <c r="G88" i="193"/>
  <c r="G89" i="193"/>
  <c r="G90" i="193"/>
  <c r="G91" i="193"/>
  <c r="G92" i="193"/>
  <c r="G93" i="193"/>
  <c r="G94" i="193"/>
  <c r="O32" i="194"/>
  <c r="O33" i="193"/>
  <c r="E39" i="186"/>
  <c r="O32" i="188"/>
  <c r="D24" i="188"/>
  <c r="O27" i="188"/>
  <c r="G21" i="187"/>
  <c r="O21" i="187"/>
  <c r="G14" i="187"/>
  <c r="F21" i="187"/>
  <c r="F25" i="187"/>
  <c r="E21" i="187"/>
  <c r="S16" i="187"/>
  <c r="G19" i="187"/>
  <c r="G29" i="187"/>
  <c r="F29" i="187"/>
  <c r="G12" i="187"/>
  <c r="G15" i="187"/>
  <c r="G25" i="187"/>
  <c r="G33" i="187"/>
  <c r="F9" i="187"/>
  <c r="O9" i="187"/>
  <c r="Q9" i="187"/>
  <c r="E25" i="187"/>
  <c r="M33" i="185"/>
  <c r="H6" i="185"/>
  <c r="H7" i="185"/>
  <c r="H9" i="185"/>
  <c r="H25" i="185"/>
  <c r="H30" i="185"/>
  <c r="H31" i="185"/>
  <c r="J6" i="185"/>
  <c r="J4" i="185"/>
  <c r="J7" i="185"/>
  <c r="J9" i="185"/>
  <c r="J30" i="185"/>
  <c r="J31" i="185"/>
  <c r="L30" i="185"/>
  <c r="L4" i="185"/>
  <c r="N6" i="185"/>
  <c r="N7" i="185"/>
  <c r="N30" i="185"/>
  <c r="N4" i="185"/>
  <c r="R4" i="185"/>
  <c r="R2" i="185"/>
  <c r="R7" i="185"/>
  <c r="I17" i="185"/>
  <c r="I29" i="185"/>
  <c r="F25" i="185"/>
  <c r="D24" i="185"/>
  <c r="O6" i="187"/>
  <c r="Q6" i="187"/>
  <c r="Q14" i="188"/>
  <c r="E11" i="129"/>
  <c r="M25" i="185"/>
  <c r="M14" i="185"/>
  <c r="F14" i="187"/>
  <c r="F14" i="185"/>
  <c r="O14" i="185"/>
  <c r="Q14" i="185"/>
  <c r="O7" i="187"/>
  <c r="Q7" i="187"/>
  <c r="K25" i="185"/>
  <c r="K33" i="185"/>
  <c r="P44" i="188"/>
  <c r="P43" i="188"/>
  <c r="E39" i="188"/>
  <c r="P38" i="188"/>
  <c r="P37" i="188"/>
  <c r="P36" i="188"/>
  <c r="P25" i="188"/>
  <c r="Q24" i="188"/>
  <c r="B24" i="188"/>
  <c r="P21" i="188"/>
  <c r="P20" i="188"/>
  <c r="O20" i="188"/>
  <c r="Q20" i="188"/>
  <c r="P19" i="188"/>
  <c r="P18" i="188"/>
  <c r="F18" i="188"/>
  <c r="O18" i="188"/>
  <c r="Q18" i="188"/>
  <c r="P17" i="188"/>
  <c r="O17" i="188"/>
  <c r="Q17" i="188"/>
  <c r="P16" i="188"/>
  <c r="O16" i="188"/>
  <c r="Q16" i="188"/>
  <c r="P15" i="188"/>
  <c r="O15" i="188"/>
  <c r="Q15" i="188"/>
  <c r="P14" i="188"/>
  <c r="P13" i="188"/>
  <c r="O13" i="188"/>
  <c r="Q13" i="188"/>
  <c r="P12" i="188"/>
  <c r="P11" i="188"/>
  <c r="O11" i="188"/>
  <c r="Q11" i="188"/>
  <c r="P10" i="188"/>
  <c r="F10" i="188"/>
  <c r="O10" i="188"/>
  <c r="Q10" i="188"/>
  <c r="P9" i="188"/>
  <c r="Q9" i="188"/>
  <c r="P8" i="188"/>
  <c r="P7" i="188"/>
  <c r="O7" i="188"/>
  <c r="Q7" i="188"/>
  <c r="P6" i="188"/>
  <c r="N4" i="188"/>
  <c r="I3" i="188"/>
  <c r="K3" i="188"/>
  <c r="M3" i="188"/>
  <c r="E3" i="188"/>
  <c r="B1" i="188"/>
  <c r="A1" i="188" s="1"/>
  <c r="F9" i="185"/>
  <c r="F8" i="185"/>
  <c r="G8" i="185"/>
  <c r="J34" i="74"/>
  <c r="E34" i="74"/>
  <c r="D4" i="129"/>
  <c r="F7" i="185"/>
  <c r="F6" i="185"/>
  <c r="K29" i="185"/>
  <c r="I30" i="185"/>
  <c r="I6" i="185"/>
  <c r="F31" i="185"/>
  <c r="I33" i="185"/>
  <c r="I31" i="185"/>
  <c r="I19" i="185"/>
  <c r="I12" i="185"/>
  <c r="F12" i="185"/>
  <c r="O12" i="185"/>
  <c r="Q12" i="185"/>
  <c r="F12" i="187"/>
  <c r="O12" i="187"/>
  <c r="Q12" i="187"/>
  <c r="I15" i="185"/>
  <c r="I14" i="185"/>
  <c r="I20" i="185"/>
  <c r="I13" i="185"/>
  <c r="O13" i="185"/>
  <c r="Q13" i="185"/>
  <c r="G30" i="185"/>
  <c r="G33" i="185"/>
  <c r="G29" i="185"/>
  <c r="G25" i="185"/>
  <c r="E21" i="185"/>
  <c r="E32" i="185"/>
  <c r="H6" i="184"/>
  <c r="H7" i="184"/>
  <c r="H4" i="184"/>
  <c r="H34" i="184"/>
  <c r="J6" i="184"/>
  <c r="O6" i="184"/>
  <c r="J7" i="184"/>
  <c r="J8" i="184"/>
  <c r="J34" i="184"/>
  <c r="L4" i="184"/>
  <c r="N6" i="184"/>
  <c r="N7" i="184"/>
  <c r="N4" i="184"/>
  <c r="N8" i="184"/>
  <c r="N9" i="184"/>
  <c r="N34" i="184"/>
  <c r="R2" i="184"/>
  <c r="S4" i="184"/>
  <c r="G51" i="184"/>
  <c r="E40" i="187"/>
  <c r="P37" i="187"/>
  <c r="P36" i="187"/>
  <c r="Q31" i="187"/>
  <c r="P31" i="187"/>
  <c r="O31" i="187"/>
  <c r="P30" i="187"/>
  <c r="P29" i="187"/>
  <c r="P25" i="187"/>
  <c r="Q24" i="187"/>
  <c r="B24" i="187"/>
  <c r="P21" i="187"/>
  <c r="P20" i="187"/>
  <c r="O20" i="187"/>
  <c r="Q20" i="187"/>
  <c r="P19" i="187"/>
  <c r="F19" i="187"/>
  <c r="P18" i="187"/>
  <c r="F18" i="187"/>
  <c r="O18" i="187"/>
  <c r="Q18" i="187"/>
  <c r="O17" i="187"/>
  <c r="Q17" i="187"/>
  <c r="P17" i="187"/>
  <c r="P16" i="187"/>
  <c r="O16" i="187"/>
  <c r="Q16" i="187"/>
  <c r="P15" i="187"/>
  <c r="F15" i="187"/>
  <c r="O15" i="187"/>
  <c r="Q15" i="187"/>
  <c r="P14" i="187"/>
  <c r="P13" i="187"/>
  <c r="O13" i="187"/>
  <c r="Q13" i="187"/>
  <c r="P12" i="187"/>
  <c r="P11" i="187"/>
  <c r="O11" i="187"/>
  <c r="Q11" i="187"/>
  <c r="P10" i="187"/>
  <c r="F10" i="187"/>
  <c r="O10" i="187"/>
  <c r="Q10" i="187"/>
  <c r="P9" i="187"/>
  <c r="P8" i="187"/>
  <c r="P7" i="187"/>
  <c r="P6" i="187"/>
  <c r="N4" i="187"/>
  <c r="L4" i="187"/>
  <c r="J4" i="187"/>
  <c r="H4" i="187"/>
  <c r="I3" i="187"/>
  <c r="K3" i="187"/>
  <c r="M3" i="187"/>
  <c r="E3" i="187"/>
  <c r="B1" i="187"/>
  <c r="A1" i="187" s="1"/>
  <c r="M37" i="184"/>
  <c r="K37" i="184"/>
  <c r="F25" i="184"/>
  <c r="R6" i="184"/>
  <c r="R35" i="184"/>
  <c r="R7" i="184"/>
  <c r="M25" i="184"/>
  <c r="F28" i="184"/>
  <c r="M8" i="184"/>
  <c r="M14" i="184"/>
  <c r="M26" i="129"/>
  <c r="F10" i="129"/>
  <c r="F29" i="184"/>
  <c r="F8" i="184"/>
  <c r="K25" i="184"/>
  <c r="O10" i="186"/>
  <c r="Q10" i="186"/>
  <c r="P43" i="186"/>
  <c r="P42" i="186"/>
  <c r="P37" i="186"/>
  <c r="O37" i="186"/>
  <c r="P36" i="186"/>
  <c r="P35" i="186"/>
  <c r="O35" i="186"/>
  <c r="P25" i="186"/>
  <c r="Q24" i="186"/>
  <c r="B24" i="186"/>
  <c r="P21" i="186"/>
  <c r="O21" i="186"/>
  <c r="Q21" i="186"/>
  <c r="P20" i="186"/>
  <c r="O20" i="186"/>
  <c r="Q20" i="186"/>
  <c r="P19" i="186"/>
  <c r="P18" i="186"/>
  <c r="F18" i="186"/>
  <c r="O18" i="186"/>
  <c r="Q18" i="186"/>
  <c r="P17" i="186"/>
  <c r="O17" i="186"/>
  <c r="Q17" i="186"/>
  <c r="P16" i="186"/>
  <c r="O16" i="186"/>
  <c r="Q16" i="186"/>
  <c r="P15" i="186"/>
  <c r="P14" i="186"/>
  <c r="P13" i="186"/>
  <c r="O13" i="186"/>
  <c r="Q13" i="186"/>
  <c r="P12" i="186"/>
  <c r="P11" i="186"/>
  <c r="O11" i="186"/>
  <c r="Q11" i="186"/>
  <c r="P10" i="186"/>
  <c r="P9" i="186"/>
  <c r="F9" i="186"/>
  <c r="O9" i="186"/>
  <c r="Q9" i="186"/>
  <c r="P8" i="186"/>
  <c r="F8" i="186"/>
  <c r="O8" i="186"/>
  <c r="Q8" i="186"/>
  <c r="P7" i="186"/>
  <c r="F7" i="186"/>
  <c r="O7" i="186"/>
  <c r="Q7" i="186"/>
  <c r="P6" i="186"/>
  <c r="O6" i="186"/>
  <c r="I3" i="186"/>
  <c r="K3" i="186"/>
  <c r="M3" i="186"/>
  <c r="E3" i="186"/>
  <c r="B1" i="186"/>
  <c r="A1" i="186" s="1"/>
  <c r="I33" i="184"/>
  <c r="I34" i="184"/>
  <c r="Q6" i="184"/>
  <c r="F12" i="184"/>
  <c r="F35" i="184"/>
  <c r="O35" i="184"/>
  <c r="I37" i="184"/>
  <c r="P37" i="185"/>
  <c r="P36" i="185"/>
  <c r="P31" i="185"/>
  <c r="P30" i="185"/>
  <c r="P29" i="185"/>
  <c r="F29" i="185"/>
  <c r="P25" i="185"/>
  <c r="Q24" i="185"/>
  <c r="B24" i="185"/>
  <c r="P21" i="185"/>
  <c r="P20" i="185"/>
  <c r="O20" i="185"/>
  <c r="Q20" i="185"/>
  <c r="P19" i="185"/>
  <c r="F19" i="185"/>
  <c r="P18" i="185"/>
  <c r="F18" i="185"/>
  <c r="O18" i="185"/>
  <c r="Q18" i="185"/>
  <c r="P17" i="185"/>
  <c r="O17" i="185"/>
  <c r="Q17" i="185"/>
  <c r="P16" i="185"/>
  <c r="O16" i="185"/>
  <c r="Q16" i="185"/>
  <c r="P15" i="185"/>
  <c r="F15" i="185"/>
  <c r="O15" i="185"/>
  <c r="Q15" i="185"/>
  <c r="P14" i="185"/>
  <c r="P13" i="185"/>
  <c r="P12" i="185"/>
  <c r="P11" i="185"/>
  <c r="O11" i="185"/>
  <c r="Q11" i="185"/>
  <c r="P10" i="185"/>
  <c r="F10" i="185"/>
  <c r="O10" i="185"/>
  <c r="Q10" i="185"/>
  <c r="P9" i="185"/>
  <c r="P8" i="185"/>
  <c r="P7" i="185"/>
  <c r="P6" i="185"/>
  <c r="I3" i="185"/>
  <c r="K3" i="185"/>
  <c r="M3" i="185"/>
  <c r="E3" i="185"/>
  <c r="B1" i="185"/>
  <c r="A1" i="185" s="1"/>
  <c r="G19" i="184"/>
  <c r="F19" i="184"/>
  <c r="G8" i="184"/>
  <c r="O8" i="184"/>
  <c r="G34" i="184"/>
  <c r="G33" i="184"/>
  <c r="F33" i="184"/>
  <c r="G12" i="184"/>
  <c r="G15" i="184"/>
  <c r="F15" i="184"/>
  <c r="G37" i="184"/>
  <c r="D12" i="129"/>
  <c r="E25" i="183"/>
  <c r="E36" i="183"/>
  <c r="F25" i="183"/>
  <c r="D24" i="183"/>
  <c r="H25" i="183"/>
  <c r="J25" i="183"/>
  <c r="F33" i="183"/>
  <c r="O33" i="183"/>
  <c r="Q33" i="183"/>
  <c r="G33" i="183"/>
  <c r="I33" i="183"/>
  <c r="G37" i="183"/>
  <c r="I37" i="183"/>
  <c r="F7" i="183"/>
  <c r="F8" i="183"/>
  <c r="F9" i="183"/>
  <c r="F10" i="183"/>
  <c r="O10" i="183"/>
  <c r="Q10" i="183"/>
  <c r="F12" i="183"/>
  <c r="O12" i="183"/>
  <c r="F13" i="183"/>
  <c r="O13" i="183"/>
  <c r="Q13" i="183"/>
  <c r="F14" i="183"/>
  <c r="F15" i="183"/>
  <c r="F18" i="183"/>
  <c r="F19" i="183"/>
  <c r="O19" i="183"/>
  <c r="Q19" i="183"/>
  <c r="F29" i="183"/>
  <c r="G34" i="183"/>
  <c r="H34" i="183"/>
  <c r="I34" i="183"/>
  <c r="J34" i="183"/>
  <c r="L34" i="183"/>
  <c r="M34" i="183"/>
  <c r="N34" i="183"/>
  <c r="Q24" i="183"/>
  <c r="H6" i="183"/>
  <c r="O6" i="183"/>
  <c r="Q6" i="183"/>
  <c r="J6" i="183"/>
  <c r="J4" i="183"/>
  <c r="N6" i="183"/>
  <c r="H7" i="183"/>
  <c r="J7" i="183"/>
  <c r="L7" i="183"/>
  <c r="N7" i="183"/>
  <c r="G8" i="183"/>
  <c r="I8" i="183"/>
  <c r="M8" i="183"/>
  <c r="O8" i="183"/>
  <c r="Q8" i="183"/>
  <c r="H9" i="183"/>
  <c r="O9" i="183"/>
  <c r="Q9" i="183"/>
  <c r="I11" i="183"/>
  <c r="O11" i="183"/>
  <c r="Q11" i="183"/>
  <c r="I12" i="183"/>
  <c r="Q12" i="183"/>
  <c r="I13" i="183"/>
  <c r="I14" i="183"/>
  <c r="O14" i="183"/>
  <c r="Q14" i="183"/>
  <c r="I15" i="183"/>
  <c r="O15" i="183"/>
  <c r="Q15" i="183"/>
  <c r="O16" i="183"/>
  <c r="Q16" i="183"/>
  <c r="I17" i="183"/>
  <c r="O17" i="183"/>
  <c r="Q17" i="183"/>
  <c r="O18" i="183"/>
  <c r="Q18" i="183"/>
  <c r="I19" i="183"/>
  <c r="O20" i="183"/>
  <c r="Q20" i="183"/>
  <c r="O26" i="183"/>
  <c r="O27" i="183"/>
  <c r="I28" i="183"/>
  <c r="L28" i="183"/>
  <c r="O28" i="183"/>
  <c r="M28" i="183"/>
  <c r="G29" i="183"/>
  <c r="O29" i="183"/>
  <c r="H29" i="183"/>
  <c r="I29" i="183"/>
  <c r="J29" i="183"/>
  <c r="O29" i="184"/>
  <c r="F9" i="184"/>
  <c r="O9" i="184"/>
  <c r="Q9" i="184"/>
  <c r="E44" i="184"/>
  <c r="P41" i="184"/>
  <c r="P40" i="184"/>
  <c r="P35" i="184"/>
  <c r="P34" i="184"/>
  <c r="P33" i="184"/>
  <c r="P29" i="184"/>
  <c r="P28" i="184"/>
  <c r="O28" i="184"/>
  <c r="P27" i="184"/>
  <c r="O27" i="184"/>
  <c r="P26" i="184"/>
  <c r="O26" i="184"/>
  <c r="P25" i="184"/>
  <c r="E36" i="184"/>
  <c r="Q24" i="184"/>
  <c r="B24" i="184"/>
  <c r="P21" i="184"/>
  <c r="O21" i="184"/>
  <c r="Q21" i="184"/>
  <c r="P20" i="184"/>
  <c r="O20" i="184"/>
  <c r="Q20" i="184"/>
  <c r="P19" i="184"/>
  <c r="P18" i="184"/>
  <c r="F18" i="184"/>
  <c r="O18" i="184"/>
  <c r="Q18" i="184"/>
  <c r="P17" i="184"/>
  <c r="O17" i="184"/>
  <c r="Q17" i="184"/>
  <c r="P16" i="184"/>
  <c r="O16" i="184"/>
  <c r="Q16" i="184"/>
  <c r="P15" i="184"/>
  <c r="P14" i="184"/>
  <c r="F14" i="184"/>
  <c r="O14" i="184"/>
  <c r="Q14" i="184"/>
  <c r="P13" i="184"/>
  <c r="P12" i="184"/>
  <c r="P11" i="184"/>
  <c r="O11" i="184"/>
  <c r="Q11" i="184"/>
  <c r="P10" i="184"/>
  <c r="F10" i="184"/>
  <c r="O10" i="184"/>
  <c r="Q10" i="184"/>
  <c r="P9" i="184"/>
  <c r="P8" i="184"/>
  <c r="P7" i="184"/>
  <c r="F7" i="184"/>
  <c r="P6" i="184"/>
  <c r="I3" i="184"/>
  <c r="K3" i="184"/>
  <c r="M3" i="184"/>
  <c r="E3" i="184"/>
  <c r="B1" i="184"/>
  <c r="A1" i="184" s="1"/>
  <c r="G50" i="183"/>
  <c r="E44" i="183"/>
  <c r="P26" i="183"/>
  <c r="P27" i="183"/>
  <c r="P28" i="183"/>
  <c r="P29" i="183"/>
  <c r="O21" i="183"/>
  <c r="Q21" i="183"/>
  <c r="P21" i="183"/>
  <c r="S41" i="182"/>
  <c r="S37" i="182"/>
  <c r="S8" i="182"/>
  <c r="N38" i="182"/>
  <c r="L49" i="182"/>
  <c r="R6" i="182"/>
  <c r="R9" i="182"/>
  <c r="R38" i="182"/>
  <c r="R34" i="182"/>
  <c r="R7" i="182"/>
  <c r="N7" i="182"/>
  <c r="N4" i="182"/>
  <c r="L38" i="182"/>
  <c r="C5" i="129"/>
  <c r="C15" i="129"/>
  <c r="K41" i="182"/>
  <c r="K38" i="182"/>
  <c r="L6" i="182"/>
  <c r="F6" i="182"/>
  <c r="C14" i="129"/>
  <c r="L7" i="182"/>
  <c r="F9" i="182"/>
  <c r="K15" i="182"/>
  <c r="K8" i="182"/>
  <c r="F20" i="182"/>
  <c r="G16" i="182"/>
  <c r="F16" i="182"/>
  <c r="O16" i="182"/>
  <c r="Q16" i="182"/>
  <c r="F25" i="182"/>
  <c r="D24" i="182"/>
  <c r="P41" i="183"/>
  <c r="P40" i="183"/>
  <c r="Q35" i="183"/>
  <c r="P35" i="183"/>
  <c r="O35" i="183"/>
  <c r="P34" i="183"/>
  <c r="P33" i="183"/>
  <c r="P25" i="183"/>
  <c r="B24" i="183"/>
  <c r="P20" i="183"/>
  <c r="P19" i="183"/>
  <c r="P18" i="183"/>
  <c r="P17" i="183"/>
  <c r="P16" i="183"/>
  <c r="P15" i="183"/>
  <c r="P14" i="183"/>
  <c r="P13" i="183"/>
  <c r="P12" i="183"/>
  <c r="P11" i="183"/>
  <c r="P10" i="183"/>
  <c r="P9" i="183"/>
  <c r="P8" i="183"/>
  <c r="P7" i="183"/>
  <c r="P6" i="183"/>
  <c r="I3" i="183"/>
  <c r="K3" i="183"/>
  <c r="M3" i="183"/>
  <c r="E3" i="183"/>
  <c r="B1" i="183"/>
  <c r="A1" i="183" s="1"/>
  <c r="J7" i="182"/>
  <c r="J4" i="182"/>
  <c r="J38" i="182"/>
  <c r="J6" i="182"/>
  <c r="H6" i="182"/>
  <c r="I37" i="182"/>
  <c r="I12" i="182"/>
  <c r="O12" i="182"/>
  <c r="Q12" i="182"/>
  <c r="F12" i="182"/>
  <c r="J9" i="182"/>
  <c r="J8" i="182"/>
  <c r="H9" i="182"/>
  <c r="O9" i="182"/>
  <c r="H38" i="182"/>
  <c r="F39" i="182"/>
  <c r="H39" i="182"/>
  <c r="G41" i="182"/>
  <c r="I41" i="182"/>
  <c r="H25" i="182"/>
  <c r="F7" i="182"/>
  <c r="H7" i="182"/>
  <c r="G38" i="182"/>
  <c r="G25" i="182"/>
  <c r="G20" i="182"/>
  <c r="O20" i="182"/>
  <c r="Q20" i="182"/>
  <c r="F37" i="182"/>
  <c r="F15" i="182"/>
  <c r="G37" i="182"/>
  <c r="F36" i="182"/>
  <c r="O36" i="182"/>
  <c r="Q36" i="182"/>
  <c r="G36" i="182"/>
  <c r="G8" i="182"/>
  <c r="F8" i="182"/>
  <c r="O8" i="182"/>
  <c r="Q8" i="182"/>
  <c r="G7" i="182"/>
  <c r="S40" i="179"/>
  <c r="S38" i="179"/>
  <c r="M38" i="179"/>
  <c r="N38" i="179"/>
  <c r="N4" i="179"/>
  <c r="M41" i="179"/>
  <c r="F41" i="179"/>
  <c r="M43" i="179"/>
  <c r="S8" i="179"/>
  <c r="R38" i="179"/>
  <c r="M12" i="179"/>
  <c r="F12" i="179"/>
  <c r="G12" i="179"/>
  <c r="I12" i="179"/>
  <c r="R40" i="179"/>
  <c r="R4" i="179"/>
  <c r="H6" i="179"/>
  <c r="H4" i="179"/>
  <c r="H7" i="179"/>
  <c r="H8" i="179"/>
  <c r="H9" i="179"/>
  <c r="H38" i="179"/>
  <c r="H40" i="179"/>
  <c r="H41" i="179"/>
  <c r="J7" i="179"/>
  <c r="J4" i="179"/>
  <c r="L6" i="179"/>
  <c r="L7" i="179"/>
  <c r="L9" i="179"/>
  <c r="L25" i="179"/>
  <c r="L26" i="179"/>
  <c r="L38" i="179"/>
  <c r="L40" i="179"/>
  <c r="N7" i="179"/>
  <c r="N25" i="179"/>
  <c r="N40" i="179"/>
  <c r="N41" i="179"/>
  <c r="R6" i="179"/>
  <c r="R25" i="179"/>
  <c r="R9" i="179"/>
  <c r="K40" i="179"/>
  <c r="F26" i="179"/>
  <c r="K38" i="179"/>
  <c r="F39" i="179"/>
  <c r="F38" i="179"/>
  <c r="O54" i="179"/>
  <c r="K9" i="179"/>
  <c r="K43" i="179"/>
  <c r="K15" i="179"/>
  <c r="I70" i="179"/>
  <c r="H70" i="179"/>
  <c r="H71" i="179"/>
  <c r="H72" i="179"/>
  <c r="I72" i="179"/>
  <c r="F8" i="179"/>
  <c r="F7" i="179"/>
  <c r="O26" i="179"/>
  <c r="Q26" i="179"/>
  <c r="O27" i="179"/>
  <c r="Q27" i="179"/>
  <c r="O28" i="179"/>
  <c r="Q28" i="179"/>
  <c r="O29" i="179"/>
  <c r="Q29" i="179"/>
  <c r="L54" i="179"/>
  <c r="K8" i="179"/>
  <c r="F6" i="179"/>
  <c r="I43" i="179"/>
  <c r="I38" i="179"/>
  <c r="I39" i="179"/>
  <c r="I8" i="179"/>
  <c r="I40" i="179"/>
  <c r="G41" i="179"/>
  <c r="G43" i="179"/>
  <c r="I20" i="179"/>
  <c r="I6" i="179"/>
  <c r="G39" i="179"/>
  <c r="G20" i="179"/>
  <c r="G46" i="179"/>
  <c r="G38" i="179"/>
  <c r="G7" i="179"/>
  <c r="F30" i="179"/>
  <c r="F20" i="179"/>
  <c r="O20" i="179"/>
  <c r="Q20" i="179"/>
  <c r="G15" i="179"/>
  <c r="O15" i="179"/>
  <c r="Q15" i="179"/>
  <c r="F15" i="179"/>
  <c r="G13" i="179"/>
  <c r="G19" i="179"/>
  <c r="G40" i="179"/>
  <c r="M55" i="179"/>
  <c r="F16" i="179"/>
  <c r="O30" i="179"/>
  <c r="Q30" i="179"/>
  <c r="H47" i="179"/>
  <c r="I47" i="179"/>
  <c r="J49" i="179"/>
  <c r="J50" i="179"/>
  <c r="J51" i="179"/>
  <c r="J52" i="179"/>
  <c r="G6" i="179"/>
  <c r="G8" i="179"/>
  <c r="E25" i="179"/>
  <c r="N7" i="181"/>
  <c r="N4" i="181"/>
  <c r="F16" i="181"/>
  <c r="O16" i="181"/>
  <c r="Q16" i="181"/>
  <c r="F16" i="180"/>
  <c r="E42" i="179"/>
  <c r="F9" i="181"/>
  <c r="F8" i="181"/>
  <c r="P36" i="179"/>
  <c r="O36" i="179"/>
  <c r="Q36" i="179"/>
  <c r="L56" i="180"/>
  <c r="N37" i="181"/>
  <c r="M49" i="181"/>
  <c r="L40" i="181"/>
  <c r="Q40" i="181"/>
  <c r="L39" i="181"/>
  <c r="M50" i="181"/>
  <c r="M56" i="181"/>
  <c r="N39" i="181"/>
  <c r="M37" i="181"/>
  <c r="M36" i="181"/>
  <c r="E36" i="181"/>
  <c r="F36" i="181"/>
  <c r="O36" i="181"/>
  <c r="M39" i="181"/>
  <c r="F40" i="181"/>
  <c r="F6" i="181"/>
  <c r="L9" i="181"/>
  <c r="O9" i="181"/>
  <c r="Q9" i="181"/>
  <c r="L7" i="181"/>
  <c r="J6" i="181"/>
  <c r="H6" i="181"/>
  <c r="O6" i="181"/>
  <c r="J7" i="181"/>
  <c r="K8" i="181"/>
  <c r="K39" i="181"/>
  <c r="K11" i="181"/>
  <c r="K14" i="181"/>
  <c r="K15" i="181"/>
  <c r="I39" i="181"/>
  <c r="J39" i="181"/>
  <c r="I38" i="181"/>
  <c r="J27" i="181"/>
  <c r="I8" i="181"/>
  <c r="F38" i="181"/>
  <c r="O38" i="181"/>
  <c r="Q38" i="181"/>
  <c r="G38" i="181"/>
  <c r="I7" i="181"/>
  <c r="I18" i="181"/>
  <c r="H7" i="181"/>
  <c r="H37" i="181"/>
  <c r="H39" i="181"/>
  <c r="F37" i="181"/>
  <c r="O37" i="181"/>
  <c r="Q37" i="181"/>
  <c r="F30" i="181"/>
  <c r="O30" i="181"/>
  <c r="Q30" i="181"/>
  <c r="G42" i="181"/>
  <c r="G39" i="181"/>
  <c r="G12" i="181"/>
  <c r="F12" i="181"/>
  <c r="G8" i="181"/>
  <c r="G25" i="181"/>
  <c r="G20" i="181"/>
  <c r="F20" i="181"/>
  <c r="O20" i="181"/>
  <c r="G15" i="181"/>
  <c r="Q20" i="181"/>
  <c r="F34" i="181"/>
  <c r="G34" i="181"/>
  <c r="O34" i="181"/>
  <c r="E41" i="181"/>
  <c r="G6" i="180"/>
  <c r="H6" i="180"/>
  <c r="I6" i="180"/>
  <c r="M6" i="180"/>
  <c r="O6" i="180"/>
  <c r="F7" i="180"/>
  <c r="G7" i="180"/>
  <c r="H7" i="180"/>
  <c r="I7" i="180"/>
  <c r="K7" i="180"/>
  <c r="L7" i="180"/>
  <c r="M7" i="180"/>
  <c r="N7" i="180"/>
  <c r="F8" i="180"/>
  <c r="G8" i="180"/>
  <c r="O8" i="180"/>
  <c r="Q8" i="180"/>
  <c r="I8" i="180"/>
  <c r="L8" i="180"/>
  <c r="M8" i="180"/>
  <c r="F9" i="180"/>
  <c r="O9" i="180"/>
  <c r="H9" i="180"/>
  <c r="F10" i="180"/>
  <c r="O10" i="180"/>
  <c r="Q10" i="180"/>
  <c r="M11" i="180"/>
  <c r="O11" i="180"/>
  <c r="F12" i="180"/>
  <c r="O12" i="180"/>
  <c r="Q12" i="180"/>
  <c r="I12" i="180"/>
  <c r="F13" i="180"/>
  <c r="I13" i="180"/>
  <c r="O13" i="180"/>
  <c r="Q13" i="180"/>
  <c r="F14" i="180"/>
  <c r="O14" i="180"/>
  <c r="Q14" i="180"/>
  <c r="F15" i="180"/>
  <c r="I15" i="180"/>
  <c r="M15" i="180"/>
  <c r="O15" i="180"/>
  <c r="Q15" i="180"/>
  <c r="O16" i="180"/>
  <c r="K17" i="180"/>
  <c r="O17" i="180"/>
  <c r="Q17" i="180"/>
  <c r="I18" i="180"/>
  <c r="O18" i="180"/>
  <c r="Q18" i="180"/>
  <c r="F19" i="180"/>
  <c r="I19" i="180"/>
  <c r="O19" i="180"/>
  <c r="F20" i="180"/>
  <c r="O20" i="180"/>
  <c r="I20" i="180"/>
  <c r="O21" i="180"/>
  <c r="M34" i="180"/>
  <c r="N34" i="180"/>
  <c r="O34" i="180"/>
  <c r="Q34" i="180"/>
  <c r="H35" i="180"/>
  <c r="I35" i="180"/>
  <c r="J35" i="180"/>
  <c r="J4" i="180"/>
  <c r="H36" i="180"/>
  <c r="L36" i="180"/>
  <c r="O36" i="180"/>
  <c r="F37" i="180"/>
  <c r="O37" i="180"/>
  <c r="Q37" i="180"/>
  <c r="L37" i="180"/>
  <c r="M37" i="180"/>
  <c r="N37" i="180"/>
  <c r="F38" i="180"/>
  <c r="O38" i="180"/>
  <c r="Q38" i="180"/>
  <c r="I38" i="180"/>
  <c r="K38" i="180"/>
  <c r="E25" i="180"/>
  <c r="E41" i="180"/>
  <c r="F25" i="180"/>
  <c r="D24" i="180"/>
  <c r="Q36" i="180"/>
  <c r="G42" i="180"/>
  <c r="I42" i="180"/>
  <c r="K42" i="180"/>
  <c r="F40" i="180"/>
  <c r="G39" i="180"/>
  <c r="H39" i="180"/>
  <c r="I39" i="180"/>
  <c r="K39" i="180"/>
  <c r="L39" i="180"/>
  <c r="M39" i="180"/>
  <c r="N39" i="180"/>
  <c r="M26" i="180"/>
  <c r="O26" i="180"/>
  <c r="Q26" i="180"/>
  <c r="O27" i="180"/>
  <c r="Q27" i="180"/>
  <c r="O28" i="180"/>
  <c r="Q28" i="180"/>
  <c r="O29" i="180"/>
  <c r="Q29" i="180"/>
  <c r="Q9" i="180"/>
  <c r="Q11" i="180"/>
  <c r="Q16" i="180"/>
  <c r="Q19" i="180"/>
  <c r="Q20" i="180"/>
  <c r="Q21" i="180"/>
  <c r="M30" i="180"/>
  <c r="O30" i="180"/>
  <c r="Q30" i="180"/>
  <c r="G40" i="180"/>
  <c r="H40" i="180"/>
  <c r="I40" i="180"/>
  <c r="K40" i="180"/>
  <c r="L40" i="180"/>
  <c r="O40" i="180"/>
  <c r="O4" i="180"/>
  <c r="O52" i="180"/>
  <c r="O35" i="179"/>
  <c r="Q35" i="179"/>
  <c r="S34" i="180"/>
  <c r="J56" i="178"/>
  <c r="K53" i="180"/>
  <c r="L48" i="180"/>
  <c r="O3" i="178"/>
  <c r="N7" i="178"/>
  <c r="N36" i="178"/>
  <c r="M41" i="178"/>
  <c r="J39" i="178"/>
  <c r="L39" i="178"/>
  <c r="P75" i="178"/>
  <c r="P76" i="178"/>
  <c r="P77" i="178"/>
  <c r="P78" i="178"/>
  <c r="P79" i="178"/>
  <c r="P74" i="178"/>
  <c r="Q74" i="178"/>
  <c r="J96" i="178"/>
  <c r="J95" i="178"/>
  <c r="K95" i="178"/>
  <c r="J93" i="178"/>
  <c r="J92" i="178"/>
  <c r="J90" i="178"/>
  <c r="K89" i="178"/>
  <c r="J89" i="178"/>
  <c r="J87" i="178"/>
  <c r="J86" i="178"/>
  <c r="K86" i="178"/>
  <c r="K17" i="178"/>
  <c r="O17" i="178"/>
  <c r="E35" i="178"/>
  <c r="F35" i="178"/>
  <c r="J35" i="178"/>
  <c r="O35" i="178"/>
  <c r="Q35" i="178"/>
  <c r="F6" i="178"/>
  <c r="G6" i="178"/>
  <c r="H6" i="178"/>
  <c r="O6" i="178"/>
  <c r="J6" i="178"/>
  <c r="J81" i="178"/>
  <c r="J82" i="178"/>
  <c r="J79" i="178"/>
  <c r="J78" i="178"/>
  <c r="J76" i="178"/>
  <c r="J75" i="178"/>
  <c r="J73" i="178"/>
  <c r="J72" i="178"/>
  <c r="K72" i="178"/>
  <c r="L72" i="178"/>
  <c r="K75" i="178"/>
  <c r="F15" i="178"/>
  <c r="F9" i="178"/>
  <c r="F7" i="178"/>
  <c r="F8" i="178"/>
  <c r="L36" i="178"/>
  <c r="O36" i="178"/>
  <c r="Q36" i="178"/>
  <c r="M36" i="178"/>
  <c r="F36" i="178"/>
  <c r="L41" i="178"/>
  <c r="M44" i="178"/>
  <c r="G51" i="178"/>
  <c r="E25" i="178"/>
  <c r="F27" i="178"/>
  <c r="E37" i="178"/>
  <c r="E43" i="178"/>
  <c r="J7" i="178"/>
  <c r="K39" i="178"/>
  <c r="K41" i="178"/>
  <c r="J41" i="178"/>
  <c r="L7" i="178"/>
  <c r="K7" i="178"/>
  <c r="J9" i="178"/>
  <c r="J37" i="178"/>
  <c r="K15" i="178"/>
  <c r="K8" i="178"/>
  <c r="I40" i="178"/>
  <c r="I8" i="178"/>
  <c r="I41" i="178"/>
  <c r="O30" i="182"/>
  <c r="Q30" i="182"/>
  <c r="I12" i="178"/>
  <c r="I15" i="178"/>
  <c r="O15" i="178"/>
  <c r="Q15" i="178"/>
  <c r="F20" i="178"/>
  <c r="I20" i="178"/>
  <c r="H41" i="178"/>
  <c r="H7" i="178"/>
  <c r="H39" i="178"/>
  <c r="P45" i="182"/>
  <c r="P44" i="182"/>
  <c r="E40" i="182"/>
  <c r="P39" i="182"/>
  <c r="P38" i="182"/>
  <c r="P37" i="182"/>
  <c r="O37" i="182"/>
  <c r="Q37" i="182"/>
  <c r="P36" i="182"/>
  <c r="P35" i="182"/>
  <c r="O35" i="182"/>
  <c r="Q35" i="182"/>
  <c r="P34" i="182"/>
  <c r="O34" i="182"/>
  <c r="Q34" i="182"/>
  <c r="P30" i="182"/>
  <c r="P29" i="182"/>
  <c r="O29" i="182"/>
  <c r="Q29" i="182"/>
  <c r="P28" i="182"/>
  <c r="O28" i="182"/>
  <c r="Q28" i="182"/>
  <c r="P27" i="182"/>
  <c r="O27" i="182"/>
  <c r="Q27" i="182"/>
  <c r="P26" i="182"/>
  <c r="O26" i="182"/>
  <c r="Q26" i="182"/>
  <c r="P25" i="182"/>
  <c r="B24" i="182"/>
  <c r="P21" i="182"/>
  <c r="O21" i="182"/>
  <c r="Q21" i="182"/>
  <c r="P20" i="182"/>
  <c r="P19" i="182"/>
  <c r="F19" i="182"/>
  <c r="O19" i="182"/>
  <c r="Q19" i="182"/>
  <c r="P18" i="182"/>
  <c r="O18" i="182"/>
  <c r="Q18" i="182"/>
  <c r="P17" i="182"/>
  <c r="O17" i="182"/>
  <c r="Q17" i="182"/>
  <c r="P16" i="182"/>
  <c r="P15" i="182"/>
  <c r="O15" i="182"/>
  <c r="Q15" i="182"/>
  <c r="P14" i="182"/>
  <c r="F14" i="182"/>
  <c r="O14" i="182"/>
  <c r="Q14" i="182"/>
  <c r="P13" i="182"/>
  <c r="F13" i="182"/>
  <c r="O13" i="182"/>
  <c r="Q13" i="182"/>
  <c r="P12" i="182"/>
  <c r="P11" i="182"/>
  <c r="O11" i="182"/>
  <c r="Q11" i="182"/>
  <c r="P10" i="182"/>
  <c r="F10" i="182"/>
  <c r="O10" i="182"/>
  <c r="P9" i="182"/>
  <c r="Q9" i="182"/>
  <c r="P8" i="182"/>
  <c r="P7" i="182"/>
  <c r="P6" i="182"/>
  <c r="I3" i="182"/>
  <c r="K3" i="182"/>
  <c r="M3" i="182"/>
  <c r="E3" i="182"/>
  <c r="B1" i="182"/>
  <c r="A1" i="182" s="1"/>
  <c r="P46" i="181"/>
  <c r="P45" i="181"/>
  <c r="P40" i="181"/>
  <c r="O40" i="181"/>
  <c r="P39" i="181"/>
  <c r="P38" i="181"/>
  <c r="P37" i="181"/>
  <c r="P36" i="181"/>
  <c r="P35" i="181"/>
  <c r="O35" i="181"/>
  <c r="Q35" i="181"/>
  <c r="P34" i="181"/>
  <c r="P30" i="181"/>
  <c r="O29" i="181"/>
  <c r="Q29" i="181"/>
  <c r="P29" i="181"/>
  <c r="O28" i="181"/>
  <c r="Q28" i="181"/>
  <c r="P28" i="181"/>
  <c r="P27" i="181"/>
  <c r="P26" i="181"/>
  <c r="O26" i="181"/>
  <c r="Q26" i="181"/>
  <c r="P25" i="181"/>
  <c r="F25" i="181"/>
  <c r="B24" i="181"/>
  <c r="O21" i="181"/>
  <c r="Q21" i="181"/>
  <c r="P21" i="181"/>
  <c r="P20" i="181"/>
  <c r="P19" i="181"/>
  <c r="F19" i="181"/>
  <c r="O19" i="181"/>
  <c r="Q19" i="181"/>
  <c r="P18" i="181"/>
  <c r="O18" i="181"/>
  <c r="Q18" i="181"/>
  <c r="P17" i="181"/>
  <c r="O17" i="181"/>
  <c r="Q17" i="181"/>
  <c r="P16" i="181"/>
  <c r="P15" i="181"/>
  <c r="F15" i="181"/>
  <c r="O15" i="181"/>
  <c r="Q15" i="181"/>
  <c r="P14" i="181"/>
  <c r="F14" i="181"/>
  <c r="O14" i="181"/>
  <c r="Q14" i="181"/>
  <c r="P13" i="181"/>
  <c r="F13" i="181"/>
  <c r="O13" i="181"/>
  <c r="Q13" i="181"/>
  <c r="P12" i="181"/>
  <c r="O12" i="181"/>
  <c r="Q12" i="181"/>
  <c r="P11" i="181"/>
  <c r="O11" i="181"/>
  <c r="Q11" i="181"/>
  <c r="F10" i="181"/>
  <c r="O10" i="181"/>
  <c r="Q10" i="181"/>
  <c r="P10" i="181"/>
  <c r="P9" i="181"/>
  <c r="P8" i="181"/>
  <c r="P7" i="181"/>
  <c r="F7" i="181"/>
  <c r="P6" i="181"/>
  <c r="I3" i="181"/>
  <c r="K3" i="181"/>
  <c r="M3" i="181"/>
  <c r="E3" i="181"/>
  <c r="B1" i="181"/>
  <c r="A1" i="181" s="1"/>
  <c r="P46" i="180"/>
  <c r="P45" i="180"/>
  <c r="P40" i="180"/>
  <c r="P39" i="180"/>
  <c r="P38" i="180"/>
  <c r="P37" i="180"/>
  <c r="P36" i="180"/>
  <c r="P35" i="180"/>
  <c r="P34" i="180"/>
  <c r="P30" i="180"/>
  <c r="P29" i="180"/>
  <c r="P28" i="180"/>
  <c r="P27" i="180"/>
  <c r="P26" i="180"/>
  <c r="P25" i="180"/>
  <c r="B24" i="180"/>
  <c r="P21" i="180"/>
  <c r="P20" i="180"/>
  <c r="P19" i="180"/>
  <c r="P18" i="180"/>
  <c r="P17" i="180"/>
  <c r="P16" i="180"/>
  <c r="P15" i="180"/>
  <c r="P14" i="180"/>
  <c r="P13" i="180"/>
  <c r="P12" i="180"/>
  <c r="P11" i="180"/>
  <c r="P10" i="180"/>
  <c r="P9" i="180"/>
  <c r="P8" i="180"/>
  <c r="P7" i="180"/>
  <c r="P6" i="180"/>
  <c r="I3" i="180"/>
  <c r="K3" i="180"/>
  <c r="M3" i="180"/>
  <c r="E3" i="180"/>
  <c r="B1" i="180"/>
  <c r="A1" i="180" s="1"/>
  <c r="P47" i="179"/>
  <c r="P46" i="179"/>
  <c r="P41" i="179"/>
  <c r="P40" i="179"/>
  <c r="P39" i="179"/>
  <c r="O39" i="179"/>
  <c r="Q39" i="179"/>
  <c r="P38" i="179"/>
  <c r="P37" i="179"/>
  <c r="O37" i="179"/>
  <c r="Q37" i="179"/>
  <c r="P35" i="179"/>
  <c r="P30" i="179"/>
  <c r="P29" i="179"/>
  <c r="P28" i="179"/>
  <c r="P27" i="179"/>
  <c r="P26" i="179"/>
  <c r="P25" i="179"/>
  <c r="B24" i="179"/>
  <c r="P21" i="179"/>
  <c r="O21" i="179"/>
  <c r="Q21" i="179"/>
  <c r="P20" i="179"/>
  <c r="P19" i="179"/>
  <c r="F19" i="179"/>
  <c r="O19" i="179"/>
  <c r="Q19" i="179"/>
  <c r="P18" i="179"/>
  <c r="O18" i="179"/>
  <c r="Q18" i="179"/>
  <c r="P17" i="179"/>
  <c r="O17" i="179"/>
  <c r="Q17" i="179"/>
  <c r="P16" i="179"/>
  <c r="O16" i="179"/>
  <c r="Q16" i="179"/>
  <c r="P15" i="179"/>
  <c r="P14" i="179"/>
  <c r="F14" i="179"/>
  <c r="O14" i="179"/>
  <c r="Q14" i="179"/>
  <c r="P13" i="179"/>
  <c r="F13" i="179"/>
  <c r="O13" i="179"/>
  <c r="Q13" i="179"/>
  <c r="P12" i="179"/>
  <c r="P11" i="179"/>
  <c r="O11" i="179"/>
  <c r="Q11" i="179"/>
  <c r="P10" i="179"/>
  <c r="F10" i="179"/>
  <c r="O10" i="179"/>
  <c r="Q10" i="179"/>
  <c r="P9" i="179"/>
  <c r="O9" i="179"/>
  <c r="Q9" i="179"/>
  <c r="P8" i="179"/>
  <c r="P7" i="179"/>
  <c r="P6" i="179"/>
  <c r="I3" i="179"/>
  <c r="K3" i="179"/>
  <c r="M3" i="179"/>
  <c r="E3" i="179"/>
  <c r="B1" i="179"/>
  <c r="A1" i="179" s="1"/>
  <c r="P35" i="178"/>
  <c r="F25" i="178"/>
  <c r="D24" i="178"/>
  <c r="I153" i="74"/>
  <c r="J64" i="74"/>
  <c r="J66" i="74"/>
  <c r="E66" i="74"/>
  <c r="H25" i="178"/>
  <c r="H8" i="178"/>
  <c r="G44" i="178"/>
  <c r="G41" i="178"/>
  <c r="G37" i="178"/>
  <c r="O37" i="178"/>
  <c r="Q37" i="178"/>
  <c r="G40" i="178"/>
  <c r="P36" i="178"/>
  <c r="F39" i="178"/>
  <c r="O39" i="178"/>
  <c r="H9" i="178"/>
  <c r="G7" i="178"/>
  <c r="Q42" i="178"/>
  <c r="G41" i="173"/>
  <c r="E41" i="173"/>
  <c r="O30" i="178"/>
  <c r="Q30" i="178"/>
  <c r="F14" i="178"/>
  <c r="O14" i="178"/>
  <c r="Q14" i="178"/>
  <c r="P30" i="178"/>
  <c r="P48" i="178"/>
  <c r="P47" i="178"/>
  <c r="P42" i="178"/>
  <c r="P41" i="178"/>
  <c r="P40" i="178"/>
  <c r="F40" i="178"/>
  <c r="P39" i="178"/>
  <c r="P38" i="178"/>
  <c r="O38" i="178"/>
  <c r="Q38" i="178"/>
  <c r="P37" i="178"/>
  <c r="P34" i="178"/>
  <c r="O34" i="178"/>
  <c r="Q34" i="178"/>
  <c r="P29" i="178"/>
  <c r="O29" i="178"/>
  <c r="Q29" i="178"/>
  <c r="P28" i="178"/>
  <c r="O28" i="178"/>
  <c r="Q28" i="178"/>
  <c r="P27" i="178"/>
  <c r="O27" i="178"/>
  <c r="Q27" i="178"/>
  <c r="P26" i="178"/>
  <c r="O26" i="178"/>
  <c r="Q26" i="178"/>
  <c r="P25" i="178"/>
  <c r="B24" i="178"/>
  <c r="P21" i="178"/>
  <c r="O21" i="178"/>
  <c r="Q21" i="178"/>
  <c r="P20" i="178"/>
  <c r="P19" i="178"/>
  <c r="F19" i="178"/>
  <c r="P18" i="178"/>
  <c r="O18" i="178"/>
  <c r="Q18" i="178"/>
  <c r="P17" i="178"/>
  <c r="P16" i="178"/>
  <c r="F16" i="178"/>
  <c r="O16" i="178"/>
  <c r="Q16" i="178"/>
  <c r="P15" i="178"/>
  <c r="P14" i="178"/>
  <c r="P13" i="178"/>
  <c r="F13" i="178"/>
  <c r="O13" i="178"/>
  <c r="Q13" i="178"/>
  <c r="P12" i="178"/>
  <c r="F12" i="178"/>
  <c r="O12" i="178"/>
  <c r="Q12" i="178"/>
  <c r="P11" i="178"/>
  <c r="O11" i="178"/>
  <c r="Q11" i="178"/>
  <c r="P10" i="178"/>
  <c r="F10" i="178"/>
  <c r="O10" i="178"/>
  <c r="Q10" i="178"/>
  <c r="P9" i="178"/>
  <c r="P8" i="178"/>
  <c r="P7" i="178"/>
  <c r="P6" i="178"/>
  <c r="I3" i="178"/>
  <c r="K3" i="178"/>
  <c r="M3" i="178"/>
  <c r="E3" i="178"/>
  <c r="B1" i="178"/>
  <c r="A1" i="178" s="1"/>
  <c r="K49" i="176"/>
  <c r="N6" i="176"/>
  <c r="N7" i="176"/>
  <c r="F6" i="176"/>
  <c r="F7" i="176"/>
  <c r="N34" i="176"/>
  <c r="N38" i="176"/>
  <c r="O3" i="176"/>
  <c r="L36" i="176"/>
  <c r="L38" i="176"/>
  <c r="M12" i="176"/>
  <c r="M8" i="176"/>
  <c r="M41" i="176"/>
  <c r="M26" i="176"/>
  <c r="M38" i="176"/>
  <c r="M34" i="176"/>
  <c r="O34" i="176"/>
  <c r="Q34" i="176"/>
  <c r="P34" i="176"/>
  <c r="M15" i="176"/>
  <c r="L6" i="176"/>
  <c r="L4" i="176"/>
  <c r="L7" i="176"/>
  <c r="J38" i="176"/>
  <c r="J7" i="176"/>
  <c r="K8" i="176"/>
  <c r="K25" i="176"/>
  <c r="K38" i="176"/>
  <c r="F8" i="176"/>
  <c r="I37" i="176"/>
  <c r="I38" i="176"/>
  <c r="G7" i="176"/>
  <c r="G8" i="176"/>
  <c r="G37" i="176"/>
  <c r="G38" i="176"/>
  <c r="I7" i="176"/>
  <c r="I12" i="176"/>
  <c r="I13" i="176"/>
  <c r="I15" i="176"/>
  <c r="I16" i="176"/>
  <c r="I18" i="176"/>
  <c r="O18" i="176"/>
  <c r="Q18" i="176"/>
  <c r="I19" i="176"/>
  <c r="F19" i="176"/>
  <c r="O19" i="176"/>
  <c r="Q19" i="176"/>
  <c r="I20" i="176"/>
  <c r="E40" i="176"/>
  <c r="H6" i="176"/>
  <c r="H7" i="176"/>
  <c r="H9" i="176"/>
  <c r="H36" i="176"/>
  <c r="H38" i="176"/>
  <c r="J6" i="176"/>
  <c r="J36" i="176"/>
  <c r="G41" i="176"/>
  <c r="F33" i="176"/>
  <c r="O33" i="176"/>
  <c r="D56" i="176"/>
  <c r="D57" i="176"/>
  <c r="G56" i="176"/>
  <c r="G58" i="176"/>
  <c r="G59" i="176"/>
  <c r="G57" i="176"/>
  <c r="F20" i="176"/>
  <c r="G47" i="176"/>
  <c r="H45" i="176"/>
  <c r="G48" i="176"/>
  <c r="Q47" i="175"/>
  <c r="F36" i="176"/>
  <c r="E40" i="172"/>
  <c r="E41" i="172"/>
  <c r="G41" i="172"/>
  <c r="N47" i="175"/>
  <c r="K45" i="175"/>
  <c r="L33" i="175"/>
  <c r="F6" i="175"/>
  <c r="F8" i="175"/>
  <c r="F7" i="175"/>
  <c r="N7" i="175"/>
  <c r="N4" i="175"/>
  <c r="L26" i="175"/>
  <c r="L8" i="175"/>
  <c r="L6" i="175"/>
  <c r="L37" i="175"/>
  <c r="F35" i="175"/>
  <c r="O35" i="175"/>
  <c r="L7" i="175"/>
  <c r="M37" i="175"/>
  <c r="F29" i="175"/>
  <c r="O29" i="175"/>
  <c r="Q29" i="175"/>
  <c r="L35" i="175"/>
  <c r="M12" i="175"/>
  <c r="M35" i="175"/>
  <c r="K37" i="175"/>
  <c r="K8" i="175"/>
  <c r="K11" i="175"/>
  <c r="F11" i="175"/>
  <c r="O11" i="175"/>
  <c r="Q11" i="175"/>
  <c r="K15" i="175"/>
  <c r="K40" i="175"/>
  <c r="P45" i="176"/>
  <c r="P44" i="176"/>
  <c r="P39" i="176"/>
  <c r="O39" i="176"/>
  <c r="Q39" i="176"/>
  <c r="P38" i="176"/>
  <c r="P37" i="176"/>
  <c r="F37" i="176"/>
  <c r="P36" i="176"/>
  <c r="P35" i="176"/>
  <c r="O35" i="176"/>
  <c r="Q35" i="176"/>
  <c r="P33" i="176"/>
  <c r="P29" i="176"/>
  <c r="O29" i="176"/>
  <c r="Q29" i="176"/>
  <c r="P28" i="176"/>
  <c r="O28" i="176"/>
  <c r="Q28" i="176"/>
  <c r="P27" i="176"/>
  <c r="O27" i="176"/>
  <c r="Q27" i="176"/>
  <c r="P26" i="176"/>
  <c r="O26" i="176"/>
  <c r="Q26" i="176"/>
  <c r="P25" i="176"/>
  <c r="D24" i="176"/>
  <c r="B24" i="176"/>
  <c r="P21" i="176"/>
  <c r="O21" i="176"/>
  <c r="Q21" i="176"/>
  <c r="P20" i="176"/>
  <c r="P19" i="176"/>
  <c r="P18" i="176"/>
  <c r="P17" i="176"/>
  <c r="O17" i="176"/>
  <c r="Q17" i="176"/>
  <c r="P16" i="176"/>
  <c r="F16" i="176"/>
  <c r="O16" i="176"/>
  <c r="Q16" i="176"/>
  <c r="P15" i="176"/>
  <c r="F15" i="176"/>
  <c r="P14" i="176"/>
  <c r="O14" i="176"/>
  <c r="Q14" i="176"/>
  <c r="P13" i="176"/>
  <c r="F13" i="176"/>
  <c r="O13" i="176"/>
  <c r="Q13" i="176"/>
  <c r="P12" i="176"/>
  <c r="F12" i="176"/>
  <c r="O12" i="176"/>
  <c r="Q12" i="176"/>
  <c r="P11" i="176"/>
  <c r="O11" i="176"/>
  <c r="Q11" i="176"/>
  <c r="P10" i="176"/>
  <c r="F10" i="176"/>
  <c r="O10" i="176"/>
  <c r="Q10" i="176"/>
  <c r="P9" i="176"/>
  <c r="O9" i="176"/>
  <c r="Q9" i="176"/>
  <c r="P8" i="176"/>
  <c r="P7" i="176"/>
  <c r="P6" i="176"/>
  <c r="I3" i="176"/>
  <c r="K3" i="176"/>
  <c r="M3" i="176"/>
  <c r="E3" i="176"/>
  <c r="B1" i="176"/>
  <c r="A1" i="176" s="1"/>
  <c r="G40" i="175"/>
  <c r="I25" i="175"/>
  <c r="I35" i="175"/>
  <c r="J27" i="175"/>
  <c r="O27" i="175"/>
  <c r="Q27" i="175"/>
  <c r="J37" i="175"/>
  <c r="J26" i="175"/>
  <c r="J25" i="175"/>
  <c r="J35" i="175"/>
  <c r="J33" i="175"/>
  <c r="K26" i="175"/>
  <c r="K6" i="175"/>
  <c r="H6" i="175"/>
  <c r="J6" i="175"/>
  <c r="O6" i="175"/>
  <c r="Q6" i="175"/>
  <c r="Q35" i="175"/>
  <c r="I37" i="175"/>
  <c r="I8" i="175"/>
  <c r="I36" i="175"/>
  <c r="F36" i="175"/>
  <c r="P94" i="175"/>
  <c r="P88" i="175"/>
  <c r="P82" i="175"/>
  <c r="P76" i="175"/>
  <c r="P70" i="175"/>
  <c r="P64" i="175"/>
  <c r="F33" i="175"/>
  <c r="O33" i="175"/>
  <c r="J7" i="175"/>
  <c r="H37" i="175"/>
  <c r="H9" i="175"/>
  <c r="O9" i="175"/>
  <c r="Q9" i="175"/>
  <c r="H7" i="175"/>
  <c r="H8" i="175"/>
  <c r="G37" i="175"/>
  <c r="G38" i="175"/>
  <c r="Q38" i="175"/>
  <c r="G36" i="175"/>
  <c r="G12" i="175"/>
  <c r="G20" i="175"/>
  <c r="F20" i="175"/>
  <c r="O20" i="175"/>
  <c r="Q20" i="175"/>
  <c r="G15" i="175"/>
  <c r="G13" i="175"/>
  <c r="G19" i="175"/>
  <c r="O19" i="175"/>
  <c r="Q19" i="175"/>
  <c r="O36" i="175"/>
  <c r="Q36" i="175"/>
  <c r="G8" i="175"/>
  <c r="G7" i="175"/>
  <c r="F14" i="175"/>
  <c r="O14" i="175"/>
  <c r="Q14" i="175"/>
  <c r="F26" i="175"/>
  <c r="F25" i="175"/>
  <c r="P44" i="175"/>
  <c r="P43" i="175"/>
  <c r="P38" i="175"/>
  <c r="O38" i="175"/>
  <c r="P37" i="175"/>
  <c r="P36" i="175"/>
  <c r="P35" i="175"/>
  <c r="P34" i="175"/>
  <c r="O34" i="175"/>
  <c r="Q34" i="175"/>
  <c r="P33" i="175"/>
  <c r="P29" i="175"/>
  <c r="P28" i="175"/>
  <c r="O28" i="175"/>
  <c r="Q28" i="175"/>
  <c r="P27" i="175"/>
  <c r="P26" i="175"/>
  <c r="P25" i="175"/>
  <c r="B24" i="175"/>
  <c r="P21" i="175"/>
  <c r="O21" i="175"/>
  <c r="Q21" i="175"/>
  <c r="P20" i="175"/>
  <c r="P19" i="175"/>
  <c r="P18" i="175"/>
  <c r="O18" i="175"/>
  <c r="Q18" i="175"/>
  <c r="P17" i="175"/>
  <c r="O17" i="175"/>
  <c r="Q17" i="175"/>
  <c r="P16" i="175"/>
  <c r="F16" i="175"/>
  <c r="O16" i="175"/>
  <c r="Q16" i="175"/>
  <c r="P15" i="175"/>
  <c r="F15" i="175"/>
  <c r="P14" i="175"/>
  <c r="P13" i="175"/>
  <c r="F13" i="175"/>
  <c r="P12" i="175"/>
  <c r="F12" i="175"/>
  <c r="P11" i="175"/>
  <c r="F10" i="175"/>
  <c r="O10" i="175"/>
  <c r="Q10" i="175"/>
  <c r="P10" i="175"/>
  <c r="P9" i="175"/>
  <c r="P8" i="175"/>
  <c r="P7" i="175"/>
  <c r="P6" i="175"/>
  <c r="I3" i="175"/>
  <c r="K3" i="175"/>
  <c r="M3" i="175"/>
  <c r="E3" i="175"/>
  <c r="B1" i="175"/>
  <c r="A1" i="175" s="1"/>
  <c r="O64" i="173"/>
  <c r="O62" i="173"/>
  <c r="O63" i="173"/>
  <c r="O48" i="173"/>
  <c r="N63" i="173"/>
  <c r="P63" i="173"/>
  <c r="R6" i="173"/>
  <c r="N7" i="173"/>
  <c r="N6" i="173"/>
  <c r="O6" i="173"/>
  <c r="Q6" i="173"/>
  <c r="N25" i="173"/>
  <c r="N9" i="173"/>
  <c r="M34" i="173"/>
  <c r="M7" i="173"/>
  <c r="O7" i="173"/>
  <c r="Q7" i="173"/>
  <c r="M15" i="173"/>
  <c r="M8" i="173"/>
  <c r="M38" i="173"/>
  <c r="M26" i="173"/>
  <c r="O26" i="173"/>
  <c r="Q26" i="173"/>
  <c r="M37" i="173"/>
  <c r="F37" i="173"/>
  <c r="O52" i="173"/>
  <c r="O53" i="173"/>
  <c r="O54" i="173"/>
  <c r="N62" i="173"/>
  <c r="O59" i="173"/>
  <c r="J61" i="173"/>
  <c r="L61" i="173"/>
  <c r="J62" i="173"/>
  <c r="F33" i="173"/>
  <c r="O35" i="173"/>
  <c r="Q35" i="173"/>
  <c r="P35" i="173"/>
  <c r="E33" i="173"/>
  <c r="G19" i="173"/>
  <c r="O19" i="173"/>
  <c r="Q19" i="173"/>
  <c r="G37" i="173"/>
  <c r="G20" i="173"/>
  <c r="G13" i="173"/>
  <c r="F13" i="173"/>
  <c r="G15" i="173"/>
  <c r="G12" i="173"/>
  <c r="G16" i="173"/>
  <c r="G18" i="173"/>
  <c r="O18" i="173"/>
  <c r="Q18" i="173"/>
  <c r="E34" i="173"/>
  <c r="E40" i="173"/>
  <c r="F59" i="173"/>
  <c r="F35" i="172"/>
  <c r="O35" i="172"/>
  <c r="O47" i="172"/>
  <c r="G35" i="172"/>
  <c r="G57" i="173"/>
  <c r="H57" i="173"/>
  <c r="H56" i="173"/>
  <c r="H55" i="173"/>
  <c r="H54" i="173"/>
  <c r="H53" i="173"/>
  <c r="H47" i="173"/>
  <c r="J46" i="173"/>
  <c r="F8" i="173"/>
  <c r="O8" i="173"/>
  <c r="Q8" i="173"/>
  <c r="F34" i="173"/>
  <c r="M48" i="172"/>
  <c r="P45" i="173"/>
  <c r="P44" i="173"/>
  <c r="P39" i="173"/>
  <c r="P38" i="173"/>
  <c r="P37" i="173"/>
  <c r="P36" i="173"/>
  <c r="O36" i="173"/>
  <c r="P34" i="173"/>
  <c r="P33" i="173"/>
  <c r="P29" i="173"/>
  <c r="O29" i="173"/>
  <c r="Q29" i="173"/>
  <c r="P28" i="173"/>
  <c r="O28" i="173"/>
  <c r="Q28" i="173"/>
  <c r="P27" i="173"/>
  <c r="O27" i="173"/>
  <c r="Q27" i="173"/>
  <c r="P26" i="173"/>
  <c r="P25" i="173"/>
  <c r="D24" i="173"/>
  <c r="B24" i="173"/>
  <c r="P21" i="173"/>
  <c r="O21" i="173"/>
  <c r="Q21" i="173"/>
  <c r="P20" i="173"/>
  <c r="F20" i="173"/>
  <c r="P19" i="173"/>
  <c r="P18" i="173"/>
  <c r="P17" i="173"/>
  <c r="O17" i="173"/>
  <c r="Q17" i="173"/>
  <c r="P16" i="173"/>
  <c r="F16" i="173"/>
  <c r="P15" i="173"/>
  <c r="F15" i="173"/>
  <c r="P14" i="173"/>
  <c r="F14" i="173"/>
  <c r="O14" i="173"/>
  <c r="Q14" i="173"/>
  <c r="P13" i="173"/>
  <c r="P12" i="173"/>
  <c r="F12" i="173"/>
  <c r="O12" i="173"/>
  <c r="Q12" i="173"/>
  <c r="P11" i="173"/>
  <c r="O11" i="173"/>
  <c r="Q11" i="173"/>
  <c r="P10" i="173"/>
  <c r="F10" i="173"/>
  <c r="O10" i="173"/>
  <c r="Q10" i="173"/>
  <c r="P9" i="173"/>
  <c r="O9" i="173"/>
  <c r="Q9" i="173"/>
  <c r="P8" i="173"/>
  <c r="P7" i="173"/>
  <c r="P6" i="173"/>
  <c r="L4" i="173"/>
  <c r="J4" i="173"/>
  <c r="H4" i="173"/>
  <c r="F2" i="173"/>
  <c r="E2" i="173"/>
  <c r="I3" i="173"/>
  <c r="K3" i="173"/>
  <c r="M3" i="173"/>
  <c r="E3" i="173"/>
  <c r="B1" i="173"/>
  <c r="A1" i="173" s="1"/>
  <c r="F34" i="172"/>
  <c r="O34" i="172"/>
  <c r="G49" i="172"/>
  <c r="F39" i="172"/>
  <c r="F33" i="172"/>
  <c r="G39" i="172"/>
  <c r="H38" i="172"/>
  <c r="H4" i="172"/>
  <c r="K46" i="172"/>
  <c r="H45" i="172"/>
  <c r="H46" i="172"/>
  <c r="H47" i="172"/>
  <c r="K45" i="172"/>
  <c r="N36" i="170"/>
  <c r="O36" i="170"/>
  <c r="F33" i="170"/>
  <c r="E36" i="170"/>
  <c r="F36" i="170"/>
  <c r="P45" i="172"/>
  <c r="H39" i="172"/>
  <c r="G38" i="172"/>
  <c r="G7" i="172"/>
  <c r="O7" i="172"/>
  <c r="Q7" i="172"/>
  <c r="F8" i="172"/>
  <c r="O8" i="172"/>
  <c r="M34" i="170"/>
  <c r="F34" i="170"/>
  <c r="R4" i="170"/>
  <c r="L34" i="170"/>
  <c r="R38" i="170"/>
  <c r="R7" i="170"/>
  <c r="R6" i="170"/>
  <c r="F8" i="170"/>
  <c r="F9" i="170"/>
  <c r="R8" i="170"/>
  <c r="N7" i="170"/>
  <c r="R39" i="170"/>
  <c r="I55" i="172"/>
  <c r="I56" i="172"/>
  <c r="I58" i="172"/>
  <c r="H56" i="172"/>
  <c r="F37" i="172"/>
  <c r="F20" i="172"/>
  <c r="F16" i="172"/>
  <c r="O16" i="172"/>
  <c r="Q16" i="172"/>
  <c r="F15" i="172"/>
  <c r="O15" i="172"/>
  <c r="Q15" i="172"/>
  <c r="F14" i="172"/>
  <c r="O14" i="172"/>
  <c r="Q14" i="172"/>
  <c r="F13" i="172"/>
  <c r="O13" i="172"/>
  <c r="Q13" i="172"/>
  <c r="F12" i="172"/>
  <c r="F10" i="172"/>
  <c r="J34" i="170"/>
  <c r="L35" i="170"/>
  <c r="M10" i="170"/>
  <c r="M11" i="170"/>
  <c r="M15" i="170"/>
  <c r="K34" i="170"/>
  <c r="K8" i="170"/>
  <c r="J38" i="170"/>
  <c r="P34" i="170"/>
  <c r="H58" i="172"/>
  <c r="G55" i="172"/>
  <c r="G58" i="172"/>
  <c r="L7" i="170"/>
  <c r="L6" i="170"/>
  <c r="K38" i="170"/>
  <c r="K41" i="170"/>
  <c r="P28" i="170"/>
  <c r="O28" i="170"/>
  <c r="J25" i="170"/>
  <c r="J7" i="170"/>
  <c r="J6" i="170"/>
  <c r="K7" i="170"/>
  <c r="K37" i="170"/>
  <c r="K18" i="170"/>
  <c r="O18" i="170"/>
  <c r="Q18" i="170"/>
  <c r="F37" i="170"/>
  <c r="I37" i="170"/>
  <c r="I8" i="170"/>
  <c r="J35" i="170"/>
  <c r="H38" i="170"/>
  <c r="M33" i="169"/>
  <c r="E33" i="170"/>
  <c r="E35" i="170"/>
  <c r="H7" i="170"/>
  <c r="H6" i="170"/>
  <c r="H9" i="170"/>
  <c r="H35" i="170"/>
  <c r="I12" i="170"/>
  <c r="F12" i="170"/>
  <c r="I15" i="170"/>
  <c r="I20" i="170"/>
  <c r="G37" i="170"/>
  <c r="G8" i="170"/>
  <c r="G19" i="170"/>
  <c r="O19" i="170"/>
  <c r="Q19" i="170"/>
  <c r="G35" i="170"/>
  <c r="H8" i="170"/>
  <c r="E25" i="170"/>
  <c r="J23" i="74"/>
  <c r="E38" i="170"/>
  <c r="G41" i="170"/>
  <c r="B23" i="170"/>
  <c r="L61" i="169"/>
  <c r="L62" i="169"/>
  <c r="L63" i="169"/>
  <c r="L64" i="169"/>
  <c r="F7" i="170"/>
  <c r="F35" i="169"/>
  <c r="N52" i="169"/>
  <c r="M49" i="169"/>
  <c r="N38" i="169"/>
  <c r="L38" i="169"/>
  <c r="M48" i="169"/>
  <c r="L7" i="169"/>
  <c r="E35" i="169"/>
  <c r="O35" i="169"/>
  <c r="M38" i="169"/>
  <c r="M17" i="169"/>
  <c r="K8" i="169"/>
  <c r="K33" i="169"/>
  <c r="K38" i="169"/>
  <c r="K12" i="169"/>
  <c r="K41" i="169"/>
  <c r="L34" i="169"/>
  <c r="N7" i="169"/>
  <c r="N4" i="169"/>
  <c r="L9" i="169"/>
  <c r="L6" i="169"/>
  <c r="L33" i="169"/>
  <c r="J7" i="169"/>
  <c r="K25" i="169"/>
  <c r="K10" i="169"/>
  <c r="K15" i="169"/>
  <c r="L47" i="169"/>
  <c r="G65" i="169"/>
  <c r="O21" i="169"/>
  <c r="Q21" i="169"/>
  <c r="J6" i="169"/>
  <c r="F33" i="169"/>
  <c r="F34" i="169"/>
  <c r="G63" i="169"/>
  <c r="G41" i="169"/>
  <c r="P44" i="172"/>
  <c r="P39" i="172"/>
  <c r="P38" i="172"/>
  <c r="P37" i="172"/>
  <c r="P36" i="172"/>
  <c r="O36" i="172"/>
  <c r="P35" i="172"/>
  <c r="P34" i="172"/>
  <c r="P33" i="172"/>
  <c r="P29" i="172"/>
  <c r="O29" i="172"/>
  <c r="Q29" i="172"/>
  <c r="O28" i="172"/>
  <c r="Q28" i="172"/>
  <c r="P28" i="172"/>
  <c r="P27" i="172"/>
  <c r="O27" i="172"/>
  <c r="Q27" i="172"/>
  <c r="P26" i="172"/>
  <c r="O26" i="172"/>
  <c r="Q26" i="172"/>
  <c r="P25" i="172"/>
  <c r="D24" i="172"/>
  <c r="B24" i="172"/>
  <c r="P21" i="172"/>
  <c r="O21" i="172"/>
  <c r="Q21" i="172"/>
  <c r="P20" i="172"/>
  <c r="O20" i="172"/>
  <c r="Q20" i="172"/>
  <c r="P19" i="172"/>
  <c r="O19" i="172"/>
  <c r="Q19" i="172"/>
  <c r="P18" i="172"/>
  <c r="O18" i="172"/>
  <c r="Q18" i="172"/>
  <c r="P17" i="172"/>
  <c r="O17" i="172"/>
  <c r="Q17" i="172"/>
  <c r="P16" i="172"/>
  <c r="P15" i="172"/>
  <c r="P14" i="172"/>
  <c r="P13" i="172"/>
  <c r="P12" i="172"/>
  <c r="O12" i="172"/>
  <c r="Q12" i="172"/>
  <c r="P11" i="172"/>
  <c r="O11" i="172"/>
  <c r="Q11" i="172"/>
  <c r="P10" i="172"/>
  <c r="P9" i="172"/>
  <c r="O9" i="172"/>
  <c r="Q9" i="172"/>
  <c r="P8" i="172"/>
  <c r="P7" i="172"/>
  <c r="P6" i="172"/>
  <c r="O6" i="172"/>
  <c r="Q6" i="172"/>
  <c r="N4" i="172"/>
  <c r="L4" i="172"/>
  <c r="J4" i="172"/>
  <c r="I3" i="172"/>
  <c r="K3" i="172"/>
  <c r="M3" i="172"/>
  <c r="E3" i="172"/>
  <c r="B1" i="172"/>
  <c r="A1" i="172" s="1"/>
  <c r="G33" i="169"/>
  <c r="F8" i="169"/>
  <c r="F17" i="170"/>
  <c r="O17" i="170"/>
  <c r="Q17" i="170"/>
  <c r="P45" i="170"/>
  <c r="P44" i="170"/>
  <c r="Q39" i="170"/>
  <c r="P39" i="170"/>
  <c r="O39" i="170"/>
  <c r="P38" i="170"/>
  <c r="P37" i="170"/>
  <c r="P36" i="170"/>
  <c r="P35" i="170"/>
  <c r="P33" i="170"/>
  <c r="P29" i="170"/>
  <c r="O29" i="170"/>
  <c r="Q29" i="170"/>
  <c r="P27" i="170"/>
  <c r="O27" i="170"/>
  <c r="Q28" i="170"/>
  <c r="P26" i="170"/>
  <c r="O26" i="170"/>
  <c r="Q26" i="170"/>
  <c r="P25" i="170"/>
  <c r="D24" i="170"/>
  <c r="B24" i="170"/>
  <c r="P21" i="170"/>
  <c r="O21" i="170"/>
  <c r="Q21" i="170"/>
  <c r="P20" i="170"/>
  <c r="F20" i="170"/>
  <c r="P19" i="170"/>
  <c r="P18" i="170"/>
  <c r="P17" i="170"/>
  <c r="P16" i="170"/>
  <c r="F16" i="170"/>
  <c r="O16" i="170"/>
  <c r="Q16" i="170"/>
  <c r="P15" i="170"/>
  <c r="F15" i="170"/>
  <c r="P14" i="170"/>
  <c r="F14" i="170"/>
  <c r="O14" i="170"/>
  <c r="Q14" i="170"/>
  <c r="P13" i="170"/>
  <c r="F13" i="170"/>
  <c r="O13" i="170"/>
  <c r="Q13" i="170"/>
  <c r="P12" i="170"/>
  <c r="O12" i="170"/>
  <c r="Q12" i="170"/>
  <c r="P11" i="170"/>
  <c r="O11" i="170"/>
  <c r="Q11" i="170"/>
  <c r="P10" i="170"/>
  <c r="F10" i="170"/>
  <c r="P9" i="170"/>
  <c r="P8" i="170"/>
  <c r="P7" i="170"/>
  <c r="P6" i="170"/>
  <c r="I3" i="170"/>
  <c r="K3" i="170"/>
  <c r="M3" i="170"/>
  <c r="E3" i="170"/>
  <c r="B1" i="170"/>
  <c r="A1" i="170" s="1"/>
  <c r="F54" i="169"/>
  <c r="F15" i="169"/>
  <c r="J38" i="169"/>
  <c r="I7" i="169"/>
  <c r="I37" i="169"/>
  <c r="I8" i="169"/>
  <c r="O8" i="169"/>
  <c r="Q8" i="169"/>
  <c r="G34" i="169"/>
  <c r="H33" i="169"/>
  <c r="G9" i="169"/>
  <c r="G37" i="169"/>
  <c r="G18" i="169"/>
  <c r="O18" i="169"/>
  <c r="Q18" i="169"/>
  <c r="G19" i="169"/>
  <c r="O19" i="169"/>
  <c r="Q19" i="169"/>
  <c r="G8" i="169"/>
  <c r="G38" i="169"/>
  <c r="H7" i="169"/>
  <c r="H38" i="169"/>
  <c r="H6" i="169"/>
  <c r="H9" i="169"/>
  <c r="H4" i="169"/>
  <c r="F2" i="169"/>
  <c r="E2" i="169"/>
  <c r="F12" i="169"/>
  <c r="G12" i="169"/>
  <c r="O12" i="169"/>
  <c r="Q12" i="169"/>
  <c r="G16" i="169"/>
  <c r="G15" i="169"/>
  <c r="G20" i="169"/>
  <c r="G7" i="169"/>
  <c r="E25" i="169"/>
  <c r="F35" i="168"/>
  <c r="N7" i="168"/>
  <c r="N35" i="168"/>
  <c r="F34" i="168"/>
  <c r="G58" i="169"/>
  <c r="G57" i="169"/>
  <c r="F37" i="169"/>
  <c r="M38" i="168"/>
  <c r="P45" i="169"/>
  <c r="P44" i="169"/>
  <c r="Q39" i="169"/>
  <c r="P39" i="169"/>
  <c r="O39" i="169"/>
  <c r="P38" i="169"/>
  <c r="P37" i="169"/>
  <c r="P36" i="169"/>
  <c r="O36" i="169"/>
  <c r="P35" i="169"/>
  <c r="P34" i="169"/>
  <c r="P33" i="169"/>
  <c r="P29" i="169"/>
  <c r="O29" i="169"/>
  <c r="Q29" i="169"/>
  <c r="P28" i="169"/>
  <c r="O28" i="169"/>
  <c r="Q28" i="169"/>
  <c r="P27" i="169"/>
  <c r="O27" i="169"/>
  <c r="Q27" i="169"/>
  <c r="P26" i="169"/>
  <c r="O26" i="169"/>
  <c r="Q26" i="169"/>
  <c r="P25" i="169"/>
  <c r="D24" i="169"/>
  <c r="B24" i="169"/>
  <c r="P21" i="169"/>
  <c r="P20" i="169"/>
  <c r="F20" i="169"/>
  <c r="P19" i="169"/>
  <c r="P18" i="169"/>
  <c r="P17" i="169"/>
  <c r="O17" i="169"/>
  <c r="Q17" i="169"/>
  <c r="P16" i="169"/>
  <c r="F16" i="169"/>
  <c r="O16" i="169"/>
  <c r="Q16" i="169"/>
  <c r="P15" i="169"/>
  <c r="P14" i="169"/>
  <c r="F14" i="169"/>
  <c r="O14" i="169"/>
  <c r="Q14" i="169"/>
  <c r="P13" i="169"/>
  <c r="F13" i="169"/>
  <c r="O13" i="169"/>
  <c r="Q13" i="169"/>
  <c r="P12" i="169"/>
  <c r="P11" i="169"/>
  <c r="O11" i="169"/>
  <c r="Q11" i="169"/>
  <c r="P10" i="169"/>
  <c r="F10" i="169"/>
  <c r="O10" i="169"/>
  <c r="Q10" i="169"/>
  <c r="P9" i="169"/>
  <c r="P8" i="169"/>
  <c r="P7" i="169"/>
  <c r="P6" i="169"/>
  <c r="I3" i="169"/>
  <c r="K3" i="169"/>
  <c r="M3" i="169"/>
  <c r="E3" i="169"/>
  <c r="B1" i="169"/>
  <c r="A1" i="169" s="1"/>
  <c r="M51" i="168"/>
  <c r="N38" i="168"/>
  <c r="M37" i="168"/>
  <c r="M25" i="168"/>
  <c r="F25" i="168"/>
  <c r="D24" i="168"/>
  <c r="M8" i="168"/>
  <c r="M11" i="168"/>
  <c r="O11" i="168"/>
  <c r="Q11" i="168"/>
  <c r="M14" i="168"/>
  <c r="O14" i="168"/>
  <c r="Q14" i="168"/>
  <c r="M15" i="168"/>
  <c r="M42" i="168"/>
  <c r="N9" i="168"/>
  <c r="F7" i="168"/>
  <c r="F6" i="168"/>
  <c r="H7" i="168"/>
  <c r="O7" i="168"/>
  <c r="Q7" i="168"/>
  <c r="J7" i="168"/>
  <c r="K7" i="168"/>
  <c r="L7" i="168"/>
  <c r="L38" i="168"/>
  <c r="L6" i="168"/>
  <c r="H6" i="168"/>
  <c r="J6" i="168"/>
  <c r="L34" i="168"/>
  <c r="K38" i="168"/>
  <c r="K8" i="168"/>
  <c r="P20" i="74"/>
  <c r="B32" i="74"/>
  <c r="B14" i="74"/>
  <c r="K37" i="168"/>
  <c r="F37" i="168"/>
  <c r="I34" i="168"/>
  <c r="I8" i="168"/>
  <c r="I18" i="168"/>
  <c r="O18" i="168"/>
  <c r="Q18" i="168"/>
  <c r="I37" i="168"/>
  <c r="F8" i="168"/>
  <c r="I42" i="168"/>
  <c r="I12" i="168"/>
  <c r="I20" i="168"/>
  <c r="O20" i="168"/>
  <c r="Q20" i="168"/>
  <c r="I16" i="168"/>
  <c r="I15" i="168"/>
  <c r="G37" i="168"/>
  <c r="J34" i="168"/>
  <c r="J9" i="168"/>
  <c r="J38" i="168"/>
  <c r="G42" i="168"/>
  <c r="E35" i="168"/>
  <c r="G57" i="168"/>
  <c r="G58" i="168"/>
  <c r="G59" i="168"/>
  <c r="G60" i="168"/>
  <c r="G61" i="168"/>
  <c r="G62" i="168"/>
  <c r="G63" i="168"/>
  <c r="H38" i="168"/>
  <c r="G38" i="168"/>
  <c r="J57" i="168"/>
  <c r="J58" i="168"/>
  <c r="K57" i="168"/>
  <c r="K58" i="168"/>
  <c r="E29" i="168"/>
  <c r="K59" i="168"/>
  <c r="K60" i="168"/>
  <c r="K61" i="168"/>
  <c r="G8" i="168"/>
  <c r="M49" i="168"/>
  <c r="M48" i="168"/>
  <c r="E25" i="168"/>
  <c r="M34" i="167"/>
  <c r="F20" i="168"/>
  <c r="N38" i="167"/>
  <c r="N7" i="167"/>
  <c r="F7" i="167"/>
  <c r="M26" i="167"/>
  <c r="M38" i="167"/>
  <c r="M42" i="167"/>
  <c r="M37" i="167"/>
  <c r="M12" i="167"/>
  <c r="M8" i="167"/>
  <c r="M20" i="167"/>
  <c r="F20" i="167"/>
  <c r="M7" i="167"/>
  <c r="F6" i="167"/>
  <c r="D5" i="167"/>
  <c r="M10" i="167"/>
  <c r="M11" i="167"/>
  <c r="O11" i="167"/>
  <c r="Q11" i="167"/>
  <c r="M15" i="167"/>
  <c r="F35" i="167"/>
  <c r="L47" i="167"/>
  <c r="L35" i="167"/>
  <c r="N6" i="167"/>
  <c r="H51" i="168"/>
  <c r="I50" i="168"/>
  <c r="H50" i="168"/>
  <c r="N50" i="168"/>
  <c r="P46" i="168"/>
  <c r="P45" i="168"/>
  <c r="Q40" i="168"/>
  <c r="P40" i="168"/>
  <c r="O40" i="168"/>
  <c r="P39" i="168"/>
  <c r="O39" i="168"/>
  <c r="P38" i="168"/>
  <c r="P37" i="168"/>
  <c r="P36" i="168"/>
  <c r="O36" i="168"/>
  <c r="P35" i="168"/>
  <c r="P34" i="168"/>
  <c r="P33" i="168"/>
  <c r="O33" i="168"/>
  <c r="Q33" i="168"/>
  <c r="P29" i="168"/>
  <c r="O29" i="168"/>
  <c r="Q29" i="168"/>
  <c r="P28" i="168"/>
  <c r="O28" i="168"/>
  <c r="Q28" i="168"/>
  <c r="P27" i="168"/>
  <c r="O27" i="168"/>
  <c r="Q27" i="168"/>
  <c r="P26" i="168"/>
  <c r="O26" i="168"/>
  <c r="Q26" i="168"/>
  <c r="P25" i="168"/>
  <c r="B24" i="168"/>
  <c r="P21" i="168"/>
  <c r="O21" i="168"/>
  <c r="Q21" i="168"/>
  <c r="P20" i="168"/>
  <c r="P19" i="168"/>
  <c r="O19" i="168"/>
  <c r="Q19" i="168"/>
  <c r="P18" i="168"/>
  <c r="P17" i="168"/>
  <c r="O17" i="168"/>
  <c r="Q17" i="168"/>
  <c r="P16" i="168"/>
  <c r="F16" i="168"/>
  <c r="P15" i="168"/>
  <c r="F15" i="168"/>
  <c r="O15" i="168"/>
  <c r="Q15" i="168"/>
  <c r="P14" i="168"/>
  <c r="F14" i="168"/>
  <c r="P13" i="168"/>
  <c r="F13" i="168"/>
  <c r="O13" i="168"/>
  <c r="Q13" i="168"/>
  <c r="P12" i="168"/>
  <c r="F12" i="168"/>
  <c r="O12" i="168"/>
  <c r="Q12" i="168"/>
  <c r="P11" i="168"/>
  <c r="P10" i="168"/>
  <c r="F10" i="168"/>
  <c r="O10" i="168"/>
  <c r="Q10" i="168"/>
  <c r="P9" i="168"/>
  <c r="P8" i="168"/>
  <c r="P7" i="168"/>
  <c r="P6" i="168"/>
  <c r="I3" i="168"/>
  <c r="K3" i="168"/>
  <c r="M3" i="168"/>
  <c r="E3" i="168"/>
  <c r="B1" i="168"/>
  <c r="A1" i="168" s="1"/>
  <c r="N9" i="167"/>
  <c r="O9" i="167"/>
  <c r="Q9" i="167"/>
  <c r="K38" i="167"/>
  <c r="F34" i="167"/>
  <c r="P46" i="167"/>
  <c r="J38" i="167"/>
  <c r="L7" i="167"/>
  <c r="L6" i="167"/>
  <c r="L38" i="167"/>
  <c r="K8" i="167"/>
  <c r="K25" i="167"/>
  <c r="K37" i="167"/>
  <c r="K42" i="167"/>
  <c r="K34" i="167"/>
  <c r="H59" i="167"/>
  <c r="J8" i="167"/>
  <c r="J4" i="167"/>
  <c r="J7" i="167"/>
  <c r="J6" i="167"/>
  <c r="F40" i="167"/>
  <c r="H40" i="167"/>
  <c r="H6" i="167"/>
  <c r="H7" i="167"/>
  <c r="H8" i="167"/>
  <c r="H35" i="167"/>
  <c r="H4" i="167"/>
  <c r="H38" i="167"/>
  <c r="I42" i="167"/>
  <c r="I8" i="167"/>
  <c r="I25" i="167"/>
  <c r="I18" i="167"/>
  <c r="I35" i="167"/>
  <c r="I38" i="167"/>
  <c r="H51" i="167"/>
  <c r="I50" i="167"/>
  <c r="H50" i="167"/>
  <c r="I12" i="167"/>
  <c r="O12" i="167"/>
  <c r="Q12" i="167"/>
  <c r="E25" i="167"/>
  <c r="E41" i="167"/>
  <c r="I20" i="167"/>
  <c r="I37" i="167"/>
  <c r="F12" i="167"/>
  <c r="I16" i="167"/>
  <c r="O16" i="167"/>
  <c r="Q16" i="167"/>
  <c r="F16" i="167"/>
  <c r="I15" i="167"/>
  <c r="E3" i="167"/>
  <c r="I34" i="167"/>
  <c r="I6" i="167"/>
  <c r="I19" i="167"/>
  <c r="G42" i="167"/>
  <c r="I7" i="167"/>
  <c r="G38" i="167"/>
  <c r="G8" i="167"/>
  <c r="O8" i="167"/>
  <c r="G7" i="167"/>
  <c r="G34" i="167"/>
  <c r="N49" i="166"/>
  <c r="M13" i="166"/>
  <c r="M38" i="166"/>
  <c r="M17" i="166"/>
  <c r="M42" i="166"/>
  <c r="M34" i="166"/>
  <c r="M37" i="166"/>
  <c r="M12" i="166"/>
  <c r="P45" i="167"/>
  <c r="P40" i="167"/>
  <c r="P39" i="167"/>
  <c r="O39" i="167"/>
  <c r="P38" i="167"/>
  <c r="P37" i="167"/>
  <c r="F37" i="167"/>
  <c r="P36" i="167"/>
  <c r="O36" i="167"/>
  <c r="P35" i="167"/>
  <c r="P34" i="167"/>
  <c r="O34" i="167"/>
  <c r="Q34" i="167"/>
  <c r="P33" i="167"/>
  <c r="O33" i="167"/>
  <c r="Q33" i="167"/>
  <c r="P29" i="167"/>
  <c r="O29" i="167"/>
  <c r="Q29" i="167"/>
  <c r="P28" i="167"/>
  <c r="O28" i="167"/>
  <c r="Q28" i="167"/>
  <c r="P27" i="167"/>
  <c r="O27" i="167"/>
  <c r="Q27" i="167"/>
  <c r="P26" i="167"/>
  <c r="O26" i="167"/>
  <c r="Q26" i="167"/>
  <c r="P25" i="167"/>
  <c r="D24" i="167"/>
  <c r="B24" i="167"/>
  <c r="P21" i="167"/>
  <c r="O21" i="167"/>
  <c r="Q21" i="167"/>
  <c r="P20" i="167"/>
  <c r="P19" i="167"/>
  <c r="O19" i="167"/>
  <c r="Q19" i="167"/>
  <c r="P18" i="167"/>
  <c r="O18" i="167"/>
  <c r="Q18" i="167"/>
  <c r="P17" i="167"/>
  <c r="O17" i="167"/>
  <c r="Q17" i="167"/>
  <c r="P16" i="167"/>
  <c r="P15" i="167"/>
  <c r="F15" i="167"/>
  <c r="P14" i="167"/>
  <c r="F14" i="167"/>
  <c r="O14" i="167"/>
  <c r="Q14" i="167"/>
  <c r="P13" i="167"/>
  <c r="F13" i="167"/>
  <c r="O13" i="167"/>
  <c r="Q13" i="167"/>
  <c r="P12" i="167"/>
  <c r="P11" i="167"/>
  <c r="P10" i="167"/>
  <c r="F10" i="167"/>
  <c r="O10" i="167"/>
  <c r="Q10" i="167"/>
  <c r="P9" i="167"/>
  <c r="P8" i="167"/>
  <c r="Q8" i="167"/>
  <c r="P7" i="167"/>
  <c r="P6" i="167"/>
  <c r="O6" i="167"/>
  <c r="I3" i="167"/>
  <c r="K3" i="167"/>
  <c r="M3" i="167"/>
  <c r="B1" i="167"/>
  <c r="A1" i="167" s="1"/>
  <c r="L54" i="166"/>
  <c r="L52" i="166"/>
  <c r="N38" i="166"/>
  <c r="N4" i="166"/>
  <c r="L50" i="166"/>
  <c r="F33" i="166"/>
  <c r="O33" i="166"/>
  <c r="Q33" i="166"/>
  <c r="F34" i="166"/>
  <c r="L38" i="166"/>
  <c r="F6" i="166"/>
  <c r="F9" i="166"/>
  <c r="O9" i="166"/>
  <c r="Q9" i="166"/>
  <c r="F10" i="166"/>
  <c r="F8" i="166"/>
  <c r="F20" i="166"/>
  <c r="O20" i="166"/>
  <c r="Q20" i="166"/>
  <c r="E36" i="166"/>
  <c r="F35" i="166"/>
  <c r="F27" i="166"/>
  <c r="O27" i="166"/>
  <c r="Q27" i="166"/>
  <c r="L34" i="166"/>
  <c r="L25" i="166"/>
  <c r="L35" i="166"/>
  <c r="L6" i="166"/>
  <c r="L8" i="166"/>
  <c r="L7" i="166"/>
  <c r="M6" i="166"/>
  <c r="M7" i="166"/>
  <c r="M10" i="166"/>
  <c r="K35" i="166"/>
  <c r="K38" i="166"/>
  <c r="K42" i="166"/>
  <c r="K11" i="166"/>
  <c r="K15" i="166"/>
  <c r="K8" i="166"/>
  <c r="K34" i="166"/>
  <c r="L9" i="166"/>
  <c r="F14" i="166"/>
  <c r="O14" i="166"/>
  <c r="Q14" i="166"/>
  <c r="I8" i="166"/>
  <c r="O8" i="166"/>
  <c r="Q8" i="166"/>
  <c r="I37" i="166"/>
  <c r="I34" i="166"/>
  <c r="I38" i="166"/>
  <c r="G37" i="166"/>
  <c r="G38" i="166"/>
  <c r="G12" i="166"/>
  <c r="G20" i="166"/>
  <c r="G16" i="166"/>
  <c r="G15" i="166"/>
  <c r="J7" i="166"/>
  <c r="J38" i="166"/>
  <c r="J34" i="166"/>
  <c r="J6" i="166"/>
  <c r="H6" i="166"/>
  <c r="H4" i="166"/>
  <c r="H38" i="166"/>
  <c r="H34" i="166"/>
  <c r="H7" i="166"/>
  <c r="H36" i="166"/>
  <c r="I116" i="74"/>
  <c r="I157" i="74"/>
  <c r="I169" i="74"/>
  <c r="I114" i="74"/>
  <c r="G42" i="166"/>
  <c r="H9" i="166"/>
  <c r="F7" i="166"/>
  <c r="O7" i="166"/>
  <c r="Q7" i="166"/>
  <c r="G34" i="166"/>
  <c r="E41" i="166"/>
  <c r="F8" i="164"/>
  <c r="F9" i="164"/>
  <c r="P46" i="166"/>
  <c r="P45" i="166"/>
  <c r="P40" i="166"/>
  <c r="Q40" i="166"/>
  <c r="P39" i="166"/>
  <c r="O39" i="166"/>
  <c r="O35" i="166"/>
  <c r="Q35" i="166"/>
  <c r="P38" i="166"/>
  <c r="P37" i="166"/>
  <c r="F37" i="166"/>
  <c r="O37" i="166"/>
  <c r="Q37" i="166"/>
  <c r="P36" i="166"/>
  <c r="O36" i="166"/>
  <c r="P35" i="166"/>
  <c r="P34" i="166"/>
  <c r="P33" i="166"/>
  <c r="P29" i="166"/>
  <c r="O29" i="166"/>
  <c r="Q29" i="166"/>
  <c r="P28" i="166"/>
  <c r="O28" i="166"/>
  <c r="Q28" i="166"/>
  <c r="P27" i="166"/>
  <c r="P26" i="166"/>
  <c r="O26" i="166"/>
  <c r="Q26" i="166"/>
  <c r="P25" i="166"/>
  <c r="D24" i="166"/>
  <c r="B23" i="166"/>
  <c r="B24" i="166"/>
  <c r="O21" i="166"/>
  <c r="Q21" i="166"/>
  <c r="P21" i="166"/>
  <c r="P20" i="166"/>
  <c r="P19" i="166"/>
  <c r="O19" i="166"/>
  <c r="Q19" i="166"/>
  <c r="P18" i="166"/>
  <c r="O18" i="166"/>
  <c r="Q18" i="166"/>
  <c r="P17" i="166"/>
  <c r="O17" i="166"/>
  <c r="Q17" i="166"/>
  <c r="P16" i="166"/>
  <c r="F16" i="166"/>
  <c r="O16" i="166"/>
  <c r="Q16" i="166"/>
  <c r="P15" i="166"/>
  <c r="F15" i="166"/>
  <c r="O15" i="166"/>
  <c r="Q15" i="166"/>
  <c r="P14" i="166"/>
  <c r="P13" i="166"/>
  <c r="F13" i="166"/>
  <c r="O13" i="166"/>
  <c r="Q13" i="166"/>
  <c r="P12" i="166"/>
  <c r="F12" i="166"/>
  <c r="P11" i="166"/>
  <c r="O11" i="166"/>
  <c r="Q11" i="166"/>
  <c r="P10" i="166"/>
  <c r="O10" i="166"/>
  <c r="Q10" i="166"/>
  <c r="P9" i="166"/>
  <c r="P8" i="166"/>
  <c r="P7" i="166"/>
  <c r="P6" i="166"/>
  <c r="I3" i="166"/>
  <c r="K3" i="166"/>
  <c r="M3" i="166"/>
  <c r="B1" i="166"/>
  <c r="A1" i="166" s="1"/>
  <c r="J47" i="164"/>
  <c r="N38" i="164"/>
  <c r="N34" i="164"/>
  <c r="M34" i="164"/>
  <c r="O34" i="164"/>
  <c r="M8" i="164"/>
  <c r="O8" i="164"/>
  <c r="Q8" i="164"/>
  <c r="M17" i="164"/>
  <c r="M7" i="164"/>
  <c r="M38" i="164"/>
  <c r="M12" i="164"/>
  <c r="M42" i="164"/>
  <c r="M37" i="164"/>
  <c r="M10" i="164"/>
  <c r="F34" i="164"/>
  <c r="M11" i="164"/>
  <c r="O11" i="164"/>
  <c r="Q11" i="164"/>
  <c r="F14" i="164"/>
  <c r="O14" i="164"/>
  <c r="Q14" i="164"/>
  <c r="M14" i="164"/>
  <c r="M15" i="164"/>
  <c r="O15" i="164"/>
  <c r="Q15" i="164"/>
  <c r="N7" i="164"/>
  <c r="N4" i="164"/>
  <c r="F25" i="164"/>
  <c r="D24" i="164"/>
  <c r="B23" i="164"/>
  <c r="F36" i="164"/>
  <c r="N6" i="164"/>
  <c r="L7" i="164"/>
  <c r="L4" i="164"/>
  <c r="L34" i="164"/>
  <c r="L36" i="164"/>
  <c r="L6" i="164"/>
  <c r="L8" i="164"/>
  <c r="J34" i="164"/>
  <c r="F35" i="164"/>
  <c r="K38" i="164"/>
  <c r="K20" i="164"/>
  <c r="G33" i="164"/>
  <c r="O33" i="164"/>
  <c r="Q33" i="164"/>
  <c r="I42" i="164"/>
  <c r="G42" i="164"/>
  <c r="P9" i="164"/>
  <c r="G36" i="164"/>
  <c r="I36" i="164"/>
  <c r="I38" i="164"/>
  <c r="I40" i="164"/>
  <c r="I37" i="164"/>
  <c r="I26" i="164"/>
  <c r="O26" i="164"/>
  <c r="Q26" i="164"/>
  <c r="F40" i="164"/>
  <c r="O40" i="164"/>
  <c r="I8" i="164"/>
  <c r="I18" i="164"/>
  <c r="O18" i="164"/>
  <c r="Q18" i="164"/>
  <c r="F37" i="164"/>
  <c r="I25" i="164"/>
  <c r="F7" i="164"/>
  <c r="I12" i="164"/>
  <c r="I20" i="164"/>
  <c r="I16" i="164"/>
  <c r="I15" i="164"/>
  <c r="I21" i="164"/>
  <c r="G20" i="164"/>
  <c r="O20" i="164"/>
  <c r="G19" i="164"/>
  <c r="O19" i="164"/>
  <c r="Q19" i="164"/>
  <c r="G38" i="164"/>
  <c r="G37" i="164"/>
  <c r="G7" i="164"/>
  <c r="O7" i="164"/>
  <c r="Q7" i="164"/>
  <c r="G8" i="164"/>
  <c r="G25" i="164"/>
  <c r="G40" i="164"/>
  <c r="G17" i="164"/>
  <c r="O17" i="164"/>
  <c r="Q17" i="164"/>
  <c r="G13" i="164"/>
  <c r="J7" i="164"/>
  <c r="J9" i="164"/>
  <c r="J36" i="164"/>
  <c r="J38" i="164"/>
  <c r="J4" i="164"/>
  <c r="H38" i="164"/>
  <c r="H6" i="164"/>
  <c r="F20" i="164"/>
  <c r="Q20" i="164"/>
  <c r="M35" i="163"/>
  <c r="M38" i="163"/>
  <c r="M8" i="163"/>
  <c r="H36" i="164"/>
  <c r="N38" i="163"/>
  <c r="N36" i="163"/>
  <c r="M37" i="163"/>
  <c r="F34" i="163"/>
  <c r="M14" i="163"/>
  <c r="F8" i="163"/>
  <c r="F6" i="163"/>
  <c r="N8" i="163"/>
  <c r="N6" i="163"/>
  <c r="N7" i="163"/>
  <c r="E24" i="163"/>
  <c r="E25" i="163"/>
  <c r="P46" i="164"/>
  <c r="P45" i="164"/>
  <c r="P40" i="164"/>
  <c r="P39" i="164"/>
  <c r="O39" i="164"/>
  <c r="O35" i="164"/>
  <c r="P38" i="164"/>
  <c r="P37" i="164"/>
  <c r="P36" i="164"/>
  <c r="P35" i="164"/>
  <c r="P34" i="164"/>
  <c r="P33" i="164"/>
  <c r="P29" i="164"/>
  <c r="O29" i="164"/>
  <c r="Q29" i="164"/>
  <c r="P28" i="164"/>
  <c r="O28" i="164"/>
  <c r="Q28" i="164"/>
  <c r="P27" i="164"/>
  <c r="O27" i="164"/>
  <c r="Q27" i="164"/>
  <c r="P26" i="164"/>
  <c r="P25" i="164"/>
  <c r="B24" i="164"/>
  <c r="P21" i="164"/>
  <c r="O21" i="164"/>
  <c r="Q21" i="164"/>
  <c r="P20" i="164"/>
  <c r="P19" i="164"/>
  <c r="P18" i="164"/>
  <c r="P17" i="164"/>
  <c r="P16" i="164"/>
  <c r="F16" i="164"/>
  <c r="O16" i="164"/>
  <c r="Q16" i="164"/>
  <c r="P15" i="164"/>
  <c r="F15" i="164"/>
  <c r="P14" i="164"/>
  <c r="P13" i="164"/>
  <c r="F13" i="164"/>
  <c r="O13" i="164"/>
  <c r="Q13" i="164"/>
  <c r="P12" i="164"/>
  <c r="F12" i="164"/>
  <c r="O12" i="164"/>
  <c r="Q12" i="164"/>
  <c r="P11" i="164"/>
  <c r="P10" i="164"/>
  <c r="F10" i="164"/>
  <c r="O10" i="164"/>
  <c r="Q10" i="164"/>
  <c r="P8" i="164"/>
  <c r="P7" i="164"/>
  <c r="P6" i="164"/>
  <c r="I3" i="164"/>
  <c r="K3" i="164"/>
  <c r="M3" i="164"/>
  <c r="B1" i="164"/>
  <c r="A1" i="164" s="1"/>
  <c r="I34" i="163"/>
  <c r="I38" i="163"/>
  <c r="F35" i="163"/>
  <c r="L38" i="163"/>
  <c r="S9" i="163"/>
  <c r="L36" i="163"/>
  <c r="L24" i="163"/>
  <c r="L8" i="163"/>
  <c r="L7" i="163"/>
  <c r="L6" i="163"/>
  <c r="J38" i="163"/>
  <c r="J7" i="163"/>
  <c r="J4" i="163"/>
  <c r="J8" i="163"/>
  <c r="F7" i="163"/>
  <c r="J6" i="163"/>
  <c r="K38" i="163"/>
  <c r="F36" i="163"/>
  <c r="K42" i="163"/>
  <c r="K37" i="163"/>
  <c r="I24" i="163"/>
  <c r="I36" i="163"/>
  <c r="O40" i="163"/>
  <c r="O36" i="163"/>
  <c r="E35" i="163"/>
  <c r="P36" i="163"/>
  <c r="K8" i="163"/>
  <c r="I37" i="163"/>
  <c r="I19" i="163"/>
  <c r="F19" i="163"/>
  <c r="I25" i="163"/>
  <c r="I17" i="163"/>
  <c r="O17" i="163"/>
  <c r="Q17" i="163"/>
  <c r="I8" i="163"/>
  <c r="I42" i="163"/>
  <c r="I32" i="163"/>
  <c r="F32" i="163"/>
  <c r="G37" i="163"/>
  <c r="G49" i="163"/>
  <c r="G42" i="163"/>
  <c r="G38" i="163"/>
  <c r="H51" i="163"/>
  <c r="O4" i="166"/>
  <c r="E42" i="166"/>
  <c r="O6" i="166"/>
  <c r="O40" i="166"/>
  <c r="O4" i="164"/>
  <c r="O3" i="164"/>
  <c r="O39" i="163"/>
  <c r="E41" i="164"/>
  <c r="E42" i="164"/>
  <c r="F37" i="163"/>
  <c r="G50" i="163"/>
  <c r="G51" i="163"/>
  <c r="G52" i="163"/>
  <c r="H38" i="163"/>
  <c r="H32" i="163"/>
  <c r="H34" i="163"/>
  <c r="H6" i="163"/>
  <c r="O6" i="163"/>
  <c r="Q6" i="163"/>
  <c r="H8" i="163"/>
  <c r="O8" i="163"/>
  <c r="Q8" i="163"/>
  <c r="H7" i="163"/>
  <c r="G32" i="163"/>
  <c r="G11" i="163"/>
  <c r="G15" i="163"/>
  <c r="O15" i="163"/>
  <c r="Q15" i="163"/>
  <c r="G19" i="163"/>
  <c r="G14" i="163"/>
  <c r="G18" i="163"/>
  <c r="O18" i="163"/>
  <c r="Q18" i="163"/>
  <c r="G20" i="163"/>
  <c r="O20" i="163"/>
  <c r="Q20" i="163"/>
  <c r="G28" i="163"/>
  <c r="O28" i="163"/>
  <c r="Q28" i="163"/>
  <c r="E38" i="163"/>
  <c r="F33" i="162"/>
  <c r="F35" i="162"/>
  <c r="F25" i="163"/>
  <c r="O25" i="163"/>
  <c r="Q25" i="163"/>
  <c r="F11" i="163"/>
  <c r="P46" i="163"/>
  <c r="P45" i="163"/>
  <c r="P40" i="163"/>
  <c r="Q40" i="163"/>
  <c r="P39" i="163"/>
  <c r="P38" i="163"/>
  <c r="P37" i="163"/>
  <c r="P35" i="163"/>
  <c r="P34" i="163"/>
  <c r="P33" i="163"/>
  <c r="O33" i="163"/>
  <c r="Q33" i="163"/>
  <c r="P32" i="163"/>
  <c r="P28" i="163"/>
  <c r="P27" i="163"/>
  <c r="O27" i="163"/>
  <c r="Q27" i="163"/>
  <c r="P26" i="163"/>
  <c r="O26" i="163"/>
  <c r="Q26" i="163"/>
  <c r="P25" i="163"/>
  <c r="P24" i="163"/>
  <c r="F24" i="163"/>
  <c r="B23" i="163"/>
  <c r="P20" i="163"/>
  <c r="P19" i="163"/>
  <c r="P18" i="163"/>
  <c r="P17" i="163"/>
  <c r="P16" i="163"/>
  <c r="O16" i="163"/>
  <c r="Q16" i="163"/>
  <c r="P15" i="163"/>
  <c r="F15" i="163"/>
  <c r="P14" i="163"/>
  <c r="F14" i="163"/>
  <c r="O14" i="163"/>
  <c r="Q14" i="163"/>
  <c r="P13" i="163"/>
  <c r="F13" i="163"/>
  <c r="O13" i="163"/>
  <c r="Q13" i="163"/>
  <c r="P12" i="163"/>
  <c r="F12" i="163"/>
  <c r="O12" i="163"/>
  <c r="P11" i="163"/>
  <c r="P10" i="163"/>
  <c r="O10" i="163"/>
  <c r="Q10" i="163"/>
  <c r="P9" i="163"/>
  <c r="F9" i="163"/>
  <c r="O9" i="163"/>
  <c r="Q9" i="163"/>
  <c r="P8" i="163"/>
  <c r="P7" i="163"/>
  <c r="P6" i="163"/>
  <c r="N4" i="163"/>
  <c r="L4" i="163"/>
  <c r="I3" i="163"/>
  <c r="K3" i="163"/>
  <c r="M3" i="163"/>
  <c r="B1" i="163"/>
  <c r="A1" i="163" s="1"/>
  <c r="F39" i="162"/>
  <c r="M41" i="162"/>
  <c r="M39" i="162"/>
  <c r="M12" i="162"/>
  <c r="M33" i="162"/>
  <c r="M16" i="162"/>
  <c r="M36" i="162"/>
  <c r="M11" i="162"/>
  <c r="M37" i="162"/>
  <c r="N32" i="162"/>
  <c r="N33" i="162"/>
  <c r="N6" i="162"/>
  <c r="L7" i="162"/>
  <c r="L6" i="162"/>
  <c r="F25" i="162"/>
  <c r="M14" i="162"/>
  <c r="M7" i="162"/>
  <c r="M8" i="162"/>
  <c r="F34" i="162"/>
  <c r="F19" i="162"/>
  <c r="F7" i="162"/>
  <c r="F8" i="162"/>
  <c r="F9" i="162"/>
  <c r="O9" i="162"/>
  <c r="Q9" i="162"/>
  <c r="F11" i="162"/>
  <c r="F12" i="162"/>
  <c r="O12" i="162"/>
  <c r="F13" i="162"/>
  <c r="F14" i="162"/>
  <c r="O14" i="162"/>
  <c r="Q14" i="162"/>
  <c r="F15" i="162"/>
  <c r="O15" i="162"/>
  <c r="Q15" i="162"/>
  <c r="F36" i="162"/>
  <c r="L34" i="162"/>
  <c r="J37" i="162"/>
  <c r="K37" i="162"/>
  <c r="J6" i="162"/>
  <c r="K34" i="162"/>
  <c r="K7" i="162"/>
  <c r="K41" i="162"/>
  <c r="K35" i="162"/>
  <c r="K36" i="162"/>
  <c r="I37" i="162"/>
  <c r="I35" i="162"/>
  <c r="J34" i="162"/>
  <c r="E37" i="162"/>
  <c r="H26" i="162"/>
  <c r="O26" i="162"/>
  <c r="Q26" i="162"/>
  <c r="J7" i="162"/>
  <c r="J4" i="162"/>
  <c r="H6" i="162"/>
  <c r="H37" i="162"/>
  <c r="H8" i="162"/>
  <c r="H34" i="162"/>
  <c r="I41" i="162"/>
  <c r="I24" i="162"/>
  <c r="I8" i="162"/>
  <c r="I36" i="162"/>
  <c r="I34" i="162"/>
  <c r="I7" i="162"/>
  <c r="I19" i="162"/>
  <c r="I11" i="162"/>
  <c r="I15" i="162"/>
  <c r="I14" i="162"/>
  <c r="I20" i="162"/>
  <c r="G36" i="162"/>
  <c r="G18" i="162"/>
  <c r="O18" i="162"/>
  <c r="Q18" i="162"/>
  <c r="G8" i="162"/>
  <c r="G41" i="162"/>
  <c r="G7" i="162"/>
  <c r="H7" i="162"/>
  <c r="G37" i="162"/>
  <c r="G16" i="162"/>
  <c r="G12" i="162"/>
  <c r="G25" i="162"/>
  <c r="K50" i="160"/>
  <c r="K51" i="160"/>
  <c r="M27" i="160"/>
  <c r="M8" i="160"/>
  <c r="M7" i="160"/>
  <c r="M37" i="160"/>
  <c r="M11" i="160"/>
  <c r="M36" i="160"/>
  <c r="M25" i="160"/>
  <c r="P45" i="162"/>
  <c r="P44" i="162"/>
  <c r="E40" i="162"/>
  <c r="P39" i="162"/>
  <c r="Q39" i="162"/>
  <c r="P38" i="162"/>
  <c r="O38" i="162"/>
  <c r="P37" i="162"/>
  <c r="P36" i="162"/>
  <c r="P35" i="162"/>
  <c r="P34" i="162"/>
  <c r="P33" i="162"/>
  <c r="P32" i="162"/>
  <c r="P28" i="162"/>
  <c r="O28" i="162"/>
  <c r="Q28" i="162"/>
  <c r="O27" i="162"/>
  <c r="Q27" i="162"/>
  <c r="P27" i="162"/>
  <c r="P26" i="162"/>
  <c r="P25" i="162"/>
  <c r="F24" i="162"/>
  <c r="D23" i="162"/>
  <c r="P24" i="162"/>
  <c r="B23" i="162"/>
  <c r="P20" i="162"/>
  <c r="O20" i="162"/>
  <c r="Q20" i="162"/>
  <c r="P19" i="162"/>
  <c r="P18" i="162"/>
  <c r="P17" i="162"/>
  <c r="O17" i="162"/>
  <c r="Q17" i="162"/>
  <c r="P16" i="162"/>
  <c r="O16" i="162"/>
  <c r="Q16" i="162"/>
  <c r="P15" i="162"/>
  <c r="P14" i="162"/>
  <c r="P13" i="162"/>
  <c r="O13" i="162"/>
  <c r="Q13" i="162"/>
  <c r="P12" i="162"/>
  <c r="Q12" i="162"/>
  <c r="P11" i="162"/>
  <c r="P10" i="162"/>
  <c r="O10" i="162"/>
  <c r="Q10" i="162"/>
  <c r="P9" i="162"/>
  <c r="P8" i="162"/>
  <c r="P7" i="162"/>
  <c r="P6" i="162"/>
  <c r="N4" i="162"/>
  <c r="I3" i="162"/>
  <c r="K3" i="162"/>
  <c r="M3" i="162"/>
  <c r="B1" i="162"/>
  <c r="A1" i="162" s="1"/>
  <c r="L7" i="160"/>
  <c r="L35" i="160"/>
  <c r="L27" i="160"/>
  <c r="L6" i="160"/>
  <c r="L8" i="160"/>
  <c r="J6" i="160"/>
  <c r="J7" i="160"/>
  <c r="J27" i="160"/>
  <c r="J36" i="160"/>
  <c r="J38" i="160"/>
  <c r="M9" i="160"/>
  <c r="M21" i="160"/>
  <c r="M10" i="160"/>
  <c r="O10" i="160"/>
  <c r="Q10" i="160"/>
  <c r="M13" i="160"/>
  <c r="M14" i="160"/>
  <c r="K37" i="160"/>
  <c r="K38" i="160"/>
  <c r="K35" i="160"/>
  <c r="K7" i="160"/>
  <c r="K42" i="160"/>
  <c r="K36" i="160"/>
  <c r="K17" i="160"/>
  <c r="O17" i="160"/>
  <c r="Q17" i="160"/>
  <c r="F37" i="160"/>
  <c r="O37" i="160"/>
  <c r="Q37" i="160"/>
  <c r="I37" i="160"/>
  <c r="F33" i="160"/>
  <c r="O33" i="160"/>
  <c r="F46" i="160"/>
  <c r="F47" i="160"/>
  <c r="F36" i="160"/>
  <c r="F7" i="160"/>
  <c r="F35" i="160"/>
  <c r="I38" i="160"/>
  <c r="I26" i="160"/>
  <c r="I35" i="160"/>
  <c r="I7" i="160"/>
  <c r="I8" i="160"/>
  <c r="I19" i="160"/>
  <c r="O19" i="160"/>
  <c r="Q19" i="160"/>
  <c r="I11" i="160"/>
  <c r="F11" i="160"/>
  <c r="O11" i="160"/>
  <c r="I15" i="160"/>
  <c r="F19" i="160"/>
  <c r="I14" i="160"/>
  <c r="I18" i="160"/>
  <c r="G42" i="160"/>
  <c r="F25" i="160"/>
  <c r="D24" i="160"/>
  <c r="B23" i="160"/>
  <c r="F26" i="160"/>
  <c r="F34" i="160"/>
  <c r="O34" i="160"/>
  <c r="G38" i="160"/>
  <c r="H6" i="160"/>
  <c r="H4" i="160"/>
  <c r="H7" i="160"/>
  <c r="H8" i="160"/>
  <c r="H38" i="160"/>
  <c r="G34" i="160"/>
  <c r="G40" i="160"/>
  <c r="G8" i="160"/>
  <c r="F40" i="160"/>
  <c r="Q40" i="160"/>
  <c r="G7" i="160"/>
  <c r="F8" i="160"/>
  <c r="G12" i="160"/>
  <c r="G16" i="160"/>
  <c r="O16" i="160"/>
  <c r="Q16" i="160"/>
  <c r="E41" i="160"/>
  <c r="M8" i="159"/>
  <c r="M33" i="159"/>
  <c r="F33" i="159"/>
  <c r="F36" i="159"/>
  <c r="M38" i="159"/>
  <c r="M48" i="159"/>
  <c r="M49" i="159"/>
  <c r="M37" i="159"/>
  <c r="M42" i="159"/>
  <c r="L6" i="159"/>
  <c r="F6" i="160"/>
  <c r="P46" i="160"/>
  <c r="P45" i="160"/>
  <c r="P40" i="160"/>
  <c r="P39" i="160"/>
  <c r="O39" i="160"/>
  <c r="P38" i="160"/>
  <c r="P37" i="160"/>
  <c r="P36" i="160"/>
  <c r="P35" i="160"/>
  <c r="P34" i="160"/>
  <c r="P33" i="160"/>
  <c r="P29" i="160"/>
  <c r="O29" i="160"/>
  <c r="Q29" i="160"/>
  <c r="P28" i="160"/>
  <c r="O28" i="160"/>
  <c r="Q28" i="160"/>
  <c r="P27" i="160"/>
  <c r="P26" i="160"/>
  <c r="O26" i="160"/>
  <c r="Q26" i="160"/>
  <c r="P25" i="160"/>
  <c r="B24" i="160"/>
  <c r="P21" i="160"/>
  <c r="F21" i="160"/>
  <c r="O21" i="160"/>
  <c r="Q21" i="160"/>
  <c r="P20" i="160"/>
  <c r="O20" i="160"/>
  <c r="Q20" i="160"/>
  <c r="P19" i="160"/>
  <c r="P18" i="160"/>
  <c r="O18" i="160"/>
  <c r="Q18" i="160"/>
  <c r="P17" i="160"/>
  <c r="P16" i="160"/>
  <c r="P15" i="160"/>
  <c r="F15" i="160"/>
  <c r="O15" i="160"/>
  <c r="Q15" i="160"/>
  <c r="P14" i="160"/>
  <c r="F14" i="160"/>
  <c r="O14" i="160"/>
  <c r="Q14" i="160"/>
  <c r="P13" i="160"/>
  <c r="F13" i="160"/>
  <c r="O13" i="160"/>
  <c r="Q13" i="160"/>
  <c r="P12" i="160"/>
  <c r="F12" i="160"/>
  <c r="O12" i="160"/>
  <c r="Q12" i="160"/>
  <c r="P11" i="160"/>
  <c r="P10" i="160"/>
  <c r="P9" i="160"/>
  <c r="F9" i="160"/>
  <c r="O9" i="160"/>
  <c r="P8" i="160"/>
  <c r="P7" i="160"/>
  <c r="P6" i="160"/>
  <c r="N4" i="160"/>
  <c r="I3" i="160"/>
  <c r="K3" i="160"/>
  <c r="M3" i="160"/>
  <c r="B1" i="160"/>
  <c r="A1" i="160" s="1"/>
  <c r="L35" i="159"/>
  <c r="L25" i="159"/>
  <c r="F37" i="159"/>
  <c r="G37" i="159"/>
  <c r="I37" i="159"/>
  <c r="M10" i="159"/>
  <c r="O10" i="159"/>
  <c r="Q10" i="159"/>
  <c r="M14" i="159"/>
  <c r="F25" i="159"/>
  <c r="D24" i="159"/>
  <c r="F8" i="159"/>
  <c r="G8" i="159"/>
  <c r="O8" i="159"/>
  <c r="Q8" i="159"/>
  <c r="H8" i="159"/>
  <c r="H4" i="159"/>
  <c r="F6" i="159"/>
  <c r="H6" i="159"/>
  <c r="J6" i="159"/>
  <c r="O6" i="159"/>
  <c r="Q6" i="159"/>
  <c r="F7" i="159"/>
  <c r="G7" i="159"/>
  <c r="H7" i="159"/>
  <c r="O7" i="159"/>
  <c r="Q7" i="159"/>
  <c r="J7" i="159"/>
  <c r="L7" i="159"/>
  <c r="F9" i="159"/>
  <c r="O9" i="159"/>
  <c r="Q9" i="159"/>
  <c r="F11" i="159"/>
  <c r="O11" i="159"/>
  <c r="Q11" i="159"/>
  <c r="G11" i="159"/>
  <c r="F12" i="159"/>
  <c r="O12" i="159"/>
  <c r="Q12" i="159"/>
  <c r="F13" i="159"/>
  <c r="O13" i="159"/>
  <c r="Q13" i="159"/>
  <c r="F14" i="159"/>
  <c r="O14" i="159"/>
  <c r="Q14" i="159"/>
  <c r="G14" i="159"/>
  <c r="F15" i="159"/>
  <c r="O15" i="159"/>
  <c r="Q15" i="159"/>
  <c r="G15" i="159"/>
  <c r="O16" i="159"/>
  <c r="Q16" i="159"/>
  <c r="O17" i="159"/>
  <c r="Q17" i="159"/>
  <c r="G18" i="159"/>
  <c r="O18" i="159"/>
  <c r="Q18" i="159"/>
  <c r="F19" i="159"/>
  <c r="G19" i="159"/>
  <c r="O19" i="159"/>
  <c r="Q19" i="159"/>
  <c r="G20" i="159"/>
  <c r="O20" i="159"/>
  <c r="Q20" i="159"/>
  <c r="F21" i="159"/>
  <c r="O21" i="159"/>
  <c r="Q21" i="159"/>
  <c r="J33" i="159"/>
  <c r="O33" i="159"/>
  <c r="Q33" i="159"/>
  <c r="F34" i="159"/>
  <c r="O34" i="159"/>
  <c r="Q34" i="159"/>
  <c r="F35" i="159"/>
  <c r="G35" i="159"/>
  <c r="J35" i="159"/>
  <c r="K35" i="159"/>
  <c r="H36" i="159"/>
  <c r="O39" i="159"/>
  <c r="O36" i="159"/>
  <c r="Q36" i="159"/>
  <c r="G42" i="159"/>
  <c r="I42" i="159"/>
  <c r="E25" i="159"/>
  <c r="E41" i="159"/>
  <c r="E42" i="159"/>
  <c r="F26" i="159"/>
  <c r="G38" i="159"/>
  <c r="H38" i="159"/>
  <c r="I38" i="159"/>
  <c r="J38" i="159"/>
  <c r="K38" i="159"/>
  <c r="L38" i="159"/>
  <c r="J26" i="159"/>
  <c r="G25" i="159"/>
  <c r="J25" i="159"/>
  <c r="O27" i="159"/>
  <c r="O28" i="159"/>
  <c r="Q28" i="159"/>
  <c r="O29" i="159"/>
  <c r="E57" i="159"/>
  <c r="E58" i="159"/>
  <c r="E59" i="159"/>
  <c r="E50" i="159"/>
  <c r="E53" i="159"/>
  <c r="E54" i="159"/>
  <c r="E52" i="159"/>
  <c r="G40" i="159"/>
  <c r="O40" i="159"/>
  <c r="M33" i="158"/>
  <c r="O33" i="158"/>
  <c r="Q33" i="158"/>
  <c r="M42" i="158"/>
  <c r="E42" i="158"/>
  <c r="M38" i="158"/>
  <c r="F7" i="158"/>
  <c r="P46" i="159"/>
  <c r="P45" i="159"/>
  <c r="Q40" i="159"/>
  <c r="P40" i="159"/>
  <c r="P39" i="159"/>
  <c r="P38" i="159"/>
  <c r="P37" i="159"/>
  <c r="P36" i="159"/>
  <c r="P35" i="159"/>
  <c r="P34" i="159"/>
  <c r="P33" i="159"/>
  <c r="P29" i="159"/>
  <c r="Q29" i="159"/>
  <c r="P28" i="159"/>
  <c r="P27" i="159"/>
  <c r="Q27" i="159"/>
  <c r="P26" i="159"/>
  <c r="P25" i="159"/>
  <c r="B24" i="159"/>
  <c r="P21" i="159"/>
  <c r="P20" i="159"/>
  <c r="P19" i="159"/>
  <c r="P18" i="159"/>
  <c r="P17" i="159"/>
  <c r="P16" i="159"/>
  <c r="P15" i="159"/>
  <c r="P14" i="159"/>
  <c r="P13" i="159"/>
  <c r="P12" i="159"/>
  <c r="P11" i="159"/>
  <c r="P10" i="159"/>
  <c r="P9" i="159"/>
  <c r="P8" i="159"/>
  <c r="P7" i="159"/>
  <c r="N4" i="159"/>
  <c r="P6" i="159"/>
  <c r="I3" i="159"/>
  <c r="K3" i="159"/>
  <c r="M3" i="159"/>
  <c r="B1" i="159"/>
  <c r="A1" i="159" s="1"/>
  <c r="F6" i="158"/>
  <c r="N38" i="158"/>
  <c r="S7" i="158"/>
  <c r="N7" i="158"/>
  <c r="N4" i="158"/>
  <c r="F33" i="158"/>
  <c r="L38" i="158"/>
  <c r="L6" i="158"/>
  <c r="G7" i="158"/>
  <c r="O7" i="158"/>
  <c r="H7" i="158"/>
  <c r="J7" i="158"/>
  <c r="L7" i="158"/>
  <c r="L4" i="158"/>
  <c r="Q7" i="158"/>
  <c r="L33" i="158"/>
  <c r="J38" i="158"/>
  <c r="J6" i="158"/>
  <c r="J4" i="158"/>
  <c r="K14" i="158"/>
  <c r="F13" i="158"/>
  <c r="O13" i="158"/>
  <c r="Q13" i="158"/>
  <c r="F12" i="158"/>
  <c r="O12" i="158"/>
  <c r="Q12" i="158"/>
  <c r="F14" i="158"/>
  <c r="O14" i="158"/>
  <c r="Q14" i="158"/>
  <c r="F15" i="158"/>
  <c r="P14" i="158"/>
  <c r="K37" i="158"/>
  <c r="K38" i="158"/>
  <c r="K35" i="158"/>
  <c r="K42" i="158"/>
  <c r="F35" i="158"/>
  <c r="K8" i="158"/>
  <c r="K6" i="158"/>
  <c r="O49" i="158"/>
  <c r="F36" i="158"/>
  <c r="O36" i="158"/>
  <c r="I17" i="158"/>
  <c r="O17" i="158"/>
  <c r="Q17" i="158"/>
  <c r="I38" i="158"/>
  <c r="I37" i="158"/>
  <c r="I42" i="158"/>
  <c r="O39" i="158"/>
  <c r="H6" i="158"/>
  <c r="H4" i="158"/>
  <c r="H8" i="158"/>
  <c r="H38" i="158"/>
  <c r="G38" i="158"/>
  <c r="G8" i="158"/>
  <c r="I19" i="158"/>
  <c r="I11" i="158"/>
  <c r="I15" i="158"/>
  <c r="F25" i="158"/>
  <c r="D24" i="158"/>
  <c r="B23" i="158"/>
  <c r="G37" i="158"/>
  <c r="Q40" i="158"/>
  <c r="G42" i="158"/>
  <c r="F8" i="158"/>
  <c r="E32" i="157"/>
  <c r="N32" i="157"/>
  <c r="F33" i="157"/>
  <c r="F34" i="157"/>
  <c r="M34" i="157"/>
  <c r="E35" i="157"/>
  <c r="F35" i="157"/>
  <c r="O38" i="157"/>
  <c r="O35" i="157"/>
  <c r="Q35" i="157"/>
  <c r="F36" i="157"/>
  <c r="O36" i="157"/>
  <c r="Q36" i="157"/>
  <c r="I36" i="157"/>
  <c r="K36" i="157"/>
  <c r="M36" i="157"/>
  <c r="G41" i="157"/>
  <c r="I41" i="157"/>
  <c r="K41" i="157"/>
  <c r="F6" i="157"/>
  <c r="F7" i="157"/>
  <c r="O7" i="157"/>
  <c r="Q7" i="157"/>
  <c r="F8" i="157"/>
  <c r="F9" i="157"/>
  <c r="F11" i="157"/>
  <c r="F12" i="157"/>
  <c r="D5" i="157"/>
  <c r="F13" i="157"/>
  <c r="F14" i="157"/>
  <c r="F18" i="157"/>
  <c r="O18" i="157"/>
  <c r="Q18" i="157"/>
  <c r="F20" i="157"/>
  <c r="O20" i="157"/>
  <c r="F24" i="157"/>
  <c r="D23" i="157"/>
  <c r="F25" i="157"/>
  <c r="F39" i="157"/>
  <c r="G37" i="157"/>
  <c r="H37" i="157"/>
  <c r="I37" i="157"/>
  <c r="K37" i="157"/>
  <c r="L37" i="157"/>
  <c r="M37" i="157"/>
  <c r="L39" i="157"/>
  <c r="N39" i="157"/>
  <c r="G25" i="157"/>
  <c r="O25" i="157"/>
  <c r="Q25" i="157"/>
  <c r="Q23" i="157"/>
  <c r="H6" i="157"/>
  <c r="J6" i="157"/>
  <c r="L6" i="157"/>
  <c r="L4" i="157"/>
  <c r="N6" i="157"/>
  <c r="H7" i="157"/>
  <c r="H4" i="157"/>
  <c r="J7" i="157"/>
  <c r="L7" i="157"/>
  <c r="M7" i="157"/>
  <c r="N7" i="157"/>
  <c r="G8" i="157"/>
  <c r="H8" i="157"/>
  <c r="I8" i="157"/>
  <c r="K8" i="157"/>
  <c r="O8" i="157"/>
  <c r="Q8" i="157"/>
  <c r="L8" i="157"/>
  <c r="M8" i="157"/>
  <c r="N8" i="157"/>
  <c r="O9" i="157"/>
  <c r="Q9" i="157"/>
  <c r="O10" i="157"/>
  <c r="Q10" i="157"/>
  <c r="I11" i="157"/>
  <c r="O11" i="157"/>
  <c r="Q11" i="157"/>
  <c r="I14" i="157"/>
  <c r="O14" i="157"/>
  <c r="Q14" i="157"/>
  <c r="O15" i="157"/>
  <c r="Q15" i="157"/>
  <c r="I16" i="157"/>
  <c r="O16" i="157"/>
  <c r="Q16" i="157"/>
  <c r="I17" i="157"/>
  <c r="O17" i="157"/>
  <c r="Q17" i="157"/>
  <c r="I18" i="157"/>
  <c r="O19" i="157"/>
  <c r="Q19" i="157"/>
  <c r="Q20" i="157"/>
  <c r="M24" i="157"/>
  <c r="P46" i="158"/>
  <c r="P45" i="158"/>
  <c r="P40" i="158"/>
  <c r="P39" i="158"/>
  <c r="P38" i="158"/>
  <c r="P37" i="158"/>
  <c r="F37" i="158"/>
  <c r="O37" i="158"/>
  <c r="Q37" i="158"/>
  <c r="P36" i="158"/>
  <c r="P35" i="158"/>
  <c r="O35" i="158"/>
  <c r="Q35" i="158"/>
  <c r="P34" i="158"/>
  <c r="F34" i="158"/>
  <c r="O34" i="158"/>
  <c r="Q34" i="158"/>
  <c r="P33" i="158"/>
  <c r="E41" i="158"/>
  <c r="P29" i="158"/>
  <c r="O29" i="158"/>
  <c r="Q29" i="158"/>
  <c r="P28" i="158"/>
  <c r="O28" i="158"/>
  <c r="Q28" i="158"/>
  <c r="P27" i="158"/>
  <c r="O27" i="158"/>
  <c r="Q27" i="158"/>
  <c r="Q25" i="158"/>
  <c r="P26" i="158"/>
  <c r="F26" i="158"/>
  <c r="O26" i="158"/>
  <c r="Q26" i="158"/>
  <c r="Q24" i="158"/>
  <c r="P25" i="158"/>
  <c r="B24" i="158"/>
  <c r="P21" i="158"/>
  <c r="F21" i="158"/>
  <c r="O21" i="158"/>
  <c r="Q21" i="158"/>
  <c r="P20" i="158"/>
  <c r="O20" i="158"/>
  <c r="Q20" i="158"/>
  <c r="P19" i="158"/>
  <c r="F19" i="158"/>
  <c r="O19" i="158"/>
  <c r="Q19" i="158"/>
  <c r="P18" i="158"/>
  <c r="O18" i="158"/>
  <c r="Q18" i="158"/>
  <c r="P17" i="158"/>
  <c r="P16" i="158"/>
  <c r="O16" i="158"/>
  <c r="Q16" i="158"/>
  <c r="P15" i="158"/>
  <c r="P13" i="158"/>
  <c r="P12" i="158"/>
  <c r="P11" i="158"/>
  <c r="F11" i="158"/>
  <c r="O11" i="158"/>
  <c r="Q11" i="158"/>
  <c r="P10" i="158"/>
  <c r="O10" i="158"/>
  <c r="Q10" i="158"/>
  <c r="P9" i="158"/>
  <c r="F9" i="158"/>
  <c r="O9" i="158"/>
  <c r="Q9" i="158"/>
  <c r="P8" i="158"/>
  <c r="P7" i="158"/>
  <c r="P6" i="158"/>
  <c r="I3" i="158"/>
  <c r="K3" i="158"/>
  <c r="M3" i="158"/>
  <c r="B1" i="158"/>
  <c r="A1" i="158" s="1"/>
  <c r="N4" i="157"/>
  <c r="O13" i="157"/>
  <c r="M48" i="157"/>
  <c r="L24" i="157"/>
  <c r="F24" i="156"/>
  <c r="F7" i="156"/>
  <c r="P45" i="157"/>
  <c r="P44" i="157"/>
  <c r="P39" i="157"/>
  <c r="P38" i="157"/>
  <c r="P37" i="157"/>
  <c r="P36" i="157"/>
  <c r="P35" i="157"/>
  <c r="P34" i="157"/>
  <c r="P33" i="157"/>
  <c r="P32" i="157"/>
  <c r="P28" i="157"/>
  <c r="O28" i="157"/>
  <c r="Q28" i="157"/>
  <c r="P27" i="157"/>
  <c r="O27" i="157"/>
  <c r="Q27" i="157"/>
  <c r="P26" i="157"/>
  <c r="O26" i="157"/>
  <c r="Q26" i="157"/>
  <c r="P25" i="157"/>
  <c r="P24" i="157"/>
  <c r="B23" i="157"/>
  <c r="P20" i="157"/>
  <c r="P19" i="157"/>
  <c r="P18" i="157"/>
  <c r="P17" i="157"/>
  <c r="P16" i="157"/>
  <c r="P15" i="157"/>
  <c r="P14" i="157"/>
  <c r="P13" i="157"/>
  <c r="P12" i="157"/>
  <c r="P11" i="157"/>
  <c r="P10" i="157"/>
  <c r="P9" i="157"/>
  <c r="P8" i="157"/>
  <c r="P7" i="157"/>
  <c r="P6" i="157"/>
  <c r="I3" i="157"/>
  <c r="K3" i="157"/>
  <c r="M3" i="157"/>
  <c r="B1" i="157"/>
  <c r="A1" i="157" s="1"/>
  <c r="L7" i="156"/>
  <c r="L35" i="156"/>
  <c r="F8" i="156"/>
  <c r="M38" i="156"/>
  <c r="M11" i="156"/>
  <c r="F11" i="156"/>
  <c r="F36" i="156"/>
  <c r="M42" i="156"/>
  <c r="M7" i="156"/>
  <c r="F32" i="155"/>
  <c r="O32" i="155"/>
  <c r="F37" i="155"/>
  <c r="J37" i="155"/>
  <c r="G43" i="155"/>
  <c r="O43" i="155"/>
  <c r="H43" i="155"/>
  <c r="I43" i="155"/>
  <c r="J43" i="155"/>
  <c r="M43" i="155"/>
  <c r="N43" i="155"/>
  <c r="M8" i="156"/>
  <c r="M19" i="156"/>
  <c r="O19" i="156"/>
  <c r="Q19" i="156"/>
  <c r="M37" i="156"/>
  <c r="L38" i="156"/>
  <c r="F33" i="156"/>
  <c r="O33" i="156"/>
  <c r="Q33" i="156"/>
  <c r="F6" i="156"/>
  <c r="F35" i="156"/>
  <c r="O35" i="156"/>
  <c r="Q35" i="156"/>
  <c r="L6" i="156"/>
  <c r="L4" i="156"/>
  <c r="L8" i="156"/>
  <c r="F32" i="156"/>
  <c r="K37" i="156"/>
  <c r="K7" i="156"/>
  <c r="K6" i="156"/>
  <c r="F37" i="156"/>
  <c r="F40" i="156"/>
  <c r="I42" i="156"/>
  <c r="E42" i="156"/>
  <c r="J33" i="156"/>
  <c r="J7" i="156"/>
  <c r="J6" i="156"/>
  <c r="J4" i="156"/>
  <c r="H6" i="156"/>
  <c r="J40" i="156"/>
  <c r="O40" i="156"/>
  <c r="H40" i="156"/>
  <c r="J36" i="156"/>
  <c r="H35" i="156"/>
  <c r="I37" i="156"/>
  <c r="I16" i="156"/>
  <c r="I7" i="156"/>
  <c r="I38" i="156"/>
  <c r="G11" i="156"/>
  <c r="O11" i="156"/>
  <c r="Q11" i="156"/>
  <c r="G37" i="156"/>
  <c r="G14" i="156"/>
  <c r="G18" i="156"/>
  <c r="G42" i="156"/>
  <c r="O16" i="156"/>
  <c r="Q16" i="156"/>
  <c r="O17" i="156"/>
  <c r="Q17" i="156"/>
  <c r="G33" i="156"/>
  <c r="F12" i="156"/>
  <c r="E33" i="156"/>
  <c r="G35" i="156"/>
  <c r="G106" i="74"/>
  <c r="C30" i="74"/>
  <c r="E30" i="74"/>
  <c r="N30" i="74"/>
  <c r="J30" i="74" s="1"/>
  <c r="N28" i="74"/>
  <c r="J28" i="74" s="1"/>
  <c r="H7" i="156"/>
  <c r="H8" i="156"/>
  <c r="O8" i="156"/>
  <c r="H38" i="156"/>
  <c r="G38" i="156"/>
  <c r="G7" i="156"/>
  <c r="G40" i="156"/>
  <c r="L7" i="155"/>
  <c r="M7" i="155"/>
  <c r="F20" i="155"/>
  <c r="O20" i="155"/>
  <c r="S7" i="155"/>
  <c r="F25" i="156"/>
  <c r="O25" i="156"/>
  <c r="Q25" i="156"/>
  <c r="F13" i="156"/>
  <c r="O13" i="156"/>
  <c r="E28" i="156"/>
  <c r="O28" i="156"/>
  <c r="N4" i="155"/>
  <c r="O4" i="155"/>
  <c r="O3" i="155"/>
  <c r="R5" i="155"/>
  <c r="S50" i="155"/>
  <c r="R49" i="155"/>
  <c r="F13" i="155"/>
  <c r="O13" i="155"/>
  <c r="F11" i="155"/>
  <c r="M11" i="155"/>
  <c r="O11" i="155"/>
  <c r="Q11" i="155"/>
  <c r="M24" i="155"/>
  <c r="M15" i="155"/>
  <c r="M46" i="155"/>
  <c r="L8" i="155"/>
  <c r="K7" i="155"/>
  <c r="I46" i="155"/>
  <c r="C25" i="158"/>
  <c r="O6" i="158"/>
  <c r="Q6" i="158"/>
  <c r="O40" i="158"/>
  <c r="Q24" i="157"/>
  <c r="E41" i="156"/>
  <c r="F44" i="155"/>
  <c r="O44" i="155"/>
  <c r="I42" i="155"/>
  <c r="I41" i="155"/>
  <c r="F34" i="155"/>
  <c r="O34" i="155"/>
  <c r="Q34" i="155"/>
  <c r="F36" i="155"/>
  <c r="O36" i="155"/>
  <c r="Q36" i="155"/>
  <c r="G46" i="155"/>
  <c r="E46" i="155"/>
  <c r="H44" i="155"/>
  <c r="J42" i="155"/>
  <c r="J36" i="155"/>
  <c r="J6" i="155"/>
  <c r="J8" i="155"/>
  <c r="J7" i="155"/>
  <c r="J4" i="155"/>
  <c r="H6" i="155"/>
  <c r="H42" i="155"/>
  <c r="H4" i="155"/>
  <c r="K6" i="155"/>
  <c r="O6" i="155"/>
  <c r="I36" i="155"/>
  <c r="I44" i="155"/>
  <c r="I7" i="155"/>
  <c r="G41" i="155"/>
  <c r="O41" i="155"/>
  <c r="Q41" i="155"/>
  <c r="O17" i="155"/>
  <c r="Q17" i="155"/>
  <c r="H7" i="155"/>
  <c r="G42" i="155"/>
  <c r="G7" i="155"/>
  <c r="F18" i="155"/>
  <c r="O18" i="155"/>
  <c r="P46" i="156"/>
  <c r="P45" i="156"/>
  <c r="Q40" i="156"/>
  <c r="P40" i="156"/>
  <c r="P39" i="156"/>
  <c r="O39" i="156"/>
  <c r="O36" i="156"/>
  <c r="Q36" i="156"/>
  <c r="P38" i="156"/>
  <c r="P37" i="156"/>
  <c r="O37" i="156"/>
  <c r="Q37" i="156"/>
  <c r="P36" i="156"/>
  <c r="P35" i="156"/>
  <c r="P34" i="156"/>
  <c r="F34" i="156"/>
  <c r="O34" i="156"/>
  <c r="Q34" i="156"/>
  <c r="P33" i="156"/>
  <c r="P32" i="156"/>
  <c r="P28" i="156"/>
  <c r="Q28" i="156"/>
  <c r="P27" i="156"/>
  <c r="O27" i="156"/>
  <c r="Q27" i="156"/>
  <c r="P26" i="156"/>
  <c r="O26" i="156"/>
  <c r="Q26" i="156"/>
  <c r="P25" i="156"/>
  <c r="P24" i="156"/>
  <c r="B23" i="156"/>
  <c r="P20" i="156"/>
  <c r="F20" i="156"/>
  <c r="P19" i="156"/>
  <c r="P18" i="156"/>
  <c r="F18" i="156"/>
  <c r="P17" i="156"/>
  <c r="P16" i="156"/>
  <c r="P15" i="156"/>
  <c r="O15" i="156"/>
  <c r="Q15" i="156"/>
  <c r="P14" i="156"/>
  <c r="F14" i="156"/>
  <c r="O14" i="156"/>
  <c r="Q14" i="156"/>
  <c r="P13" i="156"/>
  <c r="P12" i="156"/>
  <c r="O12" i="156"/>
  <c r="P11" i="156"/>
  <c r="P10" i="156"/>
  <c r="O10" i="156"/>
  <c r="Q10" i="156"/>
  <c r="P9" i="156"/>
  <c r="F9" i="156"/>
  <c r="O9" i="156"/>
  <c r="Q9" i="156"/>
  <c r="P8" i="156"/>
  <c r="Q8" i="156"/>
  <c r="P7" i="156"/>
  <c r="P6" i="156"/>
  <c r="N4" i="156"/>
  <c r="I3" i="156"/>
  <c r="K3" i="156"/>
  <c r="M3" i="156"/>
  <c r="B1" i="156"/>
  <c r="A1" i="156" s="1"/>
  <c r="E42" i="155"/>
  <c r="E45" i="155"/>
  <c r="O53" i="153"/>
  <c r="M42" i="153"/>
  <c r="M50" i="153"/>
  <c r="M15" i="153"/>
  <c r="M11" i="153"/>
  <c r="O20" i="156"/>
  <c r="Q20" i="156"/>
  <c r="O32" i="156"/>
  <c r="H4" i="156"/>
  <c r="Q32" i="156"/>
  <c r="F33" i="155"/>
  <c r="O33" i="155"/>
  <c r="Q33" i="155"/>
  <c r="F35" i="155"/>
  <c r="O35" i="155"/>
  <c r="Q35" i="155"/>
  <c r="P50" i="155"/>
  <c r="P49" i="155"/>
  <c r="Q44" i="155"/>
  <c r="P44" i="155"/>
  <c r="P43" i="155"/>
  <c r="P42" i="155"/>
  <c r="P41" i="155"/>
  <c r="F41" i="155"/>
  <c r="P40" i="155"/>
  <c r="O40" i="155"/>
  <c r="Q40" i="155"/>
  <c r="P39" i="155"/>
  <c r="O39" i="155"/>
  <c r="Q39" i="155"/>
  <c r="P38" i="155"/>
  <c r="O38" i="155"/>
  <c r="Q38" i="155"/>
  <c r="P37" i="155"/>
  <c r="P36" i="155"/>
  <c r="P35" i="155"/>
  <c r="P34" i="155"/>
  <c r="P33" i="155"/>
  <c r="P32" i="155"/>
  <c r="P28" i="155"/>
  <c r="O28" i="155"/>
  <c r="Q28" i="155"/>
  <c r="P27" i="155"/>
  <c r="O27" i="155"/>
  <c r="Q27" i="155"/>
  <c r="P26" i="155"/>
  <c r="O26" i="155"/>
  <c r="Q26" i="155"/>
  <c r="P25" i="155"/>
  <c r="O25" i="155"/>
  <c r="Q25" i="155"/>
  <c r="P24" i="155"/>
  <c r="D23" i="155"/>
  <c r="B23" i="155"/>
  <c r="P20" i="155"/>
  <c r="Q20" i="155"/>
  <c r="P19" i="155"/>
  <c r="O19" i="155"/>
  <c r="Q19" i="155"/>
  <c r="P18" i="155"/>
  <c r="Q18" i="155"/>
  <c r="P17" i="155"/>
  <c r="P16" i="155"/>
  <c r="O16" i="155"/>
  <c r="Q16" i="155"/>
  <c r="P15" i="155"/>
  <c r="O15" i="155"/>
  <c r="Q15" i="155"/>
  <c r="P14" i="155"/>
  <c r="F14" i="155"/>
  <c r="O14" i="155"/>
  <c r="Q14" i="155"/>
  <c r="P13" i="155"/>
  <c r="P12" i="155"/>
  <c r="F12" i="155"/>
  <c r="O12" i="155"/>
  <c r="P11" i="155"/>
  <c r="P10" i="155"/>
  <c r="O10" i="155"/>
  <c r="Q10" i="155"/>
  <c r="P9" i="155"/>
  <c r="F9" i="155"/>
  <c r="O9" i="155"/>
  <c r="Q9" i="155"/>
  <c r="P8" i="155"/>
  <c r="F8" i="155"/>
  <c r="O8" i="155"/>
  <c r="Q8" i="155"/>
  <c r="P7" i="155"/>
  <c r="P6" i="155"/>
  <c r="L4" i="155"/>
  <c r="I3" i="155"/>
  <c r="K3" i="155"/>
  <c r="M3" i="155"/>
  <c r="B1" i="155"/>
  <c r="A1" i="155" s="1"/>
  <c r="M24" i="153"/>
  <c r="F37" i="153"/>
  <c r="E37" i="153"/>
  <c r="G37" i="153"/>
  <c r="G43" i="153"/>
  <c r="H43" i="153"/>
  <c r="I43" i="153"/>
  <c r="J43" i="153"/>
  <c r="N7" i="153"/>
  <c r="N4" i="153"/>
  <c r="F35" i="153"/>
  <c r="F33" i="153"/>
  <c r="M7" i="153"/>
  <c r="F13" i="153"/>
  <c r="M13" i="153"/>
  <c r="K41" i="153"/>
  <c r="L7" i="153"/>
  <c r="G54" i="153"/>
  <c r="F7" i="153"/>
  <c r="F6" i="153"/>
  <c r="N22" i="74"/>
  <c r="J22" i="74" s="1"/>
  <c r="E22" i="74"/>
  <c r="G52" i="153"/>
  <c r="G53" i="153"/>
  <c r="H53" i="153"/>
  <c r="K42" i="153"/>
  <c r="I36" i="153"/>
  <c r="O36" i="153"/>
  <c r="Q36" i="153"/>
  <c r="L42" i="153"/>
  <c r="L4" i="153"/>
  <c r="L36" i="153"/>
  <c r="L6" i="153"/>
  <c r="J7" i="153"/>
  <c r="J42" i="153"/>
  <c r="J8" i="153"/>
  <c r="J33" i="153"/>
  <c r="O33" i="153"/>
  <c r="J6" i="153"/>
  <c r="H6" i="153"/>
  <c r="I41" i="153"/>
  <c r="I11" i="153"/>
  <c r="O11" i="153"/>
  <c r="Q11" i="153"/>
  <c r="I18" i="153"/>
  <c r="O18" i="153"/>
  <c r="Q18" i="153"/>
  <c r="I17" i="153"/>
  <c r="G41" i="153"/>
  <c r="G46" i="153"/>
  <c r="G42" i="153"/>
  <c r="G25" i="153"/>
  <c r="J27" i="151"/>
  <c r="I28" i="151"/>
  <c r="I29" i="151"/>
  <c r="I30" i="151"/>
  <c r="I31" i="151"/>
  <c r="I32" i="151"/>
  <c r="I33" i="151"/>
  <c r="I34" i="151"/>
  <c r="I35" i="151"/>
  <c r="I36" i="151"/>
  <c r="I37" i="151"/>
  <c r="I38" i="151"/>
  <c r="G27" i="153"/>
  <c r="O27" i="153"/>
  <c r="H7" i="153"/>
  <c r="E42" i="153"/>
  <c r="G15" i="153"/>
  <c r="M36" i="150"/>
  <c r="N42" i="150"/>
  <c r="O42" i="150"/>
  <c r="N7" i="150"/>
  <c r="F7" i="150"/>
  <c r="F8" i="150"/>
  <c r="O8" i="150"/>
  <c r="N8" i="150"/>
  <c r="N43" i="150"/>
  <c r="O34" i="153"/>
  <c r="Q34" i="153"/>
  <c r="P34" i="153"/>
  <c r="O7" i="153"/>
  <c r="Q7" i="153"/>
  <c r="P50" i="153"/>
  <c r="P49" i="153"/>
  <c r="P44" i="153"/>
  <c r="O44" i="153"/>
  <c r="Q44" i="153"/>
  <c r="P43" i="153"/>
  <c r="P42" i="153"/>
  <c r="P41" i="153"/>
  <c r="F41" i="153"/>
  <c r="P40" i="153"/>
  <c r="O40" i="153"/>
  <c r="Q40" i="153"/>
  <c r="P39" i="153"/>
  <c r="O39" i="153"/>
  <c r="Q39" i="153"/>
  <c r="P38" i="153"/>
  <c r="O38" i="153"/>
  <c r="Q38" i="153"/>
  <c r="P37" i="153"/>
  <c r="P36" i="153"/>
  <c r="P35" i="153"/>
  <c r="O35" i="153"/>
  <c r="Q35" i="153"/>
  <c r="P33" i="153"/>
  <c r="H4" i="153"/>
  <c r="P32" i="153"/>
  <c r="O32" i="153"/>
  <c r="Q32" i="153"/>
  <c r="P28" i="153"/>
  <c r="O28" i="153"/>
  <c r="Q28" i="153"/>
  <c r="P27" i="153"/>
  <c r="P26" i="153"/>
  <c r="O26" i="153"/>
  <c r="Q26" i="153"/>
  <c r="P25" i="153"/>
  <c r="O25" i="153"/>
  <c r="Q25" i="153"/>
  <c r="Q23" i="153"/>
  <c r="P24" i="153"/>
  <c r="D23" i="153"/>
  <c r="B23" i="153"/>
  <c r="P20" i="153"/>
  <c r="F20" i="153"/>
  <c r="O20" i="153"/>
  <c r="Q20" i="153"/>
  <c r="P19" i="153"/>
  <c r="O19" i="153"/>
  <c r="Q19" i="153"/>
  <c r="P18" i="153"/>
  <c r="F18" i="153"/>
  <c r="P17" i="153"/>
  <c r="O17" i="153"/>
  <c r="Q17" i="153"/>
  <c r="P16" i="153"/>
  <c r="O16" i="153"/>
  <c r="Q16" i="153"/>
  <c r="P15" i="153"/>
  <c r="P14" i="153"/>
  <c r="F14" i="153"/>
  <c r="P13" i="153"/>
  <c r="P12" i="153"/>
  <c r="F12" i="153"/>
  <c r="O12" i="153"/>
  <c r="P11" i="153"/>
  <c r="F11" i="153"/>
  <c r="P10" i="153"/>
  <c r="O10" i="153"/>
  <c r="Q10" i="153"/>
  <c r="P9" i="153"/>
  <c r="F9" i="153"/>
  <c r="O9" i="153"/>
  <c r="Q9" i="153"/>
  <c r="P8" i="153"/>
  <c r="F8" i="153"/>
  <c r="O8" i="153"/>
  <c r="Q8" i="153"/>
  <c r="P7" i="153"/>
  <c r="P6" i="153"/>
  <c r="O6" i="153"/>
  <c r="I3" i="153"/>
  <c r="K3" i="153"/>
  <c r="M3" i="153"/>
  <c r="B1" i="153"/>
  <c r="A1" i="153" s="1"/>
  <c r="L54" i="150"/>
  <c r="K33" i="150"/>
  <c r="K41" i="150"/>
  <c r="F36" i="150"/>
  <c r="N33" i="150"/>
  <c r="N4" i="150"/>
  <c r="M33" i="150"/>
  <c r="N35" i="150"/>
  <c r="M7" i="150"/>
  <c r="M42" i="150"/>
  <c r="M11" i="150"/>
  <c r="M32" i="150"/>
  <c r="M41" i="150"/>
  <c r="M12" i="150"/>
  <c r="F6" i="150"/>
  <c r="I14" i="153"/>
  <c r="O14" i="153"/>
  <c r="Q14" i="153"/>
  <c r="Q27" i="153"/>
  <c r="B22" i="153"/>
  <c r="L33" i="150"/>
  <c r="K45" i="150"/>
  <c r="K7" i="150"/>
  <c r="F43" i="150"/>
  <c r="F33" i="150"/>
  <c r="L7" i="150"/>
  <c r="A68" i="151"/>
  <c r="I2" i="151"/>
  <c r="F4" i="151"/>
  <c r="F5" i="151"/>
  <c r="F6" i="151"/>
  <c r="F7" i="151"/>
  <c r="F8" i="151"/>
  <c r="F9" i="151"/>
  <c r="F10" i="151"/>
  <c r="F11" i="151"/>
  <c r="F12" i="151"/>
  <c r="F13" i="151"/>
  <c r="F14" i="151"/>
  <c r="F15" i="151"/>
  <c r="F16" i="151"/>
  <c r="F17" i="151"/>
  <c r="F18" i="151"/>
  <c r="F19" i="151"/>
  <c r="F20" i="151"/>
  <c r="F21" i="151"/>
  <c r="F22" i="151"/>
  <c r="F23" i="151"/>
  <c r="F24" i="151"/>
  <c r="F25" i="151"/>
  <c r="F26" i="151"/>
  <c r="F27" i="151"/>
  <c r="F28" i="151"/>
  <c r="F29" i="151"/>
  <c r="F30" i="151"/>
  <c r="F31" i="151"/>
  <c r="F32" i="151"/>
  <c r="F33" i="151"/>
  <c r="F34" i="151"/>
  <c r="F35" i="151"/>
  <c r="F36" i="151"/>
  <c r="F37" i="151"/>
  <c r="F38" i="151"/>
  <c r="F39" i="151"/>
  <c r="F40" i="151"/>
  <c r="F41" i="151"/>
  <c r="F42" i="151"/>
  <c r="F43" i="151"/>
  <c r="F44" i="151"/>
  <c r="F45" i="151"/>
  <c r="F46" i="151"/>
  <c r="F47" i="151"/>
  <c r="F48" i="151"/>
  <c r="F49" i="151"/>
  <c r="F50" i="151"/>
  <c r="F51" i="151"/>
  <c r="F52" i="151"/>
  <c r="F53" i="151"/>
  <c r="F54" i="151"/>
  <c r="F55" i="151"/>
  <c r="F56" i="151"/>
  <c r="F57" i="151"/>
  <c r="F58" i="151"/>
  <c r="F59" i="151"/>
  <c r="F60" i="151"/>
  <c r="F61" i="151"/>
  <c r="F62" i="151"/>
  <c r="F63" i="151"/>
  <c r="L41" i="150"/>
  <c r="J41" i="150"/>
  <c r="K40" i="150"/>
  <c r="I7" i="150"/>
  <c r="O7" i="150"/>
  <c r="Q7" i="150"/>
  <c r="I33" i="150"/>
  <c r="I40" i="150"/>
  <c r="I18" i="150"/>
  <c r="F18" i="150"/>
  <c r="O18" i="150"/>
  <c r="J7" i="150"/>
  <c r="J8" i="150"/>
  <c r="J33" i="150"/>
  <c r="H43" i="150"/>
  <c r="H6" i="150"/>
  <c r="H33" i="150"/>
  <c r="G7" i="150"/>
  <c r="H7" i="150"/>
  <c r="G45" i="150"/>
  <c r="G40" i="150"/>
  <c r="G35" i="150"/>
  <c r="F35" i="150"/>
  <c r="F40" i="150"/>
  <c r="H41" i="150"/>
  <c r="E41" i="150"/>
  <c r="P33" i="150"/>
  <c r="P34" i="150"/>
  <c r="O34" i="150"/>
  <c r="Q34" i="150"/>
  <c r="G41" i="150"/>
  <c r="E36" i="150"/>
  <c r="N34" i="149"/>
  <c r="N4" i="149"/>
  <c r="N35" i="149"/>
  <c r="N7" i="149"/>
  <c r="N42" i="149"/>
  <c r="M42" i="149"/>
  <c r="O42" i="149"/>
  <c r="M34" i="149"/>
  <c r="M41" i="149"/>
  <c r="M7" i="149"/>
  <c r="M11" i="149"/>
  <c r="M6" i="149"/>
  <c r="F36" i="149"/>
  <c r="E44" i="150"/>
  <c r="E45" i="150"/>
  <c r="I183" i="74"/>
  <c r="I182" i="74"/>
  <c r="I181" i="74"/>
  <c r="F35" i="149"/>
  <c r="I110" i="74"/>
  <c r="I168" i="74"/>
  <c r="I170" i="74"/>
  <c r="M35" i="149"/>
  <c r="I144" i="74"/>
  <c r="I152" i="74"/>
  <c r="I149" i="74"/>
  <c r="F33" i="149"/>
  <c r="O33" i="149"/>
  <c r="Q33" i="149"/>
  <c r="L33" i="149"/>
  <c r="L4" i="149"/>
  <c r="P33" i="149"/>
  <c r="F32" i="149"/>
  <c r="O32" i="149"/>
  <c r="Q32" i="149"/>
  <c r="N36" i="149"/>
  <c r="L36" i="149"/>
  <c r="L35" i="149"/>
  <c r="L42" i="149"/>
  <c r="J7" i="149"/>
  <c r="K45" i="149"/>
  <c r="K7" i="149"/>
  <c r="F34" i="149"/>
  <c r="O34" i="149"/>
  <c r="Q34" i="149"/>
  <c r="I40" i="149"/>
  <c r="I41" i="149"/>
  <c r="P34" i="149"/>
  <c r="J42" i="149"/>
  <c r="I145" i="74"/>
  <c r="I146" i="74"/>
  <c r="I166" i="74"/>
  <c r="I164" i="74"/>
  <c r="I165" i="74"/>
  <c r="I158" i="74"/>
  <c r="I128" i="74"/>
  <c r="I129" i="74"/>
  <c r="I160" i="74"/>
  <c r="I161" i="74"/>
  <c r="I162" i="74"/>
  <c r="I163" i="74"/>
  <c r="I159" i="74"/>
  <c r="I139" i="74"/>
  <c r="I151" i="74"/>
  <c r="I111" i="74"/>
  <c r="I112" i="74"/>
  <c r="I115" i="74"/>
  <c r="I117" i="74"/>
  <c r="I121" i="74"/>
  <c r="I123" i="74"/>
  <c r="I131" i="74"/>
  <c r="I118" i="74"/>
  <c r="I167" i="74"/>
  <c r="I178" i="74"/>
  <c r="I179" i="74"/>
  <c r="I180" i="74"/>
  <c r="I133" i="74"/>
  <c r="I171" i="74"/>
  <c r="I142" i="74"/>
  <c r="J41" i="149"/>
  <c r="H42" i="149"/>
  <c r="J35" i="149"/>
  <c r="H35" i="149"/>
  <c r="H41" i="149"/>
  <c r="I45" i="149"/>
  <c r="I42" i="149"/>
  <c r="I7" i="149"/>
  <c r="O7" i="149"/>
  <c r="Q7" i="149"/>
  <c r="G40" i="149"/>
  <c r="F40" i="149"/>
  <c r="O40" i="149"/>
  <c r="Q40" i="149"/>
  <c r="G32" i="149"/>
  <c r="G14" i="149"/>
  <c r="G20" i="149"/>
  <c r="G18" i="149"/>
  <c r="O18" i="149"/>
  <c r="Q18" i="149"/>
  <c r="F18" i="149"/>
  <c r="G45" i="149"/>
  <c r="G41" i="149"/>
  <c r="H7" i="149"/>
  <c r="H4" i="149"/>
  <c r="H8" i="149"/>
  <c r="G43" i="149"/>
  <c r="G36" i="149"/>
  <c r="G7" i="149"/>
  <c r="E36" i="149"/>
  <c r="F43" i="149"/>
  <c r="N34" i="148"/>
  <c r="A102" i="74"/>
  <c r="F50" i="148"/>
  <c r="H50" i="148"/>
  <c r="G50" i="148"/>
  <c r="G49" i="148"/>
  <c r="F49" i="148"/>
  <c r="F34" i="148"/>
  <c r="F24" i="148"/>
  <c r="F25" i="148"/>
  <c r="O25" i="148"/>
  <c r="Q25" i="148"/>
  <c r="F11" i="148"/>
  <c r="F8" i="148"/>
  <c r="F7" i="148"/>
  <c r="F6" i="148"/>
  <c r="N7" i="148"/>
  <c r="O40" i="150"/>
  <c r="Q40" i="150"/>
  <c r="P49" i="150"/>
  <c r="P48" i="150"/>
  <c r="P43" i="150"/>
  <c r="P42" i="150"/>
  <c r="P41" i="150"/>
  <c r="P40" i="150"/>
  <c r="P39" i="150"/>
  <c r="O39" i="150"/>
  <c r="Q39" i="150"/>
  <c r="P38" i="150"/>
  <c r="O38" i="150"/>
  <c r="Q38" i="150"/>
  <c r="P37" i="150"/>
  <c r="O37" i="150"/>
  <c r="Q37" i="150"/>
  <c r="P36" i="150"/>
  <c r="P35" i="150"/>
  <c r="O35" i="150"/>
  <c r="Q35" i="150"/>
  <c r="P32" i="150"/>
  <c r="P28" i="150"/>
  <c r="O28" i="150"/>
  <c r="Q28" i="150"/>
  <c r="P27" i="150"/>
  <c r="O27" i="150"/>
  <c r="Q27" i="150"/>
  <c r="P26" i="150"/>
  <c r="O26" i="150"/>
  <c r="Q26" i="150"/>
  <c r="P25" i="150"/>
  <c r="O25" i="150"/>
  <c r="Q25" i="150"/>
  <c r="Q23" i="150"/>
  <c r="P24" i="150"/>
  <c r="D23" i="150"/>
  <c r="B22" i="150"/>
  <c r="B23" i="150"/>
  <c r="P20" i="150"/>
  <c r="F20" i="150"/>
  <c r="O20" i="150"/>
  <c r="Q20" i="150"/>
  <c r="P19" i="150"/>
  <c r="O19" i="150"/>
  <c r="Q19" i="150"/>
  <c r="P18" i="150"/>
  <c r="Q18" i="150"/>
  <c r="P17" i="150"/>
  <c r="O17" i="150"/>
  <c r="Q17" i="150"/>
  <c r="P16" i="150"/>
  <c r="O16" i="150"/>
  <c r="Q16" i="150"/>
  <c r="P15" i="150"/>
  <c r="O15" i="150"/>
  <c r="Q15" i="150"/>
  <c r="P14" i="150"/>
  <c r="F14" i="150"/>
  <c r="O14" i="150"/>
  <c r="Q14" i="150"/>
  <c r="P13" i="150"/>
  <c r="F13" i="150"/>
  <c r="O13" i="150"/>
  <c r="P12" i="150"/>
  <c r="F12" i="150"/>
  <c r="O12" i="150"/>
  <c r="P11" i="150"/>
  <c r="F11" i="150"/>
  <c r="P10" i="150"/>
  <c r="O10" i="150"/>
  <c r="Q10" i="150"/>
  <c r="P9" i="150"/>
  <c r="F9" i="150"/>
  <c r="O9" i="150"/>
  <c r="Q9" i="150"/>
  <c r="P8" i="150"/>
  <c r="P7" i="150"/>
  <c r="P6" i="150"/>
  <c r="O6" i="150"/>
  <c r="Q6" i="150"/>
  <c r="L4" i="150"/>
  <c r="J4" i="150"/>
  <c r="I3" i="150"/>
  <c r="K3" i="150"/>
  <c r="M3" i="150"/>
  <c r="B1" i="150"/>
  <c r="A1" i="150" s="1"/>
  <c r="F15" i="148"/>
  <c r="F13" i="148"/>
  <c r="O13" i="148"/>
  <c r="N40" i="148"/>
  <c r="N39" i="148"/>
  <c r="L7" i="148"/>
  <c r="L4" i="148"/>
  <c r="M11" i="148"/>
  <c r="F18" i="148"/>
  <c r="O18" i="148"/>
  <c r="Q18" i="148"/>
  <c r="M7" i="148"/>
  <c r="O32" i="150"/>
  <c r="L40" i="148"/>
  <c r="K7" i="148"/>
  <c r="H7" i="148"/>
  <c r="J7" i="148"/>
  <c r="K6" i="148"/>
  <c r="K40" i="148"/>
  <c r="I40" i="148"/>
  <c r="Q32" i="150"/>
  <c r="P49" i="149"/>
  <c r="P48" i="149"/>
  <c r="Q43" i="149"/>
  <c r="P43" i="149"/>
  <c r="O43" i="149"/>
  <c r="P42" i="149"/>
  <c r="P41" i="149"/>
  <c r="P40" i="149"/>
  <c r="P39" i="149"/>
  <c r="O39" i="149"/>
  <c r="Q39" i="149"/>
  <c r="P38" i="149"/>
  <c r="O38" i="149"/>
  <c r="Q38" i="149"/>
  <c r="P37" i="149"/>
  <c r="O37" i="149"/>
  <c r="Q37" i="149"/>
  <c r="P36" i="149"/>
  <c r="P35" i="149"/>
  <c r="P32" i="149"/>
  <c r="P28" i="149"/>
  <c r="O28" i="149"/>
  <c r="Q28" i="149"/>
  <c r="P27" i="149"/>
  <c r="O27" i="149"/>
  <c r="Q27" i="149"/>
  <c r="P26" i="149"/>
  <c r="O26" i="149"/>
  <c r="Q26" i="149"/>
  <c r="P25" i="149"/>
  <c r="O25" i="149"/>
  <c r="Q25" i="149"/>
  <c r="P24" i="149"/>
  <c r="D23" i="149"/>
  <c r="B23" i="149"/>
  <c r="P20" i="149"/>
  <c r="F20" i="149"/>
  <c r="O20" i="149"/>
  <c r="Q20" i="149"/>
  <c r="P19" i="149"/>
  <c r="O19" i="149"/>
  <c r="Q19" i="149"/>
  <c r="P18" i="149"/>
  <c r="P17" i="149"/>
  <c r="O17" i="149"/>
  <c r="Q17" i="149"/>
  <c r="P16" i="149"/>
  <c r="O16" i="149"/>
  <c r="Q16" i="149"/>
  <c r="P15" i="149"/>
  <c r="O15" i="149"/>
  <c r="Q15" i="149"/>
  <c r="P14" i="149"/>
  <c r="F14" i="149"/>
  <c r="O14" i="149"/>
  <c r="Q14" i="149"/>
  <c r="P13" i="149"/>
  <c r="F13" i="149"/>
  <c r="O13" i="149"/>
  <c r="P12" i="149"/>
  <c r="F12" i="149"/>
  <c r="O12" i="149"/>
  <c r="P11" i="149"/>
  <c r="F11" i="149"/>
  <c r="O11" i="149"/>
  <c r="Q11" i="149"/>
  <c r="P10" i="149"/>
  <c r="O10" i="149"/>
  <c r="Q10" i="149"/>
  <c r="P9" i="149"/>
  <c r="F9" i="149"/>
  <c r="O9" i="149"/>
  <c r="Q9" i="149"/>
  <c r="P8" i="149"/>
  <c r="O8" i="149"/>
  <c r="Q8" i="149"/>
  <c r="P7" i="149"/>
  <c r="P6" i="149"/>
  <c r="O6" i="149"/>
  <c r="Q6" i="149"/>
  <c r="I3" i="149"/>
  <c r="K3" i="149"/>
  <c r="M3" i="149"/>
  <c r="B1" i="149"/>
  <c r="A1" i="149" s="1"/>
  <c r="D5" i="149"/>
  <c r="I38" i="148"/>
  <c r="F38" i="148"/>
  <c r="O38" i="148"/>
  <c r="Q38" i="148"/>
  <c r="J8" i="148"/>
  <c r="J40" i="148"/>
  <c r="J32" i="148"/>
  <c r="G43" i="148"/>
  <c r="F9" i="148"/>
  <c r="O9" i="148"/>
  <c r="Q9" i="148"/>
  <c r="F12" i="148"/>
  <c r="F14" i="148"/>
  <c r="F20" i="148"/>
  <c r="O20" i="148"/>
  <c r="Q20" i="148"/>
  <c r="D5" i="148"/>
  <c r="B4" i="148"/>
  <c r="G39" i="148"/>
  <c r="H39" i="148"/>
  <c r="H6" i="148"/>
  <c r="H8" i="148"/>
  <c r="O8" i="148"/>
  <c r="Q8" i="148"/>
  <c r="M11" i="147"/>
  <c r="E34" i="148"/>
  <c r="O34" i="148"/>
  <c r="Q34" i="148"/>
  <c r="P47" i="148"/>
  <c r="P46" i="148"/>
  <c r="Q41" i="148"/>
  <c r="P41" i="148"/>
  <c r="O41" i="148"/>
  <c r="P40" i="148"/>
  <c r="P39" i="148"/>
  <c r="P38" i="148"/>
  <c r="P37" i="148"/>
  <c r="O37" i="148"/>
  <c r="Q37" i="148"/>
  <c r="P36" i="148"/>
  <c r="O36" i="148"/>
  <c r="Q36" i="148"/>
  <c r="P35" i="148"/>
  <c r="O35" i="148"/>
  <c r="Q35" i="148"/>
  <c r="P34" i="148"/>
  <c r="P33" i="148"/>
  <c r="O33" i="148"/>
  <c r="R50" i="148"/>
  <c r="P32" i="148"/>
  <c r="P28" i="148"/>
  <c r="O28" i="148"/>
  <c r="Q28" i="148"/>
  <c r="P27" i="148"/>
  <c r="O27" i="148"/>
  <c r="Q27" i="148"/>
  <c r="P26" i="148"/>
  <c r="O26" i="148"/>
  <c r="Q26" i="148"/>
  <c r="P25" i="148"/>
  <c r="P24" i="148"/>
  <c r="B23" i="148"/>
  <c r="P20" i="148"/>
  <c r="P19" i="148"/>
  <c r="O19" i="148"/>
  <c r="Q19" i="148"/>
  <c r="P18" i="148"/>
  <c r="P17" i="148"/>
  <c r="O17" i="148"/>
  <c r="Q17" i="148"/>
  <c r="P16" i="148"/>
  <c r="O16" i="148"/>
  <c r="Q16" i="148"/>
  <c r="P15" i="148"/>
  <c r="O15" i="148"/>
  <c r="Q15" i="148"/>
  <c r="P14" i="148"/>
  <c r="O14" i="148"/>
  <c r="Q14" i="148"/>
  <c r="P13" i="148"/>
  <c r="P12" i="148"/>
  <c r="O12" i="148"/>
  <c r="P11" i="148"/>
  <c r="O11" i="148"/>
  <c r="Q11" i="148"/>
  <c r="P10" i="148"/>
  <c r="O10" i="148"/>
  <c r="Q10" i="148"/>
  <c r="P9" i="148"/>
  <c r="P8" i="148"/>
  <c r="P7" i="148"/>
  <c r="P6" i="148"/>
  <c r="I3" i="148"/>
  <c r="K3" i="148"/>
  <c r="M3" i="148"/>
  <c r="B1" i="148"/>
  <c r="A1" i="148" s="1"/>
  <c r="O4" i="148"/>
  <c r="O3" i="148"/>
  <c r="F33" i="147"/>
  <c r="F11" i="147"/>
  <c r="O11" i="147"/>
  <c r="Q11" i="147"/>
  <c r="F6" i="147"/>
  <c r="F8" i="147"/>
  <c r="F9" i="147"/>
  <c r="F12" i="147"/>
  <c r="F13" i="147"/>
  <c r="F14" i="147"/>
  <c r="F18" i="147"/>
  <c r="F20" i="147"/>
  <c r="N7" i="147"/>
  <c r="N4" i="147"/>
  <c r="F34" i="147"/>
  <c r="O34" i="147"/>
  <c r="Q34" i="147"/>
  <c r="G40" i="147"/>
  <c r="M43" i="147"/>
  <c r="M39" i="147"/>
  <c r="L7" i="147"/>
  <c r="I25" i="147"/>
  <c r="O25" i="147"/>
  <c r="Q25" i="147"/>
  <c r="K39" i="147"/>
  <c r="L39" i="147"/>
  <c r="O36" i="147"/>
  <c r="Q36" i="147"/>
  <c r="L33" i="147"/>
  <c r="J33" i="147"/>
  <c r="U80" i="74"/>
  <c r="U79" i="74"/>
  <c r="U89" i="74"/>
  <c r="U88" i="74"/>
  <c r="N83" i="74"/>
  <c r="J83" i="74" s="1"/>
  <c r="J7" i="147"/>
  <c r="K7" i="147"/>
  <c r="K6" i="147"/>
  <c r="H6" i="147"/>
  <c r="H4" i="147"/>
  <c r="I6" i="147"/>
  <c r="N58" i="74"/>
  <c r="J58" i="74" s="1"/>
  <c r="E58" i="74"/>
  <c r="N59" i="74"/>
  <c r="J59" i="74" s="1"/>
  <c r="E59" i="74"/>
  <c r="C59" i="74"/>
  <c r="N81" i="74"/>
  <c r="J81" i="74" s="1"/>
  <c r="R47" i="74"/>
  <c r="G7" i="147"/>
  <c r="H7" i="147"/>
  <c r="I7" i="147"/>
  <c r="I38" i="147"/>
  <c r="I39" i="147"/>
  <c r="J39" i="147"/>
  <c r="J8" i="147"/>
  <c r="O8" i="147"/>
  <c r="Q8" i="147"/>
  <c r="H33" i="147"/>
  <c r="H39" i="147"/>
  <c r="I16" i="147"/>
  <c r="O16" i="147"/>
  <c r="Q16" i="147"/>
  <c r="F41" i="147"/>
  <c r="Q41" i="147"/>
  <c r="I43" i="147"/>
  <c r="I18" i="147"/>
  <c r="I17" i="147"/>
  <c r="O17" i="147"/>
  <c r="Q17" i="147"/>
  <c r="G43" i="147"/>
  <c r="G38" i="147"/>
  <c r="O37" i="147"/>
  <c r="P40" i="147"/>
  <c r="G18" i="147"/>
  <c r="G39" i="147"/>
  <c r="F38" i="147"/>
  <c r="O38" i="147"/>
  <c r="Q38" i="147"/>
  <c r="P6" i="147"/>
  <c r="P7" i="147"/>
  <c r="P8" i="147"/>
  <c r="O9" i="147"/>
  <c r="Q9" i="147"/>
  <c r="P9" i="147"/>
  <c r="O10" i="147"/>
  <c r="Q10" i="147"/>
  <c r="P10" i="147"/>
  <c r="P11" i="147"/>
  <c r="O12" i="147"/>
  <c r="P12" i="147"/>
  <c r="O13" i="147"/>
  <c r="P13" i="147"/>
  <c r="O14" i="147"/>
  <c r="Q14" i="147"/>
  <c r="P14" i="147"/>
  <c r="O15" i="147"/>
  <c r="Q15" i="147"/>
  <c r="P15" i="147"/>
  <c r="P16" i="147"/>
  <c r="P17" i="147"/>
  <c r="O18" i="147"/>
  <c r="Q18" i="147"/>
  <c r="P18" i="147"/>
  <c r="O19" i="147"/>
  <c r="Q19" i="147"/>
  <c r="P19" i="147"/>
  <c r="O20" i="147"/>
  <c r="Q20" i="147"/>
  <c r="P20" i="147"/>
  <c r="N25" i="144"/>
  <c r="O25" i="144"/>
  <c r="M39" i="144"/>
  <c r="F7" i="144"/>
  <c r="E7" i="144"/>
  <c r="G7" i="144"/>
  <c r="J7" i="144"/>
  <c r="L7" i="144"/>
  <c r="M7" i="144"/>
  <c r="N7" i="144"/>
  <c r="N4" i="144"/>
  <c r="M34" i="144"/>
  <c r="F18" i="144"/>
  <c r="O18" i="144"/>
  <c r="Q18" i="144"/>
  <c r="I18" i="144"/>
  <c r="M11" i="144"/>
  <c r="N39" i="144"/>
  <c r="K33" i="144"/>
  <c r="K39" i="144"/>
  <c r="L33" i="144"/>
  <c r="L39" i="144"/>
  <c r="F8" i="144"/>
  <c r="O8" i="144"/>
  <c r="Q8" i="144"/>
  <c r="F6" i="144"/>
  <c r="L25" i="144"/>
  <c r="L6" i="144"/>
  <c r="F34" i="144"/>
  <c r="O34" i="144"/>
  <c r="Q34" i="144"/>
  <c r="K38" i="144"/>
  <c r="F38" i="144"/>
  <c r="O38" i="144"/>
  <c r="K42" i="144"/>
  <c r="G60" i="145"/>
  <c r="I55" i="145"/>
  <c r="I50" i="145"/>
  <c r="F11" i="144"/>
  <c r="O11" i="144"/>
  <c r="J6" i="144"/>
  <c r="J39" i="144"/>
  <c r="J4" i="144"/>
  <c r="K24" i="144"/>
  <c r="I24" i="144"/>
  <c r="I6" i="144"/>
  <c r="K6" i="144"/>
  <c r="I38" i="144"/>
  <c r="G38" i="144"/>
  <c r="Q38" i="144"/>
  <c r="I39" i="144"/>
  <c r="O45" i="144"/>
  <c r="P47" i="147"/>
  <c r="P46" i="147"/>
  <c r="P41" i="147"/>
  <c r="O41" i="147"/>
  <c r="P39" i="147"/>
  <c r="P38" i="147"/>
  <c r="P37" i="147"/>
  <c r="Q37" i="147"/>
  <c r="P36" i="147"/>
  <c r="P35" i="147"/>
  <c r="O35" i="147"/>
  <c r="Q35" i="147"/>
  <c r="P34" i="147"/>
  <c r="P33" i="147"/>
  <c r="P32" i="147"/>
  <c r="O32" i="147"/>
  <c r="R32" i="147"/>
  <c r="P28" i="147"/>
  <c r="O28" i="147"/>
  <c r="Q28" i="147"/>
  <c r="P27" i="147"/>
  <c r="O27" i="147"/>
  <c r="Q27" i="147"/>
  <c r="P26" i="147"/>
  <c r="O26" i="147"/>
  <c r="Q26" i="147"/>
  <c r="P25" i="147"/>
  <c r="P24" i="147"/>
  <c r="D23" i="147"/>
  <c r="B22" i="147"/>
  <c r="B23" i="147"/>
  <c r="I3" i="147"/>
  <c r="K3" i="147"/>
  <c r="M3" i="147"/>
  <c r="B1" i="147"/>
  <c r="A1" i="147" s="1"/>
  <c r="O4" i="147"/>
  <c r="O3" i="147"/>
  <c r="Q32" i="147"/>
  <c r="E42" i="147"/>
  <c r="O46" i="144"/>
  <c r="E93" i="74"/>
  <c r="F32" i="144"/>
  <c r="E32" i="144"/>
  <c r="K65" i="144"/>
  <c r="E25" i="144"/>
  <c r="E33" i="144"/>
  <c r="O33" i="144"/>
  <c r="Q33" i="144"/>
  <c r="N7" i="143"/>
  <c r="N4" i="143"/>
  <c r="F7" i="143"/>
  <c r="H6" i="144"/>
  <c r="H4" i="144"/>
  <c r="H39" i="144"/>
  <c r="F40" i="144"/>
  <c r="H46" i="144"/>
  <c r="H47" i="144"/>
  <c r="H48" i="144"/>
  <c r="H49" i="144"/>
  <c r="H50" i="144"/>
  <c r="H51" i="144"/>
  <c r="H52" i="144"/>
  <c r="H53" i="144"/>
  <c r="H54" i="144"/>
  <c r="H55" i="144"/>
  <c r="H56" i="144"/>
  <c r="H57" i="144"/>
  <c r="H58" i="144"/>
  <c r="H59" i="144"/>
  <c r="H60" i="144"/>
  <c r="H61" i="144"/>
  <c r="H62" i="144"/>
  <c r="H63" i="144"/>
  <c r="H64" i="144"/>
  <c r="H65" i="144"/>
  <c r="H66" i="144"/>
  <c r="H67" i="144"/>
  <c r="F12" i="144"/>
  <c r="O12" i="144"/>
  <c r="F14" i="144"/>
  <c r="P12" i="144"/>
  <c r="F13" i="144"/>
  <c r="O13" i="144"/>
  <c r="P13" i="144"/>
  <c r="O14" i="144"/>
  <c r="Q14" i="144"/>
  <c r="P14" i="144"/>
  <c r="G24" i="144"/>
  <c r="G39" i="144"/>
  <c r="F32" i="143"/>
  <c r="F24" i="143"/>
  <c r="F38" i="143"/>
  <c r="M32" i="143"/>
  <c r="M7" i="143"/>
  <c r="M42" i="143"/>
  <c r="M11" i="143"/>
  <c r="K42" i="143"/>
  <c r="F33" i="143"/>
  <c r="O59" i="143"/>
  <c r="M59" i="143"/>
  <c r="M49" i="143"/>
  <c r="L59" i="143"/>
  <c r="M13" i="143"/>
  <c r="M12" i="143"/>
  <c r="F12" i="143"/>
  <c r="O12" i="143"/>
  <c r="P12" i="143"/>
  <c r="F24" i="144"/>
  <c r="D23" i="144"/>
  <c r="G42" i="144"/>
  <c r="B22" i="144"/>
  <c r="Q40" i="144"/>
  <c r="F25" i="146"/>
  <c r="O25" i="146"/>
  <c r="Q25" i="146"/>
  <c r="F24" i="146"/>
  <c r="O24" i="146"/>
  <c r="Q24" i="146"/>
  <c r="O23" i="146"/>
  <c r="Q23" i="146"/>
  <c r="O26" i="146"/>
  <c r="Q26" i="146"/>
  <c r="F18" i="146"/>
  <c r="O18" i="146"/>
  <c r="Q18" i="146"/>
  <c r="G40" i="146"/>
  <c r="P38" i="146"/>
  <c r="O38" i="146"/>
  <c r="P37" i="146"/>
  <c r="P36" i="146"/>
  <c r="F36" i="146"/>
  <c r="O36" i="146"/>
  <c r="Q36" i="146"/>
  <c r="O35" i="146"/>
  <c r="Q35" i="146"/>
  <c r="P35" i="146"/>
  <c r="P34" i="146"/>
  <c r="O34" i="146"/>
  <c r="Q34" i="146"/>
  <c r="P33" i="146"/>
  <c r="O33" i="146"/>
  <c r="Q33" i="146"/>
  <c r="P32" i="146"/>
  <c r="O32" i="146"/>
  <c r="Q32" i="146"/>
  <c r="P31" i="146"/>
  <c r="O31" i="146"/>
  <c r="Q31" i="146"/>
  <c r="P30" i="146"/>
  <c r="O30" i="146"/>
  <c r="P26" i="146"/>
  <c r="P25" i="146"/>
  <c r="P24" i="146"/>
  <c r="P23" i="146"/>
  <c r="P22" i="146"/>
  <c r="F22" i="146"/>
  <c r="B21" i="146"/>
  <c r="P18" i="146"/>
  <c r="P17" i="146"/>
  <c r="O17" i="146"/>
  <c r="Q17" i="146"/>
  <c r="P16" i="146"/>
  <c r="F16" i="146"/>
  <c r="O16" i="146"/>
  <c r="Q16" i="146"/>
  <c r="P15" i="146"/>
  <c r="O15" i="146"/>
  <c r="Q15" i="146"/>
  <c r="P14" i="146"/>
  <c r="O14" i="146"/>
  <c r="Q14" i="146"/>
  <c r="P13" i="146"/>
  <c r="O13" i="146"/>
  <c r="Q13" i="146"/>
  <c r="P12" i="146"/>
  <c r="F12" i="146"/>
  <c r="O12" i="146"/>
  <c r="Q12" i="146"/>
  <c r="P11" i="146"/>
  <c r="F11" i="146"/>
  <c r="P10" i="146"/>
  <c r="O10" i="146"/>
  <c r="Q10" i="146"/>
  <c r="P9" i="146"/>
  <c r="F9" i="146"/>
  <c r="O9" i="146"/>
  <c r="Q9" i="146"/>
  <c r="P8" i="146"/>
  <c r="F8" i="146"/>
  <c r="O8" i="146"/>
  <c r="P7" i="146"/>
  <c r="F7" i="146"/>
  <c r="O7" i="146"/>
  <c r="Q7" i="146"/>
  <c r="P6" i="146"/>
  <c r="F6" i="146"/>
  <c r="O6" i="146"/>
  <c r="Q6" i="146"/>
  <c r="N4" i="146"/>
  <c r="L4" i="146"/>
  <c r="J4" i="146"/>
  <c r="H4" i="146"/>
  <c r="I3" i="146"/>
  <c r="K3" i="146"/>
  <c r="M3" i="146"/>
  <c r="D2" i="146"/>
  <c r="B1" i="146"/>
  <c r="A1" i="146" s="1"/>
  <c r="F12" i="145"/>
  <c r="F39" i="145"/>
  <c r="O39" i="145"/>
  <c r="E39" i="146"/>
  <c r="F8" i="143"/>
  <c r="F18" i="143"/>
  <c r="L32" i="143"/>
  <c r="O36" i="143"/>
  <c r="R36" i="143"/>
  <c r="P36" i="143"/>
  <c r="O40" i="143"/>
  <c r="P40" i="143"/>
  <c r="O19" i="143"/>
  <c r="P19" i="143"/>
  <c r="L8" i="143"/>
  <c r="L6" i="143"/>
  <c r="L7" i="143"/>
  <c r="L4" i="143"/>
  <c r="K7" i="143"/>
  <c r="K24" i="143"/>
  <c r="K32" i="143"/>
  <c r="K38" i="143"/>
  <c r="K33" i="143"/>
  <c r="J32" i="143"/>
  <c r="I16" i="143"/>
  <c r="G42" i="143"/>
  <c r="F13" i="143"/>
  <c r="O13" i="143"/>
  <c r="O9" i="145"/>
  <c r="Q9" i="145"/>
  <c r="G39" i="141"/>
  <c r="I39" i="141"/>
  <c r="E39" i="141"/>
  <c r="E27" i="141"/>
  <c r="E38" i="141"/>
  <c r="E42" i="145"/>
  <c r="E43" i="145"/>
  <c r="P41" i="145"/>
  <c r="O41" i="145"/>
  <c r="P40" i="145"/>
  <c r="P39" i="145"/>
  <c r="P38" i="145"/>
  <c r="O38" i="145"/>
  <c r="Q38" i="145"/>
  <c r="P37" i="145"/>
  <c r="O37" i="145"/>
  <c r="Q37" i="145"/>
  <c r="P36" i="145"/>
  <c r="O36" i="145"/>
  <c r="Q36" i="145"/>
  <c r="P35" i="145"/>
  <c r="O35" i="145"/>
  <c r="Q35" i="145"/>
  <c r="P34" i="145"/>
  <c r="O34" i="145"/>
  <c r="Q34" i="145"/>
  <c r="P30" i="145"/>
  <c r="O30" i="145"/>
  <c r="Q30" i="145"/>
  <c r="P29" i="145"/>
  <c r="O29" i="145"/>
  <c r="Q29" i="145"/>
  <c r="P26" i="145"/>
  <c r="O26" i="145"/>
  <c r="Q26" i="145"/>
  <c r="P25" i="145"/>
  <c r="O25" i="145"/>
  <c r="Q25" i="145"/>
  <c r="P24" i="145"/>
  <c r="D23" i="145"/>
  <c r="B22" i="145"/>
  <c r="B23" i="145"/>
  <c r="P20" i="145"/>
  <c r="O20" i="145"/>
  <c r="Q20" i="145"/>
  <c r="P19" i="145"/>
  <c r="O19" i="145"/>
  <c r="Q19" i="145"/>
  <c r="P18" i="145"/>
  <c r="F18" i="145"/>
  <c r="O18" i="145"/>
  <c r="Q18" i="145"/>
  <c r="P17" i="145"/>
  <c r="O17" i="145"/>
  <c r="Q17" i="145"/>
  <c r="P16" i="145"/>
  <c r="O16" i="145"/>
  <c r="Q16" i="145"/>
  <c r="P15" i="145"/>
  <c r="O15" i="145"/>
  <c r="Q15" i="145"/>
  <c r="P14" i="145"/>
  <c r="F14" i="145"/>
  <c r="P13" i="145"/>
  <c r="F13" i="145"/>
  <c r="O13" i="145"/>
  <c r="Q13" i="145"/>
  <c r="P12" i="145"/>
  <c r="P11" i="145"/>
  <c r="O11" i="145"/>
  <c r="Q11" i="145"/>
  <c r="P10" i="145"/>
  <c r="O10" i="145"/>
  <c r="Q10" i="145"/>
  <c r="P9" i="145"/>
  <c r="P8" i="145"/>
  <c r="F8" i="145"/>
  <c r="P7" i="145"/>
  <c r="J4" i="145"/>
  <c r="O7" i="145"/>
  <c r="Q7" i="145"/>
  <c r="P6" i="145"/>
  <c r="H4" i="145"/>
  <c r="O4" i="145"/>
  <c r="O3" i="145"/>
  <c r="L4" i="145"/>
  <c r="N4" i="145"/>
  <c r="R4" i="145"/>
  <c r="I3" i="145"/>
  <c r="K3" i="145"/>
  <c r="M3" i="145"/>
  <c r="D2" i="145"/>
  <c r="B1" i="145"/>
  <c r="A1" i="145" s="1"/>
  <c r="F14" i="143"/>
  <c r="O14" i="143"/>
  <c r="P14" i="143"/>
  <c r="Q14" i="143"/>
  <c r="F11" i="143"/>
  <c r="Q12" i="143"/>
  <c r="H7" i="143"/>
  <c r="S4" i="143"/>
  <c r="J8" i="143"/>
  <c r="J4" i="143"/>
  <c r="J7" i="143"/>
  <c r="H33" i="143"/>
  <c r="H6" i="143"/>
  <c r="H39" i="143"/>
  <c r="I42" i="143"/>
  <c r="I33" i="143"/>
  <c r="I38" i="143"/>
  <c r="I39" i="143"/>
  <c r="I18" i="143"/>
  <c r="I20" i="143"/>
  <c r="I24" i="143"/>
  <c r="F6" i="143"/>
  <c r="I7" i="143"/>
  <c r="I17" i="143"/>
  <c r="G18" i="143"/>
  <c r="O18" i="143"/>
  <c r="P18" i="143"/>
  <c r="G7" i="143"/>
  <c r="F34" i="143"/>
  <c r="C24" i="145"/>
  <c r="O6" i="145"/>
  <c r="G39" i="143"/>
  <c r="Q6" i="145"/>
  <c r="P40" i="144"/>
  <c r="O40" i="144"/>
  <c r="P39" i="144"/>
  <c r="P38" i="144"/>
  <c r="P37" i="144"/>
  <c r="O37" i="144"/>
  <c r="Q37" i="144"/>
  <c r="P36" i="144"/>
  <c r="O36" i="144"/>
  <c r="Q36" i="144"/>
  <c r="P35" i="144"/>
  <c r="O35" i="144"/>
  <c r="Q35" i="144"/>
  <c r="P34" i="144"/>
  <c r="P33" i="144"/>
  <c r="P32" i="144"/>
  <c r="O32" i="144"/>
  <c r="P28" i="144"/>
  <c r="O28" i="144"/>
  <c r="Q28" i="144"/>
  <c r="P27" i="144"/>
  <c r="O27" i="144"/>
  <c r="Q27" i="144"/>
  <c r="P26" i="144"/>
  <c r="O26" i="144"/>
  <c r="Q26" i="144"/>
  <c r="P25" i="144"/>
  <c r="Q25" i="144"/>
  <c r="P24" i="144"/>
  <c r="B23" i="144"/>
  <c r="P20" i="144"/>
  <c r="F20" i="144"/>
  <c r="O20" i="144"/>
  <c r="Q20" i="144"/>
  <c r="P19" i="144"/>
  <c r="O19" i="144"/>
  <c r="Q19" i="144"/>
  <c r="P18" i="144"/>
  <c r="P17" i="144"/>
  <c r="O17" i="144"/>
  <c r="Q17" i="144"/>
  <c r="P16" i="144"/>
  <c r="O16" i="144"/>
  <c r="Q16" i="144"/>
  <c r="P15" i="144"/>
  <c r="O15" i="144"/>
  <c r="Q15" i="144"/>
  <c r="P11" i="144"/>
  <c r="Q11" i="144"/>
  <c r="P10" i="144"/>
  <c r="O10" i="144"/>
  <c r="Q10" i="144"/>
  <c r="P9" i="144"/>
  <c r="F9" i="144"/>
  <c r="O9" i="144"/>
  <c r="Q9" i="144"/>
  <c r="P8" i="144"/>
  <c r="P7" i="144"/>
  <c r="P6" i="144"/>
  <c r="L4" i="144"/>
  <c r="I3" i="144"/>
  <c r="K3" i="144"/>
  <c r="M3" i="144"/>
  <c r="B1" i="144"/>
  <c r="A1" i="144" s="1"/>
  <c r="O4" i="144"/>
  <c r="O3" i="144"/>
  <c r="B79" i="74"/>
  <c r="E83" i="74"/>
  <c r="N23" i="141"/>
  <c r="D2" i="143"/>
  <c r="E32" i="143"/>
  <c r="O32" i="143"/>
  <c r="P32" i="143"/>
  <c r="F11" i="141"/>
  <c r="O4" i="141"/>
  <c r="N7" i="141"/>
  <c r="N6" i="141"/>
  <c r="N4" i="141"/>
  <c r="N22" i="141"/>
  <c r="L22" i="141"/>
  <c r="F7" i="141"/>
  <c r="F6" i="141"/>
  <c r="F21" i="141"/>
  <c r="D20" i="141"/>
  <c r="F16" i="141"/>
  <c r="M7" i="141"/>
  <c r="M11" i="141"/>
  <c r="O11" i="141"/>
  <c r="Q11" i="141"/>
  <c r="F8" i="141"/>
  <c r="H8" i="141"/>
  <c r="M9" i="141"/>
  <c r="O9" i="141"/>
  <c r="M12" i="141"/>
  <c r="M17" i="141"/>
  <c r="M22" i="141"/>
  <c r="J22" i="141"/>
  <c r="O22" i="141"/>
  <c r="M13" i="141"/>
  <c r="M36" i="141"/>
  <c r="O27" i="143"/>
  <c r="R92" i="74"/>
  <c r="K92" i="74" s="1"/>
  <c r="R88" i="74"/>
  <c r="R101" i="74" s="1"/>
  <c r="F104" i="74" s="1"/>
  <c r="F105" i="74" s="1"/>
  <c r="R79" i="74"/>
  <c r="U70" i="74"/>
  <c r="R70" i="74"/>
  <c r="U63" i="74"/>
  <c r="R63" i="74"/>
  <c r="R56" i="74"/>
  <c r="U37" i="74"/>
  <c r="R37" i="74"/>
  <c r="R32" i="74"/>
  <c r="R21" i="74"/>
  <c r="R14" i="74"/>
  <c r="R3" i="74"/>
  <c r="U93" i="74"/>
  <c r="U92" i="74"/>
  <c r="U57" i="74"/>
  <c r="U56" i="74"/>
  <c r="U49" i="74"/>
  <c r="U48" i="74"/>
  <c r="U33" i="74"/>
  <c r="U32" i="74"/>
  <c r="U25" i="74"/>
  <c r="U24" i="74"/>
  <c r="U15" i="74"/>
  <c r="U14" i="74"/>
  <c r="U5" i="74"/>
  <c r="U3" i="74"/>
  <c r="B92" i="74"/>
  <c r="B88" i="74"/>
  <c r="E86" i="74"/>
  <c r="Q26" i="143"/>
  <c r="Q27" i="143"/>
  <c r="O26" i="143"/>
  <c r="R19" i="143"/>
  <c r="Q19" i="143"/>
  <c r="F9" i="143"/>
  <c r="Q35" i="143"/>
  <c r="O35" i="143"/>
  <c r="P35" i="143"/>
  <c r="Q34" i="143"/>
  <c r="O34" i="143"/>
  <c r="Q33" i="143"/>
  <c r="Q32" i="143"/>
  <c r="Q40" i="143"/>
  <c r="Q39" i="143"/>
  <c r="Q38" i="143"/>
  <c r="Q37" i="143"/>
  <c r="O37" i="143"/>
  <c r="Q36" i="143"/>
  <c r="Q28" i="143"/>
  <c r="E41" i="143"/>
  <c r="Q25" i="143"/>
  <c r="O25" i="143"/>
  <c r="P25" i="143"/>
  <c r="R25" i="143"/>
  <c r="Q24" i="143"/>
  <c r="B23" i="143"/>
  <c r="Q20" i="143"/>
  <c r="F20" i="143"/>
  <c r="O20" i="143"/>
  <c r="Q18" i="143"/>
  <c r="Q17" i="143"/>
  <c r="O17" i="143"/>
  <c r="P17" i="143"/>
  <c r="Q16" i="143"/>
  <c r="O16" i="143"/>
  <c r="P16" i="143"/>
  <c r="Q15" i="143"/>
  <c r="O15" i="143"/>
  <c r="Q13" i="143"/>
  <c r="Q11" i="143"/>
  <c r="O11" i="143"/>
  <c r="Q10" i="143"/>
  <c r="O10" i="143"/>
  <c r="P10" i="143"/>
  <c r="Q9" i="143"/>
  <c r="Q8" i="143"/>
  <c r="Q7" i="143"/>
  <c r="Q6" i="143"/>
  <c r="I3" i="143"/>
  <c r="K3" i="143"/>
  <c r="M3" i="143"/>
  <c r="B1" i="143"/>
  <c r="A1" i="143" s="1"/>
  <c r="R35" i="143"/>
  <c r="R10" i="143"/>
  <c r="D23" i="143"/>
  <c r="O28" i="143"/>
  <c r="R28" i="143"/>
  <c r="P28" i="143"/>
  <c r="L7" i="141"/>
  <c r="L4" i="141"/>
  <c r="K7" i="141"/>
  <c r="G24" i="141"/>
  <c r="I7" i="141"/>
  <c r="I35" i="141"/>
  <c r="F35" i="141"/>
  <c r="O35" i="141"/>
  <c r="Q35" i="141"/>
  <c r="I36" i="141"/>
  <c r="J7" i="141"/>
  <c r="J4" i="141"/>
  <c r="J23" i="141"/>
  <c r="H23" i="141"/>
  <c r="O23" i="141"/>
  <c r="Q23" i="141"/>
  <c r="H36" i="141"/>
  <c r="H7" i="141"/>
  <c r="H6" i="141"/>
  <c r="I16" i="141"/>
  <c r="G7" i="141"/>
  <c r="M11" i="140"/>
  <c r="M22" i="140"/>
  <c r="M7" i="140"/>
  <c r="N7" i="140"/>
  <c r="F7" i="140"/>
  <c r="N23" i="140"/>
  <c r="N8" i="140"/>
  <c r="G39" i="138"/>
  <c r="P37" i="141"/>
  <c r="O37" i="141"/>
  <c r="P36" i="141"/>
  <c r="P35" i="141"/>
  <c r="P34" i="141"/>
  <c r="O34" i="141"/>
  <c r="Q34" i="141"/>
  <c r="P33" i="141"/>
  <c r="O33" i="141"/>
  <c r="Q33" i="141"/>
  <c r="P32" i="141"/>
  <c r="O32" i="141"/>
  <c r="Q32" i="141"/>
  <c r="P31" i="141"/>
  <c r="O31" i="141"/>
  <c r="Q31" i="141"/>
  <c r="P27" i="141"/>
  <c r="O27" i="141"/>
  <c r="Q27" i="141"/>
  <c r="P26" i="141"/>
  <c r="O26" i="141"/>
  <c r="Q26" i="141"/>
  <c r="P25" i="141"/>
  <c r="O25" i="141"/>
  <c r="Q25" i="141"/>
  <c r="P24" i="141"/>
  <c r="O24" i="141"/>
  <c r="Q24" i="141"/>
  <c r="P23" i="141"/>
  <c r="P22" i="141"/>
  <c r="Q22" i="141"/>
  <c r="P21" i="141"/>
  <c r="B20" i="141"/>
  <c r="P17" i="141"/>
  <c r="F17" i="141"/>
  <c r="P16" i="141"/>
  <c r="O16" i="141"/>
  <c r="Q16" i="141"/>
  <c r="P15" i="141"/>
  <c r="O15" i="141"/>
  <c r="Q15" i="141"/>
  <c r="P14" i="141"/>
  <c r="O14" i="141"/>
  <c r="Q14" i="141"/>
  <c r="P13" i="141"/>
  <c r="O13" i="141"/>
  <c r="Q13" i="141"/>
  <c r="P12" i="141"/>
  <c r="F12" i="141"/>
  <c r="O12" i="141"/>
  <c r="Q12" i="141"/>
  <c r="P11" i="141"/>
  <c r="P10" i="141"/>
  <c r="O10" i="141"/>
  <c r="Q10" i="141"/>
  <c r="P9" i="141"/>
  <c r="F9" i="141"/>
  <c r="Q9" i="141"/>
  <c r="P8" i="141"/>
  <c r="P7" i="141"/>
  <c r="P6" i="141"/>
  <c r="I3" i="141"/>
  <c r="K3" i="141"/>
  <c r="M3" i="141"/>
  <c r="D2" i="141"/>
  <c r="B1" i="141"/>
  <c r="A1" i="141" s="1"/>
  <c r="O3" i="141"/>
  <c r="P44" i="140"/>
  <c r="M9" i="140"/>
  <c r="M12" i="140"/>
  <c r="O12" i="140"/>
  <c r="Q12" i="140"/>
  <c r="K7" i="140"/>
  <c r="K35" i="140"/>
  <c r="N21" i="140"/>
  <c r="L7" i="140"/>
  <c r="L4" i="140"/>
  <c r="L22" i="140"/>
  <c r="L23" i="140"/>
  <c r="I45" i="140"/>
  <c r="M44" i="140"/>
  <c r="I23" i="140"/>
  <c r="I14" i="140"/>
  <c r="I36" i="140"/>
  <c r="I35" i="140"/>
  <c r="F35" i="140"/>
  <c r="O35" i="140"/>
  <c r="I11" i="140"/>
  <c r="I16" i="140"/>
  <c r="I15" i="140"/>
  <c r="J7" i="140"/>
  <c r="J36" i="140"/>
  <c r="H36" i="140"/>
  <c r="H7" i="140"/>
  <c r="G23" i="140"/>
  <c r="O23" i="140"/>
  <c r="G36" i="140"/>
  <c r="H8" i="140"/>
  <c r="F24" i="140"/>
  <c r="F11" i="140"/>
  <c r="O11" i="140"/>
  <c r="Q11" i="140"/>
  <c r="K47" i="140"/>
  <c r="G7" i="140"/>
  <c r="G39" i="140"/>
  <c r="E39" i="140"/>
  <c r="N76" i="74"/>
  <c r="J76" i="74" s="1"/>
  <c r="A101" i="74"/>
  <c r="E76" i="74"/>
  <c r="B3" i="74"/>
  <c r="N44" i="74"/>
  <c r="J44" i="74" s="1"/>
  <c r="B47" i="74"/>
  <c r="N5" i="74"/>
  <c r="J5" i="74" s="1"/>
  <c r="N38" i="74"/>
  <c r="J38" i="74" s="1"/>
  <c r="O6" i="140"/>
  <c r="Q6" i="140"/>
  <c r="F22" i="140"/>
  <c r="O22" i="140"/>
  <c r="Q22" i="140"/>
  <c r="F21" i="140"/>
  <c r="F23" i="140"/>
  <c r="D20" i="140"/>
  <c r="O15" i="140"/>
  <c r="Q15" i="140"/>
  <c r="P37" i="140"/>
  <c r="O37" i="140"/>
  <c r="P36" i="140"/>
  <c r="P35" i="140"/>
  <c r="P34" i="140"/>
  <c r="O34" i="140"/>
  <c r="Q34" i="140"/>
  <c r="P33" i="140"/>
  <c r="O33" i="140"/>
  <c r="Q33" i="140"/>
  <c r="P32" i="140"/>
  <c r="O32" i="140"/>
  <c r="Q32" i="140"/>
  <c r="P31" i="140"/>
  <c r="O31" i="140"/>
  <c r="P27" i="140"/>
  <c r="O27" i="140"/>
  <c r="Q27" i="140"/>
  <c r="P26" i="140"/>
  <c r="O26" i="140"/>
  <c r="Q26" i="140"/>
  <c r="P25" i="140"/>
  <c r="O25" i="140"/>
  <c r="Q25" i="140"/>
  <c r="P24" i="140"/>
  <c r="O24" i="140"/>
  <c r="Q24" i="140"/>
  <c r="P23" i="140"/>
  <c r="P22" i="140"/>
  <c r="P21" i="140"/>
  <c r="E38" i="140"/>
  <c r="B20" i="140"/>
  <c r="P17" i="140"/>
  <c r="F17" i="140"/>
  <c r="O17" i="140"/>
  <c r="Q17" i="140"/>
  <c r="P16" i="140"/>
  <c r="F16" i="140"/>
  <c r="P15" i="140"/>
  <c r="P14" i="140"/>
  <c r="O14" i="140"/>
  <c r="Q14" i="140"/>
  <c r="P13" i="140"/>
  <c r="O13" i="140"/>
  <c r="Q13" i="140"/>
  <c r="P12" i="140"/>
  <c r="F12" i="140"/>
  <c r="P11" i="140"/>
  <c r="P10" i="140"/>
  <c r="O10" i="140"/>
  <c r="Q10" i="140"/>
  <c r="P9" i="140"/>
  <c r="F9" i="140"/>
  <c r="O9" i="140"/>
  <c r="Q9" i="140"/>
  <c r="P8" i="140"/>
  <c r="H4" i="140"/>
  <c r="P7" i="140"/>
  <c r="P6" i="140"/>
  <c r="J4" i="140"/>
  <c r="I3" i="140"/>
  <c r="K3" i="140"/>
  <c r="M3" i="140"/>
  <c r="D2" i="140"/>
  <c r="B1" i="140"/>
  <c r="A1" i="140" s="1"/>
  <c r="N21" i="138"/>
  <c r="N4" i="138"/>
  <c r="M11" i="138"/>
  <c r="M22" i="138"/>
  <c r="M12" i="138"/>
  <c r="F12" i="138"/>
  <c r="O12" i="138"/>
  <c r="F22" i="138"/>
  <c r="E22" i="138"/>
  <c r="E38" i="138"/>
  <c r="O22" i="138"/>
  <c r="Q22" i="138"/>
  <c r="M21" i="138"/>
  <c r="F11" i="138"/>
  <c r="K39" i="138"/>
  <c r="Q31" i="140"/>
  <c r="F27" i="138"/>
  <c r="O27" i="138"/>
  <c r="Q27" i="138"/>
  <c r="L7" i="138"/>
  <c r="L4" i="138"/>
  <c r="I35" i="138"/>
  <c r="I36" i="138"/>
  <c r="F23" i="138"/>
  <c r="F24" i="138"/>
  <c r="O24" i="138"/>
  <c r="Q24" i="138"/>
  <c r="F39" i="136"/>
  <c r="E39" i="136"/>
  <c r="J36" i="138"/>
  <c r="J4" i="138"/>
  <c r="J7" i="138"/>
  <c r="H25" i="138"/>
  <c r="G25" i="138"/>
  <c r="F9" i="138"/>
  <c r="O9" i="138"/>
  <c r="Q9" i="138"/>
  <c r="E25" i="138"/>
  <c r="G36" i="138"/>
  <c r="G16" i="138"/>
  <c r="G35" i="138"/>
  <c r="F35" i="138"/>
  <c r="O6" i="138"/>
  <c r="O45" i="136"/>
  <c r="N46" i="136"/>
  <c r="O32" i="138"/>
  <c r="Q32" i="138"/>
  <c r="O33" i="138"/>
  <c r="O34" i="138"/>
  <c r="Q34" i="138"/>
  <c r="O37" i="138"/>
  <c r="O31" i="138"/>
  <c r="O10" i="138"/>
  <c r="Q10" i="138"/>
  <c r="O11" i="138"/>
  <c r="Q11" i="138"/>
  <c r="O13" i="138"/>
  <c r="Q13" i="138"/>
  <c r="O14" i="138"/>
  <c r="Q14" i="138"/>
  <c r="E26" i="138"/>
  <c r="O26" i="138"/>
  <c r="Q26" i="138"/>
  <c r="E23" i="138"/>
  <c r="O23" i="138"/>
  <c r="Q23" i="138"/>
  <c r="E21" i="138"/>
  <c r="F21" i="138"/>
  <c r="E15" i="138"/>
  <c r="O15" i="138"/>
  <c r="Q15" i="138"/>
  <c r="E7" i="138"/>
  <c r="E16" i="138"/>
  <c r="H8" i="138"/>
  <c r="K47" i="138"/>
  <c r="K50" i="138"/>
  <c r="G12" i="138"/>
  <c r="Q12" i="138"/>
  <c r="G7" i="138"/>
  <c r="N45" i="136"/>
  <c r="O4" i="138"/>
  <c r="I51" i="138"/>
  <c r="I52" i="138"/>
  <c r="Q43" i="138"/>
  <c r="P37" i="138"/>
  <c r="P36" i="138"/>
  <c r="P35" i="138"/>
  <c r="P34" i="138"/>
  <c r="P33" i="138"/>
  <c r="Q33" i="138"/>
  <c r="P32" i="138"/>
  <c r="P31" i="138"/>
  <c r="Q31" i="138"/>
  <c r="P27" i="138"/>
  <c r="P26" i="138"/>
  <c r="P25" i="138"/>
  <c r="P24" i="138"/>
  <c r="P23" i="138"/>
  <c r="P22" i="138"/>
  <c r="P21" i="138"/>
  <c r="B20" i="138"/>
  <c r="P17" i="138"/>
  <c r="F17" i="138"/>
  <c r="O17" i="138"/>
  <c r="Q17" i="138"/>
  <c r="P16" i="138"/>
  <c r="F16" i="138"/>
  <c r="P15" i="138"/>
  <c r="P14" i="138"/>
  <c r="P13" i="138"/>
  <c r="P12" i="138"/>
  <c r="P11" i="138"/>
  <c r="P10" i="138"/>
  <c r="P9" i="138"/>
  <c r="P8" i="138"/>
  <c r="P7" i="138"/>
  <c r="P6" i="138"/>
  <c r="Q6" i="138"/>
  <c r="I3" i="138"/>
  <c r="K3" i="138"/>
  <c r="M3" i="138"/>
  <c r="D2" i="138"/>
  <c r="B1" i="138"/>
  <c r="A1" i="138" s="1"/>
  <c r="F43" i="136"/>
  <c r="E35" i="136"/>
  <c r="P43" i="136"/>
  <c r="H46" i="136"/>
  <c r="H47" i="136"/>
  <c r="H48" i="136"/>
  <c r="H49" i="136"/>
  <c r="E27" i="136"/>
  <c r="H27" i="136"/>
  <c r="N27" i="136"/>
  <c r="P27" i="136"/>
  <c r="M7" i="136"/>
  <c r="L11" i="136"/>
  <c r="E17" i="136"/>
  <c r="N17" i="136"/>
  <c r="L17" i="136"/>
  <c r="P17" i="136"/>
  <c r="L12" i="136"/>
  <c r="E12" i="136"/>
  <c r="D5" i="136"/>
  <c r="N12" i="136"/>
  <c r="P12" i="136"/>
  <c r="E11" i="136"/>
  <c r="N11" i="136"/>
  <c r="P11" i="136"/>
  <c r="L7" i="136"/>
  <c r="L23" i="136"/>
  <c r="B37" i="74"/>
  <c r="J50" i="136"/>
  <c r="E7" i="136"/>
  <c r="E6" i="136"/>
  <c r="E16" i="136"/>
  <c r="N16" i="136"/>
  <c r="P16" i="136"/>
  <c r="K36" i="136"/>
  <c r="K25" i="136"/>
  <c r="K4" i="136"/>
  <c r="K7" i="136"/>
  <c r="K21" i="136"/>
  <c r="I7" i="136"/>
  <c r="I4" i="136"/>
  <c r="G6" i="136"/>
  <c r="J36" i="136"/>
  <c r="J7" i="136"/>
  <c r="H35" i="136"/>
  <c r="H36" i="136"/>
  <c r="E22" i="136"/>
  <c r="D20" i="136"/>
  <c r="H7" i="136"/>
  <c r="N7" i="136"/>
  <c r="P7" i="136"/>
  <c r="H16" i="136"/>
  <c r="F35" i="136"/>
  <c r="N35" i="136"/>
  <c r="P35" i="136"/>
  <c r="G23" i="136"/>
  <c r="G7" i="136"/>
  <c r="G8" i="136"/>
  <c r="N8" i="136"/>
  <c r="G25" i="136"/>
  <c r="F7" i="136"/>
  <c r="F16" i="136"/>
  <c r="F40" i="136"/>
  <c r="N6" i="136"/>
  <c r="N9" i="136"/>
  <c r="P9" i="136"/>
  <c r="N10" i="136"/>
  <c r="P10" i="136"/>
  <c r="N13" i="136"/>
  <c r="N14" i="136"/>
  <c r="N15" i="136"/>
  <c r="P15" i="136"/>
  <c r="O37" i="136"/>
  <c r="N37" i="136"/>
  <c r="O36" i="136"/>
  <c r="O35" i="136"/>
  <c r="O34" i="136"/>
  <c r="N34" i="136"/>
  <c r="P34" i="136"/>
  <c r="O33" i="136"/>
  <c r="N33" i="136"/>
  <c r="P33" i="136"/>
  <c r="O32" i="136"/>
  <c r="N32" i="136"/>
  <c r="P32" i="136"/>
  <c r="O31" i="136"/>
  <c r="N31" i="136"/>
  <c r="P31" i="136"/>
  <c r="O27" i="136"/>
  <c r="O26" i="136"/>
  <c r="N26" i="136"/>
  <c r="P26" i="136"/>
  <c r="O25" i="136"/>
  <c r="O24" i="136"/>
  <c r="N24" i="136"/>
  <c r="P24" i="136"/>
  <c r="O23" i="136"/>
  <c r="O22" i="136"/>
  <c r="N22" i="136"/>
  <c r="P22" i="136"/>
  <c r="O21" i="136"/>
  <c r="B20" i="136"/>
  <c r="O17" i="136"/>
  <c r="O16" i="136"/>
  <c r="O15" i="136"/>
  <c r="O14" i="136"/>
  <c r="P14" i="136"/>
  <c r="O13" i="136"/>
  <c r="P13" i="136"/>
  <c r="O12" i="136"/>
  <c r="O11" i="136"/>
  <c r="O10" i="136"/>
  <c r="O9" i="136"/>
  <c r="O8" i="136"/>
  <c r="P8" i="136"/>
  <c r="O7" i="136"/>
  <c r="O6" i="136"/>
  <c r="M4" i="136"/>
  <c r="N4" i="136"/>
  <c r="H3" i="136"/>
  <c r="J3" i="136"/>
  <c r="L3" i="136"/>
  <c r="D2" i="136"/>
  <c r="B1" i="136"/>
  <c r="A1" i="136" s="1"/>
  <c r="P6" i="136"/>
  <c r="N49" i="134"/>
  <c r="M49" i="134"/>
  <c r="M50" i="134"/>
  <c r="M51" i="134"/>
  <c r="M52" i="134"/>
  <c r="M53" i="134"/>
  <c r="M54" i="134"/>
  <c r="M55" i="134"/>
  <c r="M7" i="134"/>
  <c r="E6" i="134"/>
  <c r="K5" i="134"/>
  <c r="E7" i="134"/>
  <c r="N7" i="134"/>
  <c r="P7" i="134"/>
  <c r="J6" i="134"/>
  <c r="K6" i="134"/>
  <c r="K4" i="134"/>
  <c r="J7" i="134"/>
  <c r="K7" i="134"/>
  <c r="K39" i="134"/>
  <c r="L7" i="134"/>
  <c r="I7" i="134"/>
  <c r="I4" i="134"/>
  <c r="J12" i="134"/>
  <c r="J39" i="134"/>
  <c r="J18" i="134"/>
  <c r="G8" i="134"/>
  <c r="E52" i="134"/>
  <c r="H26" i="134"/>
  <c r="N26" i="134"/>
  <c r="P26" i="134"/>
  <c r="H28" i="134"/>
  <c r="N28" i="134"/>
  <c r="P28" i="134"/>
  <c r="E26" i="134"/>
  <c r="H38" i="134"/>
  <c r="N35" i="134"/>
  <c r="N36" i="134"/>
  <c r="P36" i="134"/>
  <c r="N37" i="134"/>
  <c r="P37" i="134"/>
  <c r="N34" i="134"/>
  <c r="N25" i="134"/>
  <c r="P25" i="134"/>
  <c r="N29" i="134"/>
  <c r="P29" i="134"/>
  <c r="N9" i="134"/>
  <c r="P9" i="134"/>
  <c r="N10" i="134"/>
  <c r="N13" i="134"/>
  <c r="N14" i="134"/>
  <c r="N15" i="134"/>
  <c r="P15" i="134"/>
  <c r="N16" i="134"/>
  <c r="P16" i="134"/>
  <c r="N19" i="134"/>
  <c r="P19" i="134"/>
  <c r="N20" i="134"/>
  <c r="P20" i="134"/>
  <c r="M4" i="134"/>
  <c r="E30" i="134"/>
  <c r="N30" i="134"/>
  <c r="H39" i="134"/>
  <c r="H27" i="134"/>
  <c r="N27" i="134"/>
  <c r="H50" i="134"/>
  <c r="H51" i="134"/>
  <c r="H52" i="134"/>
  <c r="H53" i="134"/>
  <c r="H54" i="134"/>
  <c r="H55" i="134"/>
  <c r="H56" i="134"/>
  <c r="F42" i="134"/>
  <c r="E42" i="134"/>
  <c r="C24" i="134"/>
  <c r="F39" i="134"/>
  <c r="F38" i="134"/>
  <c r="E38" i="134"/>
  <c r="N38" i="134"/>
  <c r="G4" i="131"/>
  <c r="G15" i="131"/>
  <c r="F4" i="131"/>
  <c r="F15" i="131"/>
  <c r="E24" i="132"/>
  <c r="K6" i="132"/>
  <c r="K7" i="132"/>
  <c r="K25" i="132"/>
  <c r="I6" i="132"/>
  <c r="I7" i="132"/>
  <c r="I40" i="132"/>
  <c r="E12" i="132"/>
  <c r="L12" i="132"/>
  <c r="I12" i="132"/>
  <c r="E18" i="132"/>
  <c r="K8" i="132"/>
  <c r="K40" i="132"/>
  <c r="I26" i="132"/>
  <c r="H6" i="132"/>
  <c r="H26" i="132"/>
  <c r="H7" i="132"/>
  <c r="H30" i="132"/>
  <c r="E30" i="132"/>
  <c r="L30" i="132"/>
  <c r="N30" i="132"/>
  <c r="E25" i="132"/>
  <c r="L25" i="132"/>
  <c r="N25" i="132"/>
  <c r="G25" i="132"/>
  <c r="H43" i="132"/>
  <c r="D23" i="134"/>
  <c r="F40" i="132"/>
  <c r="H40" i="132"/>
  <c r="G24" i="132"/>
  <c r="M30" i="132"/>
  <c r="H39" i="132"/>
  <c r="G39" i="132"/>
  <c r="G7" i="132"/>
  <c r="F7" i="132"/>
  <c r="L7" i="132"/>
  <c r="N7" i="132"/>
  <c r="G43" i="132"/>
  <c r="E39" i="132"/>
  <c r="L39" i="132"/>
  <c r="N39" i="132"/>
  <c r="G6" i="132"/>
  <c r="F6" i="132"/>
  <c r="F5" i="132"/>
  <c r="L6" i="132"/>
  <c r="G40" i="132"/>
  <c r="L9" i="132"/>
  <c r="N9" i="132"/>
  <c r="L10" i="132"/>
  <c r="N10" i="132"/>
  <c r="L13" i="132"/>
  <c r="L14" i="132"/>
  <c r="L15" i="132"/>
  <c r="L16" i="132"/>
  <c r="L18" i="132"/>
  <c r="N18" i="132"/>
  <c r="L19" i="132"/>
  <c r="N19" i="132"/>
  <c r="L20" i="132"/>
  <c r="N20" i="132"/>
  <c r="L27" i="132"/>
  <c r="L28" i="132"/>
  <c r="N28" i="132"/>
  <c r="L29" i="132"/>
  <c r="N29" i="132"/>
  <c r="L35" i="132"/>
  <c r="N35" i="132"/>
  <c r="L36" i="132"/>
  <c r="L37" i="132"/>
  <c r="L34" i="132"/>
  <c r="N34" i="132"/>
  <c r="N33" i="132"/>
  <c r="L41" i="132"/>
  <c r="E11" i="132"/>
  <c r="L11" i="132"/>
  <c r="N11" i="132"/>
  <c r="F24" i="132"/>
  <c r="F43" i="132"/>
  <c r="E43" i="132"/>
  <c r="B5" i="132"/>
  <c r="B33" i="132"/>
  <c r="M15" i="131"/>
  <c r="L15" i="131"/>
  <c r="I4" i="131"/>
  <c r="I3" i="131"/>
  <c r="M35" i="132"/>
  <c r="J50" i="126"/>
  <c r="K54" i="126"/>
  <c r="J52" i="126"/>
  <c r="K6" i="126"/>
  <c r="K8" i="126"/>
  <c r="L8" i="126"/>
  <c r="N8" i="126"/>
  <c r="H18" i="126"/>
  <c r="H7" i="126"/>
  <c r="H6" i="126"/>
  <c r="L6" i="126"/>
  <c r="N6" i="126"/>
  <c r="E6" i="126"/>
  <c r="E7" i="126"/>
  <c r="H43" i="126"/>
  <c r="K7" i="126"/>
  <c r="K3" i="126"/>
  <c r="K39" i="126"/>
  <c r="K40" i="126"/>
  <c r="E11" i="134"/>
  <c r="E12" i="134"/>
  <c r="N12" i="134"/>
  <c r="P13" i="134"/>
  <c r="P14" i="134"/>
  <c r="E17" i="134"/>
  <c r="E18" i="134"/>
  <c r="O30" i="134"/>
  <c r="E38" i="132"/>
  <c r="L38" i="132"/>
  <c r="N38" i="132"/>
  <c r="I49" i="126"/>
  <c r="G49" i="126"/>
  <c r="O40" i="134"/>
  <c r="N40" i="134"/>
  <c r="O39" i="134"/>
  <c r="O38" i="134"/>
  <c r="O37" i="134"/>
  <c r="O36" i="134"/>
  <c r="O35" i="134"/>
  <c r="P35" i="134"/>
  <c r="P34" i="134"/>
  <c r="O34" i="134"/>
  <c r="O29" i="134"/>
  <c r="O28" i="134"/>
  <c r="O27" i="134"/>
  <c r="P27" i="134"/>
  <c r="O26" i="134"/>
  <c r="O25" i="134"/>
  <c r="O24" i="134"/>
  <c r="B23" i="134"/>
  <c r="O20" i="134"/>
  <c r="O19" i="134"/>
  <c r="O18" i="134"/>
  <c r="O17" i="134"/>
  <c r="O16" i="134"/>
  <c r="O15" i="134"/>
  <c r="O14" i="134"/>
  <c r="O13" i="134"/>
  <c r="O12" i="134"/>
  <c r="O11" i="134"/>
  <c r="O10" i="134"/>
  <c r="P10" i="134"/>
  <c r="O9" i="134"/>
  <c r="O8" i="134"/>
  <c r="O7" i="134"/>
  <c r="O6" i="134"/>
  <c r="H3" i="134"/>
  <c r="J3" i="134"/>
  <c r="L3" i="134"/>
  <c r="D2" i="134"/>
  <c r="B1" i="134"/>
  <c r="A1" i="134" s="1"/>
  <c r="M41" i="132"/>
  <c r="M40" i="132"/>
  <c r="M39" i="132"/>
  <c r="M38" i="132"/>
  <c r="N37" i="132"/>
  <c r="M37" i="132"/>
  <c r="M36" i="132"/>
  <c r="N36" i="132"/>
  <c r="M34" i="132"/>
  <c r="M29" i="132"/>
  <c r="M28" i="132"/>
  <c r="M27" i="132"/>
  <c r="N27" i="132"/>
  <c r="M26" i="132"/>
  <c r="M25" i="132"/>
  <c r="M24" i="132"/>
  <c r="B23" i="132"/>
  <c r="M20" i="132"/>
  <c r="M19" i="132"/>
  <c r="M18" i="132"/>
  <c r="M17" i="132"/>
  <c r="E17" i="132"/>
  <c r="L17" i="132"/>
  <c r="N17" i="132"/>
  <c r="M16" i="132"/>
  <c r="N16" i="132"/>
  <c r="M15" i="132"/>
  <c r="N15" i="132"/>
  <c r="M14" i="132"/>
  <c r="N14" i="132"/>
  <c r="M13" i="132"/>
  <c r="N13" i="132"/>
  <c r="M12" i="132"/>
  <c r="M11" i="132"/>
  <c r="M10" i="132"/>
  <c r="M9" i="132"/>
  <c r="M8" i="132"/>
  <c r="M7" i="132"/>
  <c r="M6" i="132"/>
  <c r="N6" i="132"/>
  <c r="G3" i="132"/>
  <c r="H3" i="132"/>
  <c r="G5" i="132"/>
  <c r="D2" i="132"/>
  <c r="B1" i="132"/>
  <c r="A1" i="132" s="1"/>
  <c r="C78" i="126"/>
  <c r="C15" i="131"/>
  <c r="C16" i="131"/>
  <c r="G2" i="131"/>
  <c r="B15" i="131"/>
  <c r="B16" i="131"/>
  <c r="F2" i="131"/>
  <c r="N12" i="132"/>
  <c r="G7" i="126"/>
  <c r="G38" i="126"/>
  <c r="E38" i="126"/>
  <c r="L38" i="126"/>
  <c r="N38" i="126"/>
  <c r="F67" i="126"/>
  <c r="E67" i="126"/>
  <c r="F66" i="126"/>
  <c r="E66" i="126"/>
  <c r="J62" i="126"/>
  <c r="J63" i="126"/>
  <c r="I62" i="126"/>
  <c r="I63" i="126"/>
  <c r="I60" i="126"/>
  <c r="E60" i="126"/>
  <c r="I59" i="126"/>
  <c r="E59" i="126"/>
  <c r="L36" i="126"/>
  <c r="N36" i="126"/>
  <c r="M35" i="126"/>
  <c r="M36" i="126"/>
  <c r="L35" i="126"/>
  <c r="N35" i="126"/>
  <c r="L29" i="126"/>
  <c r="N29" i="126"/>
  <c r="M29" i="126"/>
  <c r="E56" i="126"/>
  <c r="M34" i="126"/>
  <c r="L34" i="126"/>
  <c r="N34" i="126"/>
  <c r="G43" i="126"/>
  <c r="E43" i="126"/>
  <c r="C24" i="126"/>
  <c r="G39" i="126"/>
  <c r="G40" i="126"/>
  <c r="E37" i="126"/>
  <c r="L37" i="126"/>
  <c r="L33" i="126"/>
  <c r="D23" i="126"/>
  <c r="M37" i="126"/>
  <c r="F43" i="126"/>
  <c r="E17" i="126"/>
  <c r="L17" i="126"/>
  <c r="N17" i="126"/>
  <c r="D47" i="126"/>
  <c r="D51" i="126"/>
  <c r="L41" i="126"/>
  <c r="M41" i="126"/>
  <c r="M8" i="126"/>
  <c r="I31" i="124"/>
  <c r="I43" i="124"/>
  <c r="I45" i="124"/>
  <c r="I13" i="124"/>
  <c r="J31" i="124"/>
  <c r="J33" i="124"/>
  <c r="J42" i="124"/>
  <c r="J6" i="124"/>
  <c r="J9" i="124"/>
  <c r="J44" i="124"/>
  <c r="E14" i="124"/>
  <c r="E42" i="124"/>
  <c r="I42" i="124"/>
  <c r="I6" i="124"/>
  <c r="I14" i="124"/>
  <c r="H9" i="124"/>
  <c r="H43" i="124"/>
  <c r="H6" i="124"/>
  <c r="H42" i="124"/>
  <c r="E41" i="124"/>
  <c r="H45" i="124"/>
  <c r="E9" i="124"/>
  <c r="E33" i="124"/>
  <c r="E29" i="124"/>
  <c r="K29" i="124"/>
  <c r="M29" i="124"/>
  <c r="E36" i="124"/>
  <c r="H31" i="124"/>
  <c r="J10" i="124"/>
  <c r="J43" i="124"/>
  <c r="E6" i="124"/>
  <c r="H41" i="124"/>
  <c r="G6" i="124"/>
  <c r="G43" i="124"/>
  <c r="G33" i="124"/>
  <c r="G29" i="124"/>
  <c r="G8" i="124"/>
  <c r="K8" i="124"/>
  <c r="M8" i="124"/>
  <c r="G9" i="124"/>
  <c r="G42" i="124"/>
  <c r="G36" i="124"/>
  <c r="G10" i="124"/>
  <c r="K10" i="124"/>
  <c r="M10" i="124"/>
  <c r="F42" i="124"/>
  <c r="G45" i="124"/>
  <c r="G41" i="124"/>
  <c r="F45" i="124"/>
  <c r="F41" i="124"/>
  <c r="F6" i="124"/>
  <c r="F43" i="124"/>
  <c r="F33" i="124"/>
  <c r="F9" i="124"/>
  <c r="F44" i="124"/>
  <c r="L44" i="124"/>
  <c r="L8" i="124"/>
  <c r="L10" i="124"/>
  <c r="L7" i="124"/>
  <c r="K7" i="124"/>
  <c r="M7" i="124"/>
  <c r="E13" i="124"/>
  <c r="I44" i="118"/>
  <c r="K39" i="118"/>
  <c r="M39" i="118"/>
  <c r="E40" i="118"/>
  <c r="F40" i="118"/>
  <c r="G40" i="118"/>
  <c r="H40" i="118"/>
  <c r="E41" i="118"/>
  <c r="F41" i="118"/>
  <c r="I41" i="118"/>
  <c r="G27" i="118"/>
  <c r="H27" i="118"/>
  <c r="I27" i="118"/>
  <c r="K28" i="118"/>
  <c r="M28" i="118"/>
  <c r="E29" i="118"/>
  <c r="F29" i="118"/>
  <c r="K29" i="118"/>
  <c r="G29" i="118"/>
  <c r="H29" i="118"/>
  <c r="I29" i="118"/>
  <c r="K30" i="118"/>
  <c r="M30" i="118"/>
  <c r="K31" i="118"/>
  <c r="M31" i="118"/>
  <c r="K32" i="118"/>
  <c r="M32" i="118"/>
  <c r="K33" i="118"/>
  <c r="M33" i="118"/>
  <c r="E6" i="118"/>
  <c r="F6" i="118"/>
  <c r="G6" i="118"/>
  <c r="H6" i="118"/>
  <c r="K6" i="118"/>
  <c r="I6" i="118"/>
  <c r="E7" i="118"/>
  <c r="F7" i="118"/>
  <c r="G7" i="118"/>
  <c r="H7" i="118"/>
  <c r="I7" i="118"/>
  <c r="E8" i="118"/>
  <c r="F8" i="118"/>
  <c r="H8" i="118"/>
  <c r="K9" i="118"/>
  <c r="M9" i="118"/>
  <c r="K10" i="118"/>
  <c r="M10" i="118"/>
  <c r="E11" i="118"/>
  <c r="D5" i="118"/>
  <c r="I11" i="118"/>
  <c r="E12" i="118"/>
  <c r="I12" i="118"/>
  <c r="K13" i="118"/>
  <c r="M13" i="118"/>
  <c r="K14" i="118"/>
  <c r="M14" i="118"/>
  <c r="F15" i="118"/>
  <c r="K15" i="118"/>
  <c r="M15" i="118"/>
  <c r="K16" i="118"/>
  <c r="M16" i="118"/>
  <c r="K17" i="118"/>
  <c r="M17" i="118"/>
  <c r="E18" i="118"/>
  <c r="G18" i="118"/>
  <c r="E19" i="118"/>
  <c r="H19" i="118"/>
  <c r="K20" i="118"/>
  <c r="M20" i="118"/>
  <c r="K21" i="118"/>
  <c r="M21" i="118"/>
  <c r="K22" i="118"/>
  <c r="M22" i="118"/>
  <c r="K23" i="118"/>
  <c r="M23" i="118"/>
  <c r="I42" i="118"/>
  <c r="J47" i="118"/>
  <c r="F54" i="118"/>
  <c r="F56" i="118"/>
  <c r="I34" i="118"/>
  <c r="H51" i="118"/>
  <c r="I52" i="118"/>
  <c r="I51" i="118"/>
  <c r="I49" i="118"/>
  <c r="E18" i="126"/>
  <c r="E34" i="118"/>
  <c r="H34" i="118"/>
  <c r="E35" i="118"/>
  <c r="E21" i="124"/>
  <c r="K21" i="124"/>
  <c r="M21" i="124"/>
  <c r="H42" i="118"/>
  <c r="H44" i="118"/>
  <c r="L34" i="118"/>
  <c r="F50" i="118"/>
  <c r="F51" i="118"/>
  <c r="G35" i="118"/>
  <c r="G44" i="118"/>
  <c r="G42" i="118"/>
  <c r="F44" i="118"/>
  <c r="L84" i="118"/>
  <c r="L85" i="118"/>
  <c r="E39" i="126"/>
  <c r="K85" i="118"/>
  <c r="J85" i="118"/>
  <c r="I85" i="118"/>
  <c r="F42" i="118"/>
  <c r="E89" i="74"/>
  <c r="M40" i="126"/>
  <c r="M39" i="126"/>
  <c r="M38" i="126"/>
  <c r="L30" i="126"/>
  <c r="M28" i="126"/>
  <c r="L28" i="126"/>
  <c r="N28" i="126"/>
  <c r="M27" i="126"/>
  <c r="L27" i="126"/>
  <c r="N27" i="126"/>
  <c r="M26" i="126"/>
  <c r="M25" i="126"/>
  <c r="M24" i="126"/>
  <c r="B23" i="126"/>
  <c r="M20" i="126"/>
  <c r="L20" i="126"/>
  <c r="N20" i="126"/>
  <c r="M19" i="126"/>
  <c r="L19" i="126"/>
  <c r="N19" i="126"/>
  <c r="M18" i="126"/>
  <c r="M17" i="126"/>
  <c r="M16" i="126"/>
  <c r="L16" i="126"/>
  <c r="N16" i="126"/>
  <c r="M15" i="126"/>
  <c r="L15" i="126"/>
  <c r="N15" i="126"/>
  <c r="M14" i="126"/>
  <c r="L14" i="126"/>
  <c r="N14" i="126"/>
  <c r="M13" i="126"/>
  <c r="L13" i="126"/>
  <c r="N13" i="126"/>
  <c r="M12" i="126"/>
  <c r="E12" i="126"/>
  <c r="L12" i="126"/>
  <c r="N12" i="126"/>
  <c r="M11" i="126"/>
  <c r="E11" i="126"/>
  <c r="L11" i="126"/>
  <c r="M10" i="126"/>
  <c r="L10" i="126"/>
  <c r="N10" i="126"/>
  <c r="M9" i="126"/>
  <c r="L9" i="126"/>
  <c r="N9" i="126"/>
  <c r="M7" i="126"/>
  <c r="M6" i="126"/>
  <c r="G3" i="126"/>
  <c r="H3" i="126"/>
  <c r="I3" i="126"/>
  <c r="J3" i="126"/>
  <c r="D2" i="126"/>
  <c r="B1" i="126"/>
  <c r="A1" i="126" s="1"/>
  <c r="Q61" i="118"/>
  <c r="P61" i="118"/>
  <c r="O61" i="118"/>
  <c r="M61" i="118"/>
  <c r="L61" i="118"/>
  <c r="K61" i="118"/>
  <c r="L25" i="126"/>
  <c r="N25" i="126"/>
  <c r="L26" i="126"/>
  <c r="N26" i="126"/>
  <c r="G76" i="123"/>
  <c r="F7" i="123"/>
  <c r="M7" i="123"/>
  <c r="O7" i="123"/>
  <c r="F10" i="123"/>
  <c r="L43" i="124"/>
  <c r="L42" i="124"/>
  <c r="L41" i="124"/>
  <c r="L40" i="124"/>
  <c r="K40" i="124"/>
  <c r="M40" i="124"/>
  <c r="K36" i="124"/>
  <c r="L35" i="124"/>
  <c r="K35" i="124"/>
  <c r="M35" i="124"/>
  <c r="L34" i="124"/>
  <c r="K34" i="124"/>
  <c r="M34" i="124"/>
  <c r="L33" i="124"/>
  <c r="L32" i="124"/>
  <c r="K32" i="124"/>
  <c r="M32" i="124"/>
  <c r="L31" i="124"/>
  <c r="L30" i="124"/>
  <c r="L29" i="124"/>
  <c r="B28" i="124"/>
  <c r="L25" i="124"/>
  <c r="K25" i="124"/>
  <c r="M25" i="124"/>
  <c r="L24" i="124"/>
  <c r="K24" i="124"/>
  <c r="M24" i="124"/>
  <c r="L23" i="124"/>
  <c r="K23" i="124"/>
  <c r="M23" i="124"/>
  <c r="L22" i="124"/>
  <c r="K22" i="124"/>
  <c r="M22" i="124"/>
  <c r="L21" i="124"/>
  <c r="L20" i="124"/>
  <c r="K20" i="124"/>
  <c r="M20" i="124"/>
  <c r="L19" i="124"/>
  <c r="K19" i="124"/>
  <c r="M19" i="124"/>
  <c r="L18" i="124"/>
  <c r="K18" i="124"/>
  <c r="M18" i="124"/>
  <c r="L17" i="124"/>
  <c r="K17" i="124"/>
  <c r="M17" i="124"/>
  <c r="L16" i="124"/>
  <c r="K16" i="124"/>
  <c r="M16" i="124"/>
  <c r="L15" i="124"/>
  <c r="K15" i="124"/>
  <c r="M15" i="124"/>
  <c r="L14" i="124"/>
  <c r="L13" i="124"/>
  <c r="L12" i="124"/>
  <c r="K12" i="124"/>
  <c r="M12" i="124"/>
  <c r="L11" i="124"/>
  <c r="K11" i="124"/>
  <c r="M11" i="124"/>
  <c r="L9" i="124"/>
  <c r="L6" i="124"/>
  <c r="G3" i="124"/>
  <c r="H3" i="124"/>
  <c r="I3" i="124"/>
  <c r="D2" i="124"/>
  <c r="B1" i="124"/>
  <c r="A1" i="124" s="1"/>
  <c r="E38" i="123"/>
  <c r="E10" i="123"/>
  <c r="E16" i="123"/>
  <c r="D5" i="123"/>
  <c r="N17" i="123"/>
  <c r="N14" i="123"/>
  <c r="N13" i="123"/>
  <c r="N12" i="123"/>
  <c r="N11" i="123"/>
  <c r="K68" i="123"/>
  <c r="M71" i="123"/>
  <c r="I71" i="123"/>
  <c r="K71" i="123"/>
  <c r="M68" i="123"/>
  <c r="E68" i="123"/>
  <c r="B68" i="123"/>
  <c r="B69" i="123"/>
  <c r="B70" i="123"/>
  <c r="B71" i="123"/>
  <c r="D64" i="123"/>
  <c r="C64" i="123"/>
  <c r="I62" i="123"/>
  <c r="K62" i="123"/>
  <c r="O62" i="123"/>
  <c r="D60" i="123"/>
  <c r="C60" i="123"/>
  <c r="C57" i="123"/>
  <c r="C56" i="123"/>
  <c r="B56" i="123"/>
  <c r="B57" i="123"/>
  <c r="B58" i="123"/>
  <c r="B59" i="123"/>
  <c r="P55" i="123"/>
  <c r="G54" i="123"/>
  <c r="E52" i="123"/>
  <c r="B6" i="123"/>
  <c r="B36" i="123"/>
  <c r="N50" i="123"/>
  <c r="N49" i="123"/>
  <c r="N48" i="123"/>
  <c r="M48" i="123"/>
  <c r="O48" i="123"/>
  <c r="N47" i="123"/>
  <c r="M47" i="123"/>
  <c r="O47" i="123"/>
  <c r="N46" i="123"/>
  <c r="M46" i="123"/>
  <c r="O46" i="123"/>
  <c r="R42" i="123"/>
  <c r="N42" i="123"/>
  <c r="M42" i="123"/>
  <c r="O42" i="123"/>
  <c r="N41" i="123"/>
  <c r="M41" i="123"/>
  <c r="O41" i="123"/>
  <c r="N40" i="123"/>
  <c r="M40" i="123"/>
  <c r="O40" i="123"/>
  <c r="N39" i="123"/>
  <c r="M39" i="123"/>
  <c r="O39" i="123"/>
  <c r="N38" i="123"/>
  <c r="N37" i="123"/>
  <c r="M37" i="123"/>
  <c r="O37" i="123"/>
  <c r="N36" i="123"/>
  <c r="B35" i="123"/>
  <c r="N32" i="123"/>
  <c r="M32" i="123"/>
  <c r="O32" i="123"/>
  <c r="N31" i="123"/>
  <c r="M31" i="123"/>
  <c r="O31" i="123"/>
  <c r="N30" i="123"/>
  <c r="M30" i="123"/>
  <c r="O30" i="123"/>
  <c r="N29" i="123"/>
  <c r="M29" i="123"/>
  <c r="O29" i="123"/>
  <c r="N28" i="123"/>
  <c r="M28" i="123"/>
  <c r="O28" i="123"/>
  <c r="N27" i="123"/>
  <c r="M27" i="123"/>
  <c r="O27" i="123"/>
  <c r="N26" i="123"/>
  <c r="M26" i="123"/>
  <c r="O26" i="123"/>
  <c r="N25" i="123"/>
  <c r="M25" i="123"/>
  <c r="O25" i="123"/>
  <c r="N24" i="123"/>
  <c r="M24" i="123"/>
  <c r="O24" i="123"/>
  <c r="N23" i="123"/>
  <c r="M23" i="123"/>
  <c r="O23" i="123"/>
  <c r="N22" i="123"/>
  <c r="M22" i="123"/>
  <c r="O22" i="123"/>
  <c r="N21" i="123"/>
  <c r="M21" i="123"/>
  <c r="O21" i="123"/>
  <c r="N16" i="123"/>
  <c r="N10" i="123"/>
  <c r="N9" i="123"/>
  <c r="M9" i="123"/>
  <c r="O9" i="123"/>
  <c r="N8" i="123"/>
  <c r="M8" i="123"/>
  <c r="O8" i="123"/>
  <c r="N7" i="123"/>
  <c r="N6" i="123"/>
  <c r="M6" i="123"/>
  <c r="R3" i="123"/>
  <c r="L3" i="123"/>
  <c r="K3" i="123"/>
  <c r="R53" i="123"/>
  <c r="G3" i="123"/>
  <c r="H3" i="123"/>
  <c r="I3" i="123"/>
  <c r="J3" i="123"/>
  <c r="D2" i="123"/>
  <c r="B1" i="123"/>
  <c r="A1" i="123" s="1"/>
  <c r="M6" i="122"/>
  <c r="O6" i="122"/>
  <c r="F7" i="122"/>
  <c r="M7" i="122"/>
  <c r="O7" i="122"/>
  <c r="M8" i="122"/>
  <c r="O8" i="122"/>
  <c r="M9" i="122"/>
  <c r="O9" i="122"/>
  <c r="E10" i="122"/>
  <c r="M10" i="122"/>
  <c r="E11" i="122"/>
  <c r="F11" i="122"/>
  <c r="M12" i="122"/>
  <c r="O12" i="122"/>
  <c r="M13" i="122"/>
  <c r="O13" i="122"/>
  <c r="M14" i="122"/>
  <c r="O14" i="122"/>
  <c r="M15" i="122"/>
  <c r="O15" i="122"/>
  <c r="M16" i="122"/>
  <c r="O16" i="122"/>
  <c r="M17" i="122"/>
  <c r="O17" i="122"/>
  <c r="M18" i="122"/>
  <c r="O18" i="122"/>
  <c r="M19" i="122"/>
  <c r="O19" i="122"/>
  <c r="M20" i="122"/>
  <c r="O20" i="122"/>
  <c r="M21" i="122"/>
  <c r="O21" i="122"/>
  <c r="M22" i="122"/>
  <c r="O22" i="122"/>
  <c r="M23" i="122"/>
  <c r="O23" i="122"/>
  <c r="P46" i="122"/>
  <c r="K30" i="124"/>
  <c r="M30" i="124"/>
  <c r="F95" i="118"/>
  <c r="F94" i="118"/>
  <c r="F93" i="118"/>
  <c r="F92" i="118"/>
  <c r="F91" i="118"/>
  <c r="F87" i="118"/>
  <c r="F86" i="118"/>
  <c r="F85" i="118"/>
  <c r="F84" i="118"/>
  <c r="F83" i="118"/>
  <c r="F79" i="118"/>
  <c r="F78" i="118"/>
  <c r="F77" i="118"/>
  <c r="F76" i="118"/>
  <c r="F75" i="118"/>
  <c r="D76" i="118"/>
  <c r="D77" i="118"/>
  <c r="D78" i="118"/>
  <c r="D79" i="118"/>
  <c r="D75" i="118"/>
  <c r="C63" i="118"/>
  <c r="C64" i="118"/>
  <c r="F43" i="122"/>
  <c r="E43" i="122"/>
  <c r="G45" i="122"/>
  <c r="E78" i="122"/>
  <c r="E70" i="122"/>
  <c r="I62" i="122"/>
  <c r="K62" i="122"/>
  <c r="M59" i="122"/>
  <c r="K59" i="122"/>
  <c r="M62" i="122"/>
  <c r="E59" i="122"/>
  <c r="B59" i="122"/>
  <c r="B60" i="122"/>
  <c r="B61" i="122"/>
  <c r="B62" i="122"/>
  <c r="D55" i="122"/>
  <c r="C55" i="122"/>
  <c r="I53" i="122"/>
  <c r="K53" i="122"/>
  <c r="O53" i="122"/>
  <c r="D51" i="122"/>
  <c r="C51" i="122"/>
  <c r="C48" i="122"/>
  <c r="C47" i="122"/>
  <c r="B47" i="122"/>
  <c r="N41" i="122"/>
  <c r="N40" i="122"/>
  <c r="N39" i="122"/>
  <c r="M39" i="122"/>
  <c r="O39" i="122"/>
  <c r="N38" i="122"/>
  <c r="M38" i="122"/>
  <c r="O38" i="122"/>
  <c r="N37" i="122"/>
  <c r="M37" i="122"/>
  <c r="O37" i="122"/>
  <c r="R33" i="122"/>
  <c r="N33" i="122"/>
  <c r="M33" i="122"/>
  <c r="O33" i="122"/>
  <c r="N32" i="122"/>
  <c r="M32" i="122"/>
  <c r="O32" i="122"/>
  <c r="N31" i="122"/>
  <c r="M31" i="122"/>
  <c r="O31" i="122"/>
  <c r="N30" i="122"/>
  <c r="M30" i="122"/>
  <c r="O30" i="122"/>
  <c r="N29" i="122"/>
  <c r="N28" i="122"/>
  <c r="M28" i="122"/>
  <c r="O28" i="122"/>
  <c r="N27" i="122"/>
  <c r="B26" i="122"/>
  <c r="N23" i="122"/>
  <c r="N22" i="122"/>
  <c r="N21" i="122"/>
  <c r="N20" i="122"/>
  <c r="N19" i="122"/>
  <c r="N18" i="122"/>
  <c r="N17" i="122"/>
  <c r="N16" i="122"/>
  <c r="N15" i="122"/>
  <c r="N14" i="122"/>
  <c r="N13" i="122"/>
  <c r="N12" i="122"/>
  <c r="N11" i="122"/>
  <c r="N10" i="122"/>
  <c r="N9" i="122"/>
  <c r="N8" i="122"/>
  <c r="N7" i="122"/>
  <c r="N6" i="122"/>
  <c r="R3" i="122"/>
  <c r="L3" i="122"/>
  <c r="K3" i="122"/>
  <c r="R44" i="122"/>
  <c r="G3" i="122"/>
  <c r="H3" i="122"/>
  <c r="I3" i="122"/>
  <c r="J3" i="122"/>
  <c r="D2" i="122"/>
  <c r="B1" i="122"/>
  <c r="A1" i="122" s="1"/>
  <c r="H8" i="121"/>
  <c r="G8" i="121"/>
  <c r="M41" i="121"/>
  <c r="O41" i="121"/>
  <c r="M39" i="121"/>
  <c r="O39" i="121"/>
  <c r="E80" i="121"/>
  <c r="E72" i="121"/>
  <c r="E81" i="121"/>
  <c r="M29" i="122"/>
  <c r="O29" i="122"/>
  <c r="D26" i="122"/>
  <c r="E7" i="121"/>
  <c r="H6" i="121"/>
  <c r="K3" i="121"/>
  <c r="R46" i="121"/>
  <c r="M18" i="121"/>
  <c r="O18" i="121"/>
  <c r="K61" i="121"/>
  <c r="M64" i="121"/>
  <c r="O64" i="121"/>
  <c r="O66" i="121"/>
  <c r="O67" i="121"/>
  <c r="O68" i="121"/>
  <c r="O69" i="121"/>
  <c r="O70" i="121"/>
  <c r="I64" i="121"/>
  <c r="K64" i="121"/>
  <c r="M61" i="121"/>
  <c r="E61" i="121"/>
  <c r="B61" i="121"/>
  <c r="B62" i="121"/>
  <c r="B63" i="121"/>
  <c r="B64" i="121"/>
  <c r="D57" i="121"/>
  <c r="C57" i="121"/>
  <c r="I55" i="121"/>
  <c r="K55" i="121"/>
  <c r="O55" i="121"/>
  <c r="D53" i="121"/>
  <c r="C53" i="121"/>
  <c r="C50" i="121"/>
  <c r="C49" i="121"/>
  <c r="B49" i="121"/>
  <c r="B50" i="121"/>
  <c r="B51" i="121"/>
  <c r="B52" i="121"/>
  <c r="E45" i="121"/>
  <c r="B7" i="121"/>
  <c r="N43" i="121"/>
  <c r="N42" i="121"/>
  <c r="N41" i="121"/>
  <c r="N40" i="121"/>
  <c r="M40" i="121"/>
  <c r="O40" i="121"/>
  <c r="N39" i="121"/>
  <c r="R35" i="121"/>
  <c r="N35" i="121"/>
  <c r="M35" i="121"/>
  <c r="O35" i="121"/>
  <c r="N34" i="121"/>
  <c r="M34" i="121"/>
  <c r="O34" i="121"/>
  <c r="N33" i="121"/>
  <c r="M33" i="121"/>
  <c r="O33" i="121"/>
  <c r="N32" i="121"/>
  <c r="M32" i="121"/>
  <c r="O32" i="121"/>
  <c r="N31" i="121"/>
  <c r="N30" i="121"/>
  <c r="M30" i="121"/>
  <c r="O30" i="121"/>
  <c r="N29" i="121"/>
  <c r="B28" i="121"/>
  <c r="N25" i="121"/>
  <c r="M25" i="121"/>
  <c r="O25" i="121"/>
  <c r="N24" i="121"/>
  <c r="M24" i="121"/>
  <c r="O24" i="121"/>
  <c r="N23" i="121"/>
  <c r="M23" i="121"/>
  <c r="O23" i="121"/>
  <c r="N22" i="121"/>
  <c r="M22" i="121"/>
  <c r="O22" i="121"/>
  <c r="N21" i="121"/>
  <c r="M21" i="121"/>
  <c r="O21" i="121"/>
  <c r="N20" i="121"/>
  <c r="M20" i="121"/>
  <c r="O20" i="121"/>
  <c r="N19" i="121"/>
  <c r="M19" i="121"/>
  <c r="O19" i="121"/>
  <c r="N18" i="121"/>
  <c r="N17" i="121"/>
  <c r="M17" i="121"/>
  <c r="O17" i="121"/>
  <c r="N16" i="121"/>
  <c r="M16" i="121"/>
  <c r="O16" i="121"/>
  <c r="N15" i="121"/>
  <c r="M15" i="121"/>
  <c r="O15" i="121"/>
  <c r="N14" i="121"/>
  <c r="M14" i="121"/>
  <c r="O14" i="121"/>
  <c r="N13" i="121"/>
  <c r="E13" i="121"/>
  <c r="M13" i="121"/>
  <c r="O13" i="121"/>
  <c r="N12" i="121"/>
  <c r="E12" i="121"/>
  <c r="M12" i="121"/>
  <c r="O12" i="121"/>
  <c r="N11" i="121"/>
  <c r="M11" i="121"/>
  <c r="O11" i="121"/>
  <c r="N10" i="121"/>
  <c r="M10" i="121"/>
  <c r="O10" i="121"/>
  <c r="N9" i="121"/>
  <c r="F8" i="121"/>
  <c r="J8" i="121"/>
  <c r="I8" i="121"/>
  <c r="N7" i="121"/>
  <c r="R3" i="121"/>
  <c r="L3" i="121"/>
  <c r="G3" i="121"/>
  <c r="H3" i="121"/>
  <c r="I3" i="121"/>
  <c r="J3" i="121"/>
  <c r="D2" i="121"/>
  <c r="B1" i="121"/>
  <c r="A1" i="121" s="1"/>
  <c r="E7" i="117"/>
  <c r="H6" i="117"/>
  <c r="F7" i="117"/>
  <c r="G7" i="117"/>
  <c r="K7" i="117"/>
  <c r="K3" i="117"/>
  <c r="R46" i="117"/>
  <c r="E9" i="117"/>
  <c r="H9" i="117"/>
  <c r="H8" i="117"/>
  <c r="F9" i="117"/>
  <c r="G9" i="117"/>
  <c r="M10" i="117"/>
  <c r="O10" i="117"/>
  <c r="M11" i="117"/>
  <c r="O11" i="117"/>
  <c r="E12" i="117"/>
  <c r="M12" i="117"/>
  <c r="O12" i="117"/>
  <c r="E13" i="117"/>
  <c r="M13" i="117"/>
  <c r="O13" i="117"/>
  <c r="E14" i="117"/>
  <c r="M14" i="117"/>
  <c r="O14" i="117"/>
  <c r="M15" i="117"/>
  <c r="O15" i="117"/>
  <c r="M16" i="117"/>
  <c r="O16" i="117"/>
  <c r="M17" i="117"/>
  <c r="O17" i="117"/>
  <c r="M18" i="117"/>
  <c r="M19" i="117"/>
  <c r="O19" i="117"/>
  <c r="M20" i="117"/>
  <c r="O20" i="117"/>
  <c r="M21" i="117"/>
  <c r="O21" i="117"/>
  <c r="M22" i="117"/>
  <c r="O22" i="117"/>
  <c r="M23" i="117"/>
  <c r="O23" i="117"/>
  <c r="E24" i="117"/>
  <c r="H24" i="117"/>
  <c r="M25" i="117"/>
  <c r="O25" i="117"/>
  <c r="K61" i="117"/>
  <c r="M64" i="117"/>
  <c r="I64" i="117"/>
  <c r="K64" i="117"/>
  <c r="M9" i="121"/>
  <c r="O9" i="121"/>
  <c r="I55" i="117"/>
  <c r="K55" i="117"/>
  <c r="O55" i="117"/>
  <c r="M61" i="117"/>
  <c r="I45" i="117"/>
  <c r="B61" i="117"/>
  <c r="B62" i="117"/>
  <c r="B63" i="117"/>
  <c r="B64" i="117"/>
  <c r="G42" i="117"/>
  <c r="H35" i="117"/>
  <c r="G35" i="117"/>
  <c r="G43" i="117"/>
  <c r="G33" i="117"/>
  <c r="M33" i="117"/>
  <c r="O33" i="117"/>
  <c r="G29" i="117"/>
  <c r="G41" i="117"/>
  <c r="G45" i="117"/>
  <c r="F45" i="117"/>
  <c r="F42" i="117"/>
  <c r="F29" i="117"/>
  <c r="F43" i="117"/>
  <c r="L3" i="117"/>
  <c r="E35" i="117"/>
  <c r="M30" i="117"/>
  <c r="O30" i="117"/>
  <c r="M32" i="117"/>
  <c r="O32" i="117"/>
  <c r="M34" i="117"/>
  <c r="O34" i="117"/>
  <c r="M39" i="117"/>
  <c r="O39" i="117"/>
  <c r="O38" i="117"/>
  <c r="O45" i="117"/>
  <c r="M40" i="117"/>
  <c r="O40" i="117"/>
  <c r="E61" i="117"/>
  <c r="L42" i="118"/>
  <c r="L41" i="118"/>
  <c r="L40" i="118"/>
  <c r="L39" i="118"/>
  <c r="L33" i="118"/>
  <c r="L32" i="118"/>
  <c r="L31" i="118"/>
  <c r="L30" i="118"/>
  <c r="L29" i="118"/>
  <c r="L28" i="118"/>
  <c r="L27" i="118"/>
  <c r="B26" i="118"/>
  <c r="L23" i="118"/>
  <c r="L22" i="118"/>
  <c r="L21" i="118"/>
  <c r="L20" i="118"/>
  <c r="L19" i="118"/>
  <c r="L18" i="118"/>
  <c r="L17" i="118"/>
  <c r="L16" i="118"/>
  <c r="L15" i="118"/>
  <c r="L14" i="118"/>
  <c r="L13" i="118"/>
  <c r="L12" i="118"/>
  <c r="L11" i="118"/>
  <c r="L10" i="118"/>
  <c r="L9" i="118"/>
  <c r="L7" i="118"/>
  <c r="L6" i="118"/>
  <c r="J3" i="118"/>
  <c r="G3" i="118"/>
  <c r="H3" i="118"/>
  <c r="I3" i="118"/>
  <c r="D2" i="118"/>
  <c r="B1" i="118"/>
  <c r="A1" i="118" s="1"/>
  <c r="N40" i="117"/>
  <c r="N41" i="117"/>
  <c r="N42" i="117"/>
  <c r="N43" i="117"/>
  <c r="N39" i="117"/>
  <c r="N30" i="117"/>
  <c r="N31" i="117"/>
  <c r="N32" i="117"/>
  <c r="N33" i="117"/>
  <c r="N34" i="117"/>
  <c r="N35" i="117"/>
  <c r="N29" i="117"/>
  <c r="N9" i="117"/>
  <c r="N10" i="117"/>
  <c r="N11" i="117"/>
  <c r="N12" i="117"/>
  <c r="N13" i="117"/>
  <c r="N14" i="117"/>
  <c r="N15" i="117"/>
  <c r="N16" i="117"/>
  <c r="N17" i="117"/>
  <c r="N18" i="117"/>
  <c r="N19" i="117"/>
  <c r="N20" i="117"/>
  <c r="N21" i="117"/>
  <c r="N22" i="117"/>
  <c r="N23" i="117"/>
  <c r="N24" i="117"/>
  <c r="N25" i="117"/>
  <c r="N7" i="117"/>
  <c r="R35" i="117"/>
  <c r="E41" i="117"/>
  <c r="M41" i="117"/>
  <c r="O41" i="117"/>
  <c r="R3" i="117"/>
  <c r="G3" i="117"/>
  <c r="H3" i="117"/>
  <c r="I3" i="117"/>
  <c r="J3" i="117"/>
  <c r="D57" i="117"/>
  <c r="C57" i="117"/>
  <c r="D53" i="117"/>
  <c r="C53" i="117"/>
  <c r="C50" i="117"/>
  <c r="C49" i="117"/>
  <c r="B49" i="117"/>
  <c r="B50" i="117"/>
  <c r="B51" i="117"/>
  <c r="B52" i="117"/>
  <c r="B28" i="117"/>
  <c r="O18" i="117"/>
  <c r="D2" i="117"/>
  <c r="B1" i="117"/>
  <c r="A1" i="117" s="1"/>
  <c r="F43" i="111"/>
  <c r="G43" i="111"/>
  <c r="E31" i="111"/>
  <c r="E32" i="111"/>
  <c r="E33" i="111"/>
  <c r="K33" i="111"/>
  <c r="L33" i="111"/>
  <c r="G33" i="111"/>
  <c r="N31" i="111"/>
  <c r="I31" i="111"/>
  <c r="I10" i="111"/>
  <c r="I7" i="111"/>
  <c r="I41" i="111"/>
  <c r="I11" i="111"/>
  <c r="L44" i="111"/>
  <c r="I6" i="111"/>
  <c r="I29" i="111"/>
  <c r="H11" i="111"/>
  <c r="H7" i="111"/>
  <c r="I38" i="111"/>
  <c r="K38" i="111"/>
  <c r="L38" i="111"/>
  <c r="K44" i="111"/>
  <c r="E10" i="111"/>
  <c r="E11" i="111"/>
  <c r="H6" i="111"/>
  <c r="H41" i="111"/>
  <c r="H40" i="111"/>
  <c r="H31" i="111"/>
  <c r="G6" i="111"/>
  <c r="G29" i="111"/>
  <c r="G41" i="111"/>
  <c r="G40" i="111"/>
  <c r="G27" i="111"/>
  <c r="G7" i="111"/>
  <c r="G32" i="111"/>
  <c r="D2" i="111"/>
  <c r="K28" i="111"/>
  <c r="F27" i="111"/>
  <c r="G39" i="111"/>
  <c r="K39" i="111"/>
  <c r="L39" i="111"/>
  <c r="K30" i="111"/>
  <c r="L30" i="111"/>
  <c r="F41" i="111"/>
  <c r="F6" i="111"/>
  <c r="F7" i="111"/>
  <c r="G58" i="111"/>
  <c r="G64" i="111"/>
  <c r="G65" i="111"/>
  <c r="G63" i="111"/>
  <c r="E42" i="105"/>
  <c r="K17" i="105"/>
  <c r="F6" i="105"/>
  <c r="B6" i="105"/>
  <c r="B7" i="105"/>
  <c r="F7" i="105"/>
  <c r="F8" i="105"/>
  <c r="C47" i="111"/>
  <c r="B47" i="111"/>
  <c r="C48" i="111"/>
  <c r="D51" i="111"/>
  <c r="C51" i="111"/>
  <c r="D55" i="111"/>
  <c r="C55" i="111"/>
  <c r="K8" i="111"/>
  <c r="L8" i="111"/>
  <c r="K9" i="111"/>
  <c r="L9" i="111"/>
  <c r="K12" i="111"/>
  <c r="L12" i="111"/>
  <c r="K13" i="111"/>
  <c r="L13" i="111"/>
  <c r="K14" i="111"/>
  <c r="L14" i="111"/>
  <c r="K15" i="111"/>
  <c r="L15" i="111"/>
  <c r="K16" i="111"/>
  <c r="L16" i="111"/>
  <c r="K17" i="111"/>
  <c r="L17" i="111"/>
  <c r="K18" i="111"/>
  <c r="L18" i="111"/>
  <c r="K19" i="111"/>
  <c r="L19" i="111"/>
  <c r="K20" i="111"/>
  <c r="L20" i="111"/>
  <c r="K21" i="111"/>
  <c r="L21" i="111"/>
  <c r="K22" i="111"/>
  <c r="L22" i="111"/>
  <c r="K23" i="111"/>
  <c r="L23" i="111"/>
  <c r="B26" i="111"/>
  <c r="K37" i="111"/>
  <c r="L37" i="111"/>
  <c r="E39" i="111"/>
  <c r="H46" i="105"/>
  <c r="F20" i="105"/>
  <c r="F11" i="105"/>
  <c r="F12" i="105"/>
  <c r="I72" i="105"/>
  <c r="I53" i="111"/>
  <c r="J53" i="111"/>
  <c r="L53" i="111"/>
  <c r="B1" i="111"/>
  <c r="A1" i="111" s="1"/>
  <c r="E7" i="105"/>
  <c r="E6" i="105"/>
  <c r="J6" i="105"/>
  <c r="B33" i="105"/>
  <c r="B32" i="105"/>
  <c r="G9" i="105"/>
  <c r="K5" i="105"/>
  <c r="J12" i="105"/>
  <c r="J11" i="105"/>
  <c r="J10" i="105"/>
  <c r="G10" i="105"/>
  <c r="I10" i="105"/>
  <c r="J7" i="105"/>
  <c r="I71" i="105"/>
  <c r="H71" i="105"/>
  <c r="D12" i="105"/>
  <c r="D7" i="105"/>
  <c r="D3" i="105"/>
  <c r="C45" i="105"/>
  <c r="B45" i="105"/>
  <c r="J79" i="105"/>
  <c r="I79" i="105"/>
  <c r="J75" i="105"/>
  <c r="I75" i="105"/>
  <c r="B23" i="105"/>
  <c r="B8" i="105"/>
  <c r="C7" i="105"/>
  <c r="C16" i="105"/>
  <c r="C22" i="105"/>
  <c r="G22" i="105"/>
  <c r="C12" i="105"/>
  <c r="C42" i="105"/>
  <c r="G18" i="105"/>
  <c r="C23" i="105"/>
  <c r="H37" i="105"/>
  <c r="H38" i="105"/>
  <c r="H39" i="105"/>
  <c r="H40" i="105"/>
  <c r="H41" i="105"/>
  <c r="H42" i="105"/>
  <c r="G37" i="105"/>
  <c r="G38" i="105"/>
  <c r="G39" i="105"/>
  <c r="G41" i="105"/>
  <c r="B20" i="105"/>
  <c r="G20" i="105"/>
  <c r="I20" i="105"/>
  <c r="B21" i="105"/>
  <c r="B22" i="105"/>
  <c r="B25" i="105"/>
  <c r="B40" i="105"/>
  <c r="B36" i="105"/>
  <c r="H11" i="105"/>
  <c r="AD6" i="108"/>
  <c r="Z9" i="108"/>
  <c r="Y13" i="108"/>
  <c r="Z15" i="108"/>
  <c r="Z16" i="108"/>
  <c r="Z17" i="108"/>
  <c r="Z18" i="108"/>
  <c r="Z13" i="108"/>
  <c r="A24" i="105"/>
  <c r="H23" i="105"/>
  <c r="Z18" i="105"/>
  <c r="AI18" i="105"/>
  <c r="AK18" i="105"/>
  <c r="Z21" i="105"/>
  <c r="G26" i="105"/>
  <c r="I26" i="105"/>
  <c r="G27" i="105"/>
  <c r="I27" i="105"/>
  <c r="G28" i="105"/>
  <c r="G29" i="105"/>
  <c r="I29" i="105"/>
  <c r="G30" i="105"/>
  <c r="I30" i="105"/>
  <c r="AJ19" i="105"/>
  <c r="AG19" i="105"/>
  <c r="AD19" i="105"/>
  <c r="AJ18" i="105"/>
  <c r="AG18" i="105"/>
  <c r="AD18" i="105"/>
  <c r="AJ17" i="105"/>
  <c r="AI17" i="105"/>
  <c r="AK17" i="105"/>
  <c r="AG17" i="105"/>
  <c r="AD17" i="105"/>
  <c r="AJ16" i="105"/>
  <c r="AG16" i="105"/>
  <c r="AD16" i="105"/>
  <c r="AI16" i="105"/>
  <c r="AK16" i="105"/>
  <c r="AJ13" i="105"/>
  <c r="AG13" i="105"/>
  <c r="AD13" i="105"/>
  <c r="AJ12" i="105"/>
  <c r="AG12" i="105"/>
  <c r="AD12" i="105"/>
  <c r="AI12" i="105"/>
  <c r="AK12" i="105"/>
  <c r="AJ10" i="105"/>
  <c r="AI10" i="105"/>
  <c r="AK10" i="105"/>
  <c r="AG10" i="105"/>
  <c r="AD10" i="105"/>
  <c r="AJ9" i="105"/>
  <c r="AI9" i="105"/>
  <c r="AK9" i="105"/>
  <c r="AG9" i="105"/>
  <c r="AD9" i="105"/>
  <c r="AJ8" i="105"/>
  <c r="AG8" i="105"/>
  <c r="AD8" i="105"/>
  <c r="AI8" i="105"/>
  <c r="AK8" i="105"/>
  <c r="AJ7" i="105"/>
  <c r="AG7" i="105"/>
  <c r="AF21" i="105"/>
  <c r="AD7" i="105"/>
  <c r="AI7" i="105"/>
  <c r="N20" i="108"/>
  <c r="N6" i="108"/>
  <c r="N16" i="108"/>
  <c r="T16" i="108"/>
  <c r="V16" i="108"/>
  <c r="N7" i="108"/>
  <c r="N14" i="108"/>
  <c r="T14" i="108"/>
  <c r="V14" i="108"/>
  <c r="N17" i="108"/>
  <c r="X21" i="108"/>
  <c r="K15" i="108"/>
  <c r="K18" i="108"/>
  <c r="N8" i="108"/>
  <c r="N11" i="108"/>
  <c r="T11" i="108"/>
  <c r="V11" i="108"/>
  <c r="N12" i="108"/>
  <c r="N13" i="108"/>
  <c r="N15" i="108"/>
  <c r="Q6" i="108"/>
  <c r="Q15" i="108"/>
  <c r="Q13" i="108"/>
  <c r="Q12" i="108"/>
  <c r="Q18" i="108"/>
  <c r="Q7" i="108"/>
  <c r="Q8" i="108"/>
  <c r="C50" i="108"/>
  <c r="B23" i="108"/>
  <c r="G23" i="108"/>
  <c r="I23" i="108"/>
  <c r="U7" i="108"/>
  <c r="U8" i="108"/>
  <c r="U9" i="108"/>
  <c r="U10" i="108"/>
  <c r="U11" i="108"/>
  <c r="U12" i="108"/>
  <c r="U13" i="108"/>
  <c r="U14" i="108"/>
  <c r="U15" i="108"/>
  <c r="U16" i="108"/>
  <c r="R7" i="108"/>
  <c r="R8" i="108"/>
  <c r="R9" i="108"/>
  <c r="R10" i="108"/>
  <c r="R11" i="108"/>
  <c r="R12" i="108"/>
  <c r="R13" i="108"/>
  <c r="R14" i="108"/>
  <c r="R15" i="108"/>
  <c r="R16" i="108"/>
  <c r="O7" i="108"/>
  <c r="O8" i="108"/>
  <c r="O9" i="108"/>
  <c r="O10" i="108"/>
  <c r="O11" i="108"/>
  <c r="O12" i="108"/>
  <c r="O13" i="108"/>
  <c r="O14" i="108"/>
  <c r="O15" i="108"/>
  <c r="O16" i="108"/>
  <c r="U6" i="108"/>
  <c r="R6" i="108"/>
  <c r="O6" i="108"/>
  <c r="C47" i="108"/>
  <c r="B47" i="108"/>
  <c r="B24" i="108"/>
  <c r="G24" i="108"/>
  <c r="B5" i="108"/>
  <c r="C96" i="74"/>
  <c r="C85" i="74"/>
  <c r="G9" i="108"/>
  <c r="I9" i="108"/>
  <c r="Y6" i="108"/>
  <c r="Y7" i="108"/>
  <c r="Y8" i="108"/>
  <c r="AC5" i="108"/>
  <c r="C46" i="102"/>
  <c r="B46" i="102"/>
  <c r="C48" i="101"/>
  <c r="D48" i="101"/>
  <c r="B48" i="101"/>
  <c r="H23" i="108"/>
  <c r="H44" i="108"/>
  <c r="A25" i="108"/>
  <c r="H24" i="108"/>
  <c r="H22" i="108"/>
  <c r="B22" i="108"/>
  <c r="G22" i="108"/>
  <c r="I22" i="108"/>
  <c r="H21" i="108"/>
  <c r="B21" i="108"/>
  <c r="H20" i="108"/>
  <c r="G20" i="108"/>
  <c r="I20" i="108"/>
  <c r="H19" i="108"/>
  <c r="G19" i="108"/>
  <c r="I19" i="108"/>
  <c r="H18" i="108"/>
  <c r="H14" i="108"/>
  <c r="G14" i="108"/>
  <c r="I14" i="108"/>
  <c r="H13" i="108"/>
  <c r="G13" i="108"/>
  <c r="H12" i="108"/>
  <c r="G12" i="108"/>
  <c r="I12" i="108"/>
  <c r="H11" i="108"/>
  <c r="G11" i="108"/>
  <c r="I11" i="108"/>
  <c r="T10" i="108"/>
  <c r="V10" i="108"/>
  <c r="H10" i="108"/>
  <c r="G10" i="108"/>
  <c r="I10" i="108"/>
  <c r="T9" i="108"/>
  <c r="V9" i="108"/>
  <c r="H9" i="108"/>
  <c r="H8" i="108"/>
  <c r="G8" i="108"/>
  <c r="I8" i="108"/>
  <c r="H7" i="108"/>
  <c r="G7" i="108"/>
  <c r="I7" i="108"/>
  <c r="H6" i="108"/>
  <c r="G6" i="108"/>
  <c r="I6" i="108"/>
  <c r="F3" i="108"/>
  <c r="E3" i="108"/>
  <c r="D3" i="108"/>
  <c r="C2" i="108"/>
  <c r="D2" i="108"/>
  <c r="E2" i="108"/>
  <c r="F2" i="108"/>
  <c r="A1" i="108"/>
  <c r="A2" i="108" s="1"/>
  <c r="K6" i="102"/>
  <c r="N6" i="102"/>
  <c r="K7" i="102"/>
  <c r="T7" i="102"/>
  <c r="V7" i="102"/>
  <c r="N7" i="102"/>
  <c r="T8" i="102"/>
  <c r="V8" i="102"/>
  <c r="K9" i="102"/>
  <c r="N9" i="102"/>
  <c r="T10" i="102"/>
  <c r="V10" i="102"/>
  <c r="K11" i="102"/>
  <c r="N11" i="102"/>
  <c r="K12" i="102"/>
  <c r="N12" i="102"/>
  <c r="K13" i="102"/>
  <c r="N13" i="102"/>
  <c r="K14" i="102"/>
  <c r="N14" i="102"/>
  <c r="Q14" i="102"/>
  <c r="Q18" i="102"/>
  <c r="K15" i="102"/>
  <c r="T15" i="102"/>
  <c r="V15" i="102"/>
  <c r="N15" i="102"/>
  <c r="T16" i="102"/>
  <c r="V16" i="102"/>
  <c r="N17" i="102"/>
  <c r="G21" i="108"/>
  <c r="I21" i="108"/>
  <c r="C3" i="108"/>
  <c r="C11" i="102"/>
  <c r="G11" i="102"/>
  <c r="E61" i="102"/>
  <c r="B12" i="102"/>
  <c r="G12" i="102"/>
  <c r="I12" i="102"/>
  <c r="B9" i="102"/>
  <c r="C15" i="102"/>
  <c r="C6" i="102"/>
  <c r="G6" i="102"/>
  <c r="I6" i="102"/>
  <c r="G13" i="102"/>
  <c r="I13" i="102"/>
  <c r="H13" i="102"/>
  <c r="G14" i="102"/>
  <c r="I14" i="102"/>
  <c r="H14" i="102"/>
  <c r="H12" i="102"/>
  <c r="G9" i="102"/>
  <c r="I9" i="102"/>
  <c r="K67" i="102"/>
  <c r="L60" i="102"/>
  <c r="L61" i="102"/>
  <c r="L62" i="102"/>
  <c r="L63" i="102"/>
  <c r="L64" i="102"/>
  <c r="L65" i="102"/>
  <c r="L66" i="102"/>
  <c r="L59" i="102"/>
  <c r="B23" i="102"/>
  <c r="G23" i="102"/>
  <c r="C27" i="102"/>
  <c r="G27" i="102"/>
  <c r="I27" i="102"/>
  <c r="C35" i="102"/>
  <c r="B27" i="102"/>
  <c r="B21" i="102"/>
  <c r="G21" i="102"/>
  <c r="I21" i="102"/>
  <c r="J86" i="101"/>
  <c r="H72" i="101"/>
  <c r="H74" i="101"/>
  <c r="H69" i="101"/>
  <c r="D12" i="101"/>
  <c r="J58" i="101"/>
  <c r="D7" i="101"/>
  <c r="B53" i="102"/>
  <c r="B56" i="102"/>
  <c r="D53" i="102"/>
  <c r="D56" i="102"/>
  <c r="F56" i="102"/>
  <c r="C2" i="101"/>
  <c r="B7" i="101"/>
  <c r="G54" i="101"/>
  <c r="D71" i="101"/>
  <c r="D65" i="101"/>
  <c r="D72" i="101"/>
  <c r="D73" i="101"/>
  <c r="D54" i="101"/>
  <c r="D74" i="101"/>
  <c r="D55" i="101"/>
  <c r="D75" i="101"/>
  <c r="G59" i="101"/>
  <c r="B51" i="101"/>
  <c r="B53" i="101"/>
  <c r="B55" i="101"/>
  <c r="B6" i="101"/>
  <c r="G6" i="101"/>
  <c r="I6" i="101"/>
  <c r="G8" i="101"/>
  <c r="I8" i="101"/>
  <c r="G9" i="101"/>
  <c r="I9" i="101"/>
  <c r="B10" i="101"/>
  <c r="G10" i="101"/>
  <c r="I10" i="101"/>
  <c r="B11" i="101"/>
  <c r="G11" i="101"/>
  <c r="I11" i="101"/>
  <c r="G16" i="101"/>
  <c r="I16" i="101"/>
  <c r="G17" i="101"/>
  <c r="I17" i="101"/>
  <c r="B18" i="101"/>
  <c r="G18" i="101"/>
  <c r="I18" i="101"/>
  <c r="B19" i="101"/>
  <c r="G19" i="101"/>
  <c r="I19" i="101"/>
  <c r="G23" i="101"/>
  <c r="I23" i="101"/>
  <c r="G24" i="101"/>
  <c r="I24" i="101"/>
  <c r="G25" i="101"/>
  <c r="I25" i="101"/>
  <c r="G26" i="101"/>
  <c r="I26" i="101"/>
  <c r="G27" i="101"/>
  <c r="I27" i="101"/>
  <c r="G30" i="101"/>
  <c r="I30" i="101"/>
  <c r="G31" i="101"/>
  <c r="I31" i="101"/>
  <c r="B35" i="101"/>
  <c r="B33" i="101"/>
  <c r="G34" i="101"/>
  <c r="G36" i="101"/>
  <c r="G37" i="101"/>
  <c r="G38" i="101"/>
  <c r="G39" i="101"/>
  <c r="G40" i="101"/>
  <c r="G41" i="101"/>
  <c r="G42" i="101"/>
  <c r="A1" i="101"/>
  <c r="A2" i="101" s="1"/>
  <c r="B22" i="101"/>
  <c r="B29" i="101"/>
  <c r="C12" i="101"/>
  <c r="C3" i="101"/>
  <c r="H8" i="101"/>
  <c r="G7" i="102"/>
  <c r="I7" i="102"/>
  <c r="G8" i="102"/>
  <c r="I8" i="102"/>
  <c r="G10" i="102"/>
  <c r="I10" i="102"/>
  <c r="G19" i="102"/>
  <c r="I19" i="102"/>
  <c r="G20" i="102"/>
  <c r="I20" i="102"/>
  <c r="B22" i="102"/>
  <c r="G22" i="102"/>
  <c r="I22" i="102"/>
  <c r="G26" i="102"/>
  <c r="I26" i="102"/>
  <c r="G28" i="102"/>
  <c r="I28" i="102"/>
  <c r="G29" i="102"/>
  <c r="I29" i="102"/>
  <c r="G30" i="102"/>
  <c r="I30" i="102"/>
  <c r="G33" i="102"/>
  <c r="I33" i="102"/>
  <c r="B39" i="102"/>
  <c r="H8" i="102"/>
  <c r="A1" i="102"/>
  <c r="A2" i="102" s="1"/>
  <c r="A1" i="105"/>
  <c r="A2" i="105" s="1"/>
  <c r="G20" i="101"/>
  <c r="G42" i="102"/>
  <c r="H51" i="101"/>
  <c r="I51" i="101"/>
  <c r="H44" i="101"/>
  <c r="H36" i="105"/>
  <c r="H34" i="105"/>
  <c r="G34" i="105"/>
  <c r="I34" i="105"/>
  <c r="H33" i="105"/>
  <c r="H32" i="105"/>
  <c r="A31" i="105"/>
  <c r="H30" i="105"/>
  <c r="H29" i="105"/>
  <c r="H28" i="105"/>
  <c r="I28" i="105"/>
  <c r="H27" i="105"/>
  <c r="H26" i="105"/>
  <c r="H25" i="105"/>
  <c r="H22" i="105"/>
  <c r="H21" i="105"/>
  <c r="G21" i="105"/>
  <c r="I21" i="105"/>
  <c r="H20" i="105"/>
  <c r="H19" i="105"/>
  <c r="G19" i="105"/>
  <c r="H18" i="105"/>
  <c r="H17" i="105"/>
  <c r="H10" i="105"/>
  <c r="H9" i="105"/>
  <c r="I9" i="105"/>
  <c r="H8" i="105"/>
  <c r="H7" i="105"/>
  <c r="H6" i="105"/>
  <c r="E3" i="105"/>
  <c r="C2" i="105"/>
  <c r="D2" i="105"/>
  <c r="E2" i="105"/>
  <c r="F2" i="105"/>
  <c r="H51" i="99"/>
  <c r="I51" i="99"/>
  <c r="B45" i="99"/>
  <c r="F44" i="99"/>
  <c r="G44" i="99"/>
  <c r="C45" i="99"/>
  <c r="F15" i="99"/>
  <c r="G15" i="99"/>
  <c r="F17" i="99"/>
  <c r="F18" i="99"/>
  <c r="F3" i="99"/>
  <c r="B18" i="99"/>
  <c r="F37" i="99"/>
  <c r="G37" i="99"/>
  <c r="I37" i="99"/>
  <c r="F11" i="99"/>
  <c r="F48" i="99"/>
  <c r="F16" i="99"/>
  <c r="G16" i="99"/>
  <c r="I16" i="99"/>
  <c r="H44" i="99"/>
  <c r="B51" i="99"/>
  <c r="B53" i="99"/>
  <c r="B54" i="99"/>
  <c r="E11" i="99"/>
  <c r="E10" i="99"/>
  <c r="E6" i="99"/>
  <c r="E48" i="99"/>
  <c r="C48" i="99"/>
  <c r="D48" i="99"/>
  <c r="B48" i="99"/>
  <c r="B6" i="99"/>
  <c r="C11" i="99"/>
  <c r="C10" i="99"/>
  <c r="B10" i="99"/>
  <c r="D11" i="99"/>
  <c r="D27" i="99"/>
  <c r="G27" i="99"/>
  <c r="I27" i="99"/>
  <c r="D7" i="99"/>
  <c r="G7" i="99"/>
  <c r="I7" i="99"/>
  <c r="D6" i="99"/>
  <c r="D9" i="99"/>
  <c r="G9" i="99"/>
  <c r="I9" i="99"/>
  <c r="C38" i="99"/>
  <c r="G38" i="99"/>
  <c r="I38" i="99"/>
  <c r="C6" i="99"/>
  <c r="B29" i="99"/>
  <c r="B35" i="99"/>
  <c r="G35" i="99"/>
  <c r="I35" i="99"/>
  <c r="B42" i="99"/>
  <c r="G42" i="99"/>
  <c r="I42" i="99"/>
  <c r="H34" i="99"/>
  <c r="H35" i="99"/>
  <c r="H36" i="99"/>
  <c r="H37" i="99"/>
  <c r="H38" i="99"/>
  <c r="H39" i="99"/>
  <c r="H40" i="99"/>
  <c r="H41" i="99"/>
  <c r="H42" i="99"/>
  <c r="G34" i="99"/>
  <c r="I34" i="99"/>
  <c r="G39" i="99"/>
  <c r="I39" i="99"/>
  <c r="G41" i="99"/>
  <c r="I41" i="99"/>
  <c r="A1" i="99"/>
  <c r="A2" i="99" s="1"/>
  <c r="C2" i="99"/>
  <c r="D2" i="99"/>
  <c r="E2" i="99"/>
  <c r="F2" i="99"/>
  <c r="H46" i="101"/>
  <c r="B40" i="99"/>
  <c r="G40" i="99"/>
  <c r="I40" i="99"/>
  <c r="B36" i="99"/>
  <c r="G36" i="99"/>
  <c r="I36" i="99"/>
  <c r="H34" i="101"/>
  <c r="H35" i="101"/>
  <c r="H36" i="101"/>
  <c r="H37" i="101"/>
  <c r="H38" i="101"/>
  <c r="H39" i="101"/>
  <c r="H40" i="101"/>
  <c r="H41" i="101"/>
  <c r="H42" i="101"/>
  <c r="H43" i="102"/>
  <c r="H35" i="102"/>
  <c r="H33" i="102"/>
  <c r="H32" i="102"/>
  <c r="A31" i="102"/>
  <c r="H30" i="102"/>
  <c r="H29" i="102"/>
  <c r="H28" i="102"/>
  <c r="H27" i="102"/>
  <c r="H26" i="102"/>
  <c r="H25" i="102"/>
  <c r="A24" i="102"/>
  <c r="H23" i="102"/>
  <c r="H22" i="102"/>
  <c r="H21" i="102"/>
  <c r="H20" i="102"/>
  <c r="H19" i="102"/>
  <c r="H18" i="102"/>
  <c r="H11" i="102"/>
  <c r="H10" i="102"/>
  <c r="H9" i="102"/>
  <c r="H7" i="102"/>
  <c r="H6" i="102"/>
  <c r="F3" i="102"/>
  <c r="E3" i="102"/>
  <c r="D3" i="102"/>
  <c r="C2" i="102"/>
  <c r="D2" i="102"/>
  <c r="E2" i="102"/>
  <c r="F2" i="102"/>
  <c r="B23" i="99"/>
  <c r="B21" i="99"/>
  <c r="B17" i="99"/>
  <c r="H45" i="99"/>
  <c r="H45" i="101"/>
  <c r="H33" i="101"/>
  <c r="H31" i="101"/>
  <c r="H30" i="101"/>
  <c r="H29" i="101"/>
  <c r="A28" i="101"/>
  <c r="H27" i="101"/>
  <c r="H26" i="101"/>
  <c r="H25" i="101"/>
  <c r="H24" i="101"/>
  <c r="H23" i="101"/>
  <c r="H22" i="101"/>
  <c r="A21" i="101"/>
  <c r="H20" i="101"/>
  <c r="H19" i="101"/>
  <c r="H18" i="101"/>
  <c r="H17" i="101"/>
  <c r="H16" i="101"/>
  <c r="H15" i="101"/>
  <c r="H11" i="101"/>
  <c r="H10" i="101"/>
  <c r="H9" i="101"/>
  <c r="H7" i="101"/>
  <c r="H6" i="101"/>
  <c r="F3" i="101"/>
  <c r="E3" i="101"/>
  <c r="D2" i="101"/>
  <c r="E2" i="101"/>
  <c r="F2" i="101"/>
  <c r="H33" i="99"/>
  <c r="H31" i="99"/>
  <c r="G31" i="99"/>
  <c r="H30" i="99"/>
  <c r="G30" i="99"/>
  <c r="I30" i="99"/>
  <c r="H29" i="99"/>
  <c r="A28" i="99"/>
  <c r="H27" i="99"/>
  <c r="H26" i="99"/>
  <c r="G26" i="99"/>
  <c r="I26" i="99"/>
  <c r="H25" i="99"/>
  <c r="G25" i="99"/>
  <c r="I25" i="99"/>
  <c r="H24" i="99"/>
  <c r="G24" i="99"/>
  <c r="I24" i="99"/>
  <c r="H23" i="99"/>
  <c r="H22" i="99"/>
  <c r="G22" i="99"/>
  <c r="H21" i="99"/>
  <c r="A20" i="99"/>
  <c r="H19" i="99"/>
  <c r="G19" i="99"/>
  <c r="H18" i="99"/>
  <c r="H17" i="99"/>
  <c r="H16" i="99"/>
  <c r="H15" i="99"/>
  <c r="H14" i="99"/>
  <c r="H10" i="99"/>
  <c r="H9" i="99"/>
  <c r="H8" i="99"/>
  <c r="G8" i="99"/>
  <c r="I8" i="99"/>
  <c r="H7" i="99"/>
  <c r="H6" i="99"/>
  <c r="H37" i="98"/>
  <c r="G37" i="98"/>
  <c r="D6" i="98"/>
  <c r="D2" i="98"/>
  <c r="D9" i="98"/>
  <c r="D11" i="98"/>
  <c r="D39" i="98"/>
  <c r="B17" i="98"/>
  <c r="G17" i="98"/>
  <c r="I17" i="98"/>
  <c r="B18" i="98"/>
  <c r="G18" i="98"/>
  <c r="I18" i="98"/>
  <c r="B23" i="98"/>
  <c r="B21" i="98"/>
  <c r="B31" i="98"/>
  <c r="B35" i="98"/>
  <c r="G35" i="98"/>
  <c r="I35" i="98"/>
  <c r="B4" i="98"/>
  <c r="G15" i="98"/>
  <c r="I15" i="98"/>
  <c r="G16" i="98"/>
  <c r="I16" i="98"/>
  <c r="G19" i="98"/>
  <c r="G22" i="98"/>
  <c r="I22" i="98"/>
  <c r="G24" i="98"/>
  <c r="I24" i="98"/>
  <c r="G25" i="98"/>
  <c r="I25" i="98"/>
  <c r="G26" i="98"/>
  <c r="I26" i="98"/>
  <c r="G27" i="98"/>
  <c r="I27" i="98"/>
  <c r="G28" i="98"/>
  <c r="I28" i="98"/>
  <c r="G29" i="98"/>
  <c r="I29" i="98"/>
  <c r="G32" i="98"/>
  <c r="I32" i="98"/>
  <c r="G33" i="98"/>
  <c r="C5" i="98"/>
  <c r="G5" i="98"/>
  <c r="I5" i="98"/>
  <c r="C6" i="98"/>
  <c r="C9" i="98"/>
  <c r="C11" i="98"/>
  <c r="G7" i="98"/>
  <c r="G8" i="98"/>
  <c r="G10" i="98"/>
  <c r="I10" i="98"/>
  <c r="C39" i="98"/>
  <c r="C50" i="98"/>
  <c r="C48" i="98"/>
  <c r="C47" i="98"/>
  <c r="C1" i="98"/>
  <c r="D1" i="98"/>
  <c r="E1" i="98"/>
  <c r="F1" i="98"/>
  <c r="H10" i="98"/>
  <c r="H35" i="98"/>
  <c r="H33" i="98"/>
  <c r="H32" i="98"/>
  <c r="H31" i="98"/>
  <c r="A30" i="98"/>
  <c r="H29" i="98"/>
  <c r="H28" i="98"/>
  <c r="H27" i="98"/>
  <c r="H26" i="98"/>
  <c r="H25" i="98"/>
  <c r="H24" i="98"/>
  <c r="H23" i="98"/>
  <c r="H22" i="98"/>
  <c r="H21" i="98"/>
  <c r="A20" i="98"/>
  <c r="H19" i="98"/>
  <c r="H18" i="98"/>
  <c r="H17" i="98"/>
  <c r="H16" i="98"/>
  <c r="H15" i="98"/>
  <c r="H14" i="98"/>
  <c r="E2" i="98"/>
  <c r="H9" i="98"/>
  <c r="H8" i="98"/>
  <c r="H7" i="98"/>
  <c r="F2" i="98"/>
  <c r="H6" i="98"/>
  <c r="H5" i="98"/>
  <c r="H38" i="90"/>
  <c r="F36" i="90"/>
  <c r="C36" i="90"/>
  <c r="F6" i="90"/>
  <c r="G6" i="90"/>
  <c r="I6" i="90"/>
  <c r="F7" i="90"/>
  <c r="F9" i="90"/>
  <c r="F10" i="90"/>
  <c r="B16" i="90"/>
  <c r="B5" i="90"/>
  <c r="B6" i="90"/>
  <c r="E44" i="90"/>
  <c r="E45" i="90"/>
  <c r="D48" i="90"/>
  <c r="C1" i="90"/>
  <c r="D1" i="90"/>
  <c r="E1" i="90"/>
  <c r="F1" i="90"/>
  <c r="E10" i="90"/>
  <c r="E2" i="90"/>
  <c r="D10" i="90"/>
  <c r="D2" i="90"/>
  <c r="C34" i="90"/>
  <c r="C10" i="90"/>
  <c r="C9" i="90"/>
  <c r="G8" i="90"/>
  <c r="I8" i="90"/>
  <c r="G25" i="90"/>
  <c r="I25" i="90"/>
  <c r="C41" i="88"/>
  <c r="B41" i="88"/>
  <c r="C10" i="88"/>
  <c r="C2" i="88"/>
  <c r="B21" i="88"/>
  <c r="B4" i="88"/>
  <c r="B34" i="90"/>
  <c r="B23" i="87"/>
  <c r="B21" i="87"/>
  <c r="G30" i="87"/>
  <c r="H30" i="87"/>
  <c r="G28" i="90"/>
  <c r="I28" i="90"/>
  <c r="H28" i="90"/>
  <c r="B38" i="88"/>
  <c r="B36" i="88"/>
  <c r="G28" i="88"/>
  <c r="I28" i="88"/>
  <c r="G27" i="88"/>
  <c r="I27" i="88"/>
  <c r="H28" i="88"/>
  <c r="H27" i="88"/>
  <c r="G27" i="90"/>
  <c r="I27" i="90"/>
  <c r="H27" i="90"/>
  <c r="G26" i="90"/>
  <c r="I26" i="90"/>
  <c r="H26" i="90"/>
  <c r="E1" i="88"/>
  <c r="F2" i="88"/>
  <c r="C1" i="88"/>
  <c r="D1" i="88"/>
  <c r="H34" i="90"/>
  <c r="H32" i="90"/>
  <c r="G32" i="90"/>
  <c r="I32" i="90"/>
  <c r="H31" i="90"/>
  <c r="G31" i="90"/>
  <c r="I31" i="90"/>
  <c r="H30" i="90"/>
  <c r="B30" i="90"/>
  <c r="A29" i="90"/>
  <c r="H25" i="90"/>
  <c r="H24" i="90"/>
  <c r="G24" i="90"/>
  <c r="I24" i="90"/>
  <c r="H23" i="90"/>
  <c r="G23" i="90"/>
  <c r="I23" i="90"/>
  <c r="H22" i="90"/>
  <c r="B22" i="90"/>
  <c r="B20" i="90"/>
  <c r="H21" i="90"/>
  <c r="G21" i="90"/>
  <c r="I21" i="90"/>
  <c r="H20" i="90"/>
  <c r="A19" i="90"/>
  <c r="H18" i="90"/>
  <c r="G18" i="90"/>
  <c r="H17" i="90"/>
  <c r="B17" i="90"/>
  <c r="G17" i="90"/>
  <c r="I17" i="90"/>
  <c r="H16" i="90"/>
  <c r="H15" i="90"/>
  <c r="G15" i="90"/>
  <c r="I15" i="90"/>
  <c r="H14" i="90"/>
  <c r="G14" i="90"/>
  <c r="I14" i="90"/>
  <c r="H13" i="90"/>
  <c r="H9" i="90"/>
  <c r="H8" i="90"/>
  <c r="H7" i="90"/>
  <c r="H6" i="90"/>
  <c r="H5" i="90"/>
  <c r="E10" i="87"/>
  <c r="E2" i="87"/>
  <c r="B36" i="87"/>
  <c r="G36" i="87"/>
  <c r="D6" i="87"/>
  <c r="C6" i="87"/>
  <c r="D7" i="87"/>
  <c r="C7" i="87"/>
  <c r="G7" i="87"/>
  <c r="I7" i="87"/>
  <c r="D10" i="87"/>
  <c r="B17" i="87"/>
  <c r="B18" i="87"/>
  <c r="G18" i="87"/>
  <c r="I18" i="87"/>
  <c r="G15" i="87"/>
  <c r="I15" i="87"/>
  <c r="G16" i="87"/>
  <c r="I16" i="87"/>
  <c r="C17" i="87"/>
  <c r="G19" i="87"/>
  <c r="G22" i="87"/>
  <c r="I22" i="87"/>
  <c r="G24" i="87"/>
  <c r="I24" i="87"/>
  <c r="G25" i="87"/>
  <c r="I25" i="87"/>
  <c r="G26" i="87"/>
  <c r="I26" i="87"/>
  <c r="G27" i="87"/>
  <c r="I27" i="87"/>
  <c r="G28" i="87"/>
  <c r="G29" i="87"/>
  <c r="B32" i="87"/>
  <c r="G33" i="87"/>
  <c r="I33" i="87"/>
  <c r="G34" i="87"/>
  <c r="I34" i="87"/>
  <c r="H29" i="87"/>
  <c r="H36" i="87"/>
  <c r="C10" i="87"/>
  <c r="C39" i="87"/>
  <c r="B39" i="87"/>
  <c r="C5" i="87"/>
  <c r="G5" i="87"/>
  <c r="I5" i="87"/>
  <c r="C9" i="87"/>
  <c r="G9" i="87"/>
  <c r="H28" i="87"/>
  <c r="G27" i="86"/>
  <c r="I27" i="86"/>
  <c r="F40" i="86"/>
  <c r="F9" i="86"/>
  <c r="G46" i="86"/>
  <c r="F7" i="86"/>
  <c r="F10" i="86"/>
  <c r="F45" i="86"/>
  <c r="B37" i="86"/>
  <c r="B35" i="86"/>
  <c r="B7" i="86"/>
  <c r="B4" i="86"/>
  <c r="B2" i="86"/>
  <c r="D7" i="86"/>
  <c r="E7" i="86"/>
  <c r="E40" i="86"/>
  <c r="E9" i="86"/>
  <c r="E6" i="86"/>
  <c r="E10" i="86"/>
  <c r="B17" i="88"/>
  <c r="H27" i="87"/>
  <c r="L5" i="86"/>
  <c r="L6" i="86"/>
  <c r="M7" i="86"/>
  <c r="C5" i="86"/>
  <c r="C6" i="86"/>
  <c r="C2" i="86"/>
  <c r="C9" i="86"/>
  <c r="C10" i="86"/>
  <c r="C17" i="86"/>
  <c r="G8" i="86"/>
  <c r="I8" i="86"/>
  <c r="D9" i="86"/>
  <c r="C40" i="86"/>
  <c r="D40" i="86"/>
  <c r="B18" i="86"/>
  <c r="B14" i="86"/>
  <c r="B23" i="86"/>
  <c r="D23" i="86"/>
  <c r="G23" i="86"/>
  <c r="I23" i="86"/>
  <c r="B29" i="86"/>
  <c r="G15" i="86"/>
  <c r="I15" i="86"/>
  <c r="G16" i="86"/>
  <c r="G17" i="86"/>
  <c r="I17" i="86"/>
  <c r="G22" i="86"/>
  <c r="I22" i="86"/>
  <c r="G24" i="86"/>
  <c r="I24" i="86"/>
  <c r="G25" i="86"/>
  <c r="I25" i="86"/>
  <c r="G26" i="86"/>
  <c r="I26" i="86"/>
  <c r="G30" i="86"/>
  <c r="I30" i="86"/>
  <c r="G31" i="86"/>
  <c r="I31" i="86"/>
  <c r="G36" i="86"/>
  <c r="I36" i="86"/>
  <c r="G19" i="86"/>
  <c r="H27" i="86"/>
  <c r="G5" i="88"/>
  <c r="I5" i="88"/>
  <c r="G6" i="88"/>
  <c r="I6" i="88"/>
  <c r="G7" i="88"/>
  <c r="I7" i="88"/>
  <c r="G8" i="88"/>
  <c r="I8" i="88"/>
  <c r="G15" i="88"/>
  <c r="I15" i="88"/>
  <c r="G16" i="88"/>
  <c r="I16" i="88"/>
  <c r="B18" i="88"/>
  <c r="G18" i="88"/>
  <c r="I18" i="88"/>
  <c r="G22" i="88"/>
  <c r="I22" i="88"/>
  <c r="G23" i="88"/>
  <c r="I23" i="88"/>
  <c r="G24" i="88"/>
  <c r="I24" i="88"/>
  <c r="G25" i="88"/>
  <c r="I25" i="88"/>
  <c r="G26" i="88"/>
  <c r="I26" i="88"/>
  <c r="G31" i="88"/>
  <c r="I31" i="88"/>
  <c r="G32" i="88"/>
  <c r="I32" i="88"/>
  <c r="G37" i="88"/>
  <c r="I37" i="88"/>
  <c r="G9" i="88"/>
  <c r="I9" i="88"/>
  <c r="G19" i="88"/>
  <c r="B30" i="88"/>
  <c r="H37" i="88"/>
  <c r="H38" i="88"/>
  <c r="H14" i="88"/>
  <c r="H15" i="88"/>
  <c r="H16" i="88"/>
  <c r="H17" i="88"/>
  <c r="H18" i="88"/>
  <c r="H19" i="88"/>
  <c r="A20" i="88"/>
  <c r="H21" i="88"/>
  <c r="H22" i="88"/>
  <c r="H23" i="88"/>
  <c r="H24" i="88"/>
  <c r="H25" i="88"/>
  <c r="H26" i="88"/>
  <c r="A29" i="88"/>
  <c r="H30" i="88"/>
  <c r="H31" i="88"/>
  <c r="H32" i="88"/>
  <c r="H5" i="88"/>
  <c r="H6" i="88"/>
  <c r="H7" i="88"/>
  <c r="H8" i="88"/>
  <c r="H9" i="88"/>
  <c r="D2" i="88"/>
  <c r="E2" i="88"/>
  <c r="B54" i="86"/>
  <c r="B4" i="87"/>
  <c r="H34" i="87"/>
  <c r="H33" i="87"/>
  <c r="H32" i="87"/>
  <c r="A31" i="87"/>
  <c r="H26" i="87"/>
  <c r="H25" i="87"/>
  <c r="H24" i="87"/>
  <c r="H23" i="87"/>
  <c r="H22" i="87"/>
  <c r="H21" i="87"/>
  <c r="A20" i="87"/>
  <c r="H19" i="87"/>
  <c r="H18" i="87"/>
  <c r="H17" i="87"/>
  <c r="H16" i="87"/>
  <c r="H15" i="87"/>
  <c r="H14" i="87"/>
  <c r="H9" i="87"/>
  <c r="H8" i="87"/>
  <c r="G8" i="87"/>
  <c r="H7" i="87"/>
  <c r="H6" i="87"/>
  <c r="H5" i="87"/>
  <c r="F2" i="87"/>
  <c r="C1" i="87"/>
  <c r="D1" i="87"/>
  <c r="E1" i="87"/>
  <c r="F1" i="87"/>
  <c r="B58" i="85"/>
  <c r="B59" i="85"/>
  <c r="B60" i="85"/>
  <c r="B61" i="85"/>
  <c r="B45" i="85"/>
  <c r="B10" i="85"/>
  <c r="E40" i="85"/>
  <c r="B43" i="85"/>
  <c r="D48" i="85"/>
  <c r="E10" i="85"/>
  <c r="E11" i="85"/>
  <c r="B18" i="85"/>
  <c r="B37" i="85"/>
  <c r="C37" i="85"/>
  <c r="D10" i="85"/>
  <c r="D9" i="85"/>
  <c r="D11" i="85"/>
  <c r="C11" i="85"/>
  <c r="C5" i="85"/>
  <c r="C6" i="85"/>
  <c r="G6" i="85"/>
  <c r="C8" i="85"/>
  <c r="C18" i="85"/>
  <c r="C24" i="85"/>
  <c r="C1" i="86"/>
  <c r="D1" i="86"/>
  <c r="E1" i="86"/>
  <c r="F1" i="86"/>
  <c r="B8" i="85"/>
  <c r="B9" i="85"/>
  <c r="G9" i="85"/>
  <c r="I9" i="85"/>
  <c r="H10" i="85"/>
  <c r="D7" i="85"/>
  <c r="C40" i="85"/>
  <c r="C1" i="85"/>
  <c r="D1" i="85"/>
  <c r="E1" i="85"/>
  <c r="F1" i="85"/>
  <c r="G17" i="85"/>
  <c r="I17" i="85"/>
  <c r="H17" i="85"/>
  <c r="H18" i="85"/>
  <c r="B19" i="85"/>
  <c r="G19" i="85"/>
  <c r="I19" i="85"/>
  <c r="H19" i="85"/>
  <c r="G20" i="85"/>
  <c r="H20" i="85"/>
  <c r="A21" i="85"/>
  <c r="H22" i="85"/>
  <c r="G23" i="85"/>
  <c r="I23" i="85"/>
  <c r="H23" i="85"/>
  <c r="B24" i="85"/>
  <c r="B22" i="85"/>
  <c r="H24" i="85"/>
  <c r="G25" i="85"/>
  <c r="I25" i="85"/>
  <c r="H25" i="85"/>
  <c r="H11" i="85"/>
  <c r="H9" i="85"/>
  <c r="H9" i="86"/>
  <c r="H37" i="86"/>
  <c r="H36" i="86"/>
  <c r="H31" i="86"/>
  <c r="H30" i="86"/>
  <c r="H29" i="86"/>
  <c r="A28" i="86"/>
  <c r="H26" i="86"/>
  <c r="H25" i="86"/>
  <c r="H24" i="86"/>
  <c r="H23" i="86"/>
  <c r="H22" i="86"/>
  <c r="H21" i="86"/>
  <c r="A20" i="86"/>
  <c r="H19" i="86"/>
  <c r="H18" i="86"/>
  <c r="H17" i="86"/>
  <c r="H16" i="86"/>
  <c r="H15" i="86"/>
  <c r="H14" i="86"/>
  <c r="H8" i="86"/>
  <c r="H7" i="86"/>
  <c r="H6" i="86"/>
  <c r="H5" i="86"/>
  <c r="B42" i="85"/>
  <c r="B29" i="85"/>
  <c r="G16" i="85"/>
  <c r="I16" i="85"/>
  <c r="G26" i="85"/>
  <c r="I26" i="85"/>
  <c r="G27" i="85"/>
  <c r="I27" i="85"/>
  <c r="G30" i="85"/>
  <c r="I30" i="85"/>
  <c r="G31" i="85"/>
  <c r="G36" i="85"/>
  <c r="I36" i="85"/>
  <c r="H37" i="85"/>
  <c r="H36" i="85"/>
  <c r="H31" i="85"/>
  <c r="H30" i="85"/>
  <c r="H29" i="85"/>
  <c r="A28" i="85"/>
  <c r="H27" i="85"/>
  <c r="H26" i="85"/>
  <c r="H16" i="85"/>
  <c r="H15" i="85"/>
  <c r="H8" i="85"/>
  <c r="H7" i="85"/>
  <c r="H6" i="85"/>
  <c r="H5" i="85"/>
  <c r="F2" i="85"/>
  <c r="D9" i="82"/>
  <c r="D6" i="82"/>
  <c r="D5" i="82"/>
  <c r="D44" i="82"/>
  <c r="C44" i="82"/>
  <c r="J60" i="82"/>
  <c r="I60" i="82"/>
  <c r="E47" i="82"/>
  <c r="E48" i="82"/>
  <c r="H60" i="82"/>
  <c r="B8" i="82"/>
  <c r="C8" i="82"/>
  <c r="C9" i="82"/>
  <c r="C7" i="82"/>
  <c r="G7" i="82"/>
  <c r="I7" i="82"/>
  <c r="C6" i="82"/>
  <c r="C1" i="82"/>
  <c r="D1" i="82"/>
  <c r="E1" i="82"/>
  <c r="F1" i="82"/>
  <c r="B19" i="82"/>
  <c r="G19" i="82"/>
  <c r="I19" i="82"/>
  <c r="G16" i="82"/>
  <c r="I16" i="82"/>
  <c r="G14" i="82"/>
  <c r="I14" i="82"/>
  <c r="G15" i="82"/>
  <c r="I15" i="82"/>
  <c r="G17" i="82"/>
  <c r="I17" i="82"/>
  <c r="G18" i="82"/>
  <c r="I18" i="82"/>
  <c r="G20" i="82"/>
  <c r="H20" i="82"/>
  <c r="G39" i="82"/>
  <c r="I39" i="82"/>
  <c r="B41" i="82"/>
  <c r="G41" i="82"/>
  <c r="G40" i="82"/>
  <c r="I40" i="82"/>
  <c r="B29" i="82"/>
  <c r="G30" i="82"/>
  <c r="I30" i="82"/>
  <c r="G31" i="82"/>
  <c r="I31" i="82"/>
  <c r="B22" i="82"/>
  <c r="G23" i="82"/>
  <c r="I23" i="82"/>
  <c r="G24" i="82"/>
  <c r="I24" i="82"/>
  <c r="G25" i="82"/>
  <c r="I25" i="82"/>
  <c r="G26" i="82"/>
  <c r="G27" i="82"/>
  <c r="I27" i="82"/>
  <c r="B33" i="82"/>
  <c r="G33" i="82"/>
  <c r="C9" i="84"/>
  <c r="C2" i="84"/>
  <c r="C45" i="84"/>
  <c r="B45" i="84"/>
  <c r="C1" i="84"/>
  <c r="D1" i="84"/>
  <c r="E1" i="84"/>
  <c r="F1" i="84"/>
  <c r="G5" i="84"/>
  <c r="G6" i="84"/>
  <c r="I6" i="84"/>
  <c r="G7" i="84"/>
  <c r="I7" i="84"/>
  <c r="G8" i="84"/>
  <c r="I8" i="84"/>
  <c r="G29" i="84"/>
  <c r="I29" i="84"/>
  <c r="B32" i="84"/>
  <c r="G32" i="84"/>
  <c r="G23" i="84"/>
  <c r="I23" i="84"/>
  <c r="G26" i="84"/>
  <c r="I26" i="84"/>
  <c r="G22" i="84"/>
  <c r="I22" i="84"/>
  <c r="B21" i="84"/>
  <c r="G24" i="84"/>
  <c r="I24" i="84"/>
  <c r="G25" i="84"/>
  <c r="I25" i="84"/>
  <c r="G14" i="84"/>
  <c r="I14" i="84"/>
  <c r="G16" i="84"/>
  <c r="I16" i="84"/>
  <c r="B19" i="84"/>
  <c r="B13" i="84"/>
  <c r="B28" i="84"/>
  <c r="G30" i="84"/>
  <c r="G15" i="84"/>
  <c r="I15" i="84"/>
  <c r="I4" i="84"/>
  <c r="G17" i="84"/>
  <c r="I17" i="84"/>
  <c r="G18" i="84"/>
  <c r="I18" i="84"/>
  <c r="B41" i="84"/>
  <c r="G41" i="84"/>
  <c r="B42" i="84"/>
  <c r="G42" i="84"/>
  <c r="G38" i="84"/>
  <c r="I38" i="84"/>
  <c r="G39" i="84"/>
  <c r="I39" i="84"/>
  <c r="D50" i="84"/>
  <c r="E51" i="84"/>
  <c r="B47" i="84"/>
  <c r="B4" i="84"/>
  <c r="H42" i="84"/>
  <c r="H41" i="84"/>
  <c r="H40" i="84"/>
  <c r="H39" i="84"/>
  <c r="H38" i="84"/>
  <c r="H33" i="84"/>
  <c r="G33" i="84"/>
  <c r="H32" i="84"/>
  <c r="H30" i="84"/>
  <c r="H29" i="84"/>
  <c r="H28" i="84"/>
  <c r="A27" i="84"/>
  <c r="H26" i="84"/>
  <c r="H25" i="84"/>
  <c r="H24" i="84"/>
  <c r="H23" i="84"/>
  <c r="H22" i="84"/>
  <c r="H21" i="84"/>
  <c r="A20" i="84"/>
  <c r="H19" i="84"/>
  <c r="H18" i="84"/>
  <c r="H17" i="84"/>
  <c r="H16" i="84"/>
  <c r="H15" i="84"/>
  <c r="H14" i="84"/>
  <c r="H13" i="84"/>
  <c r="H8" i="84"/>
  <c r="H7" i="84"/>
  <c r="H6" i="84"/>
  <c r="H5" i="84"/>
  <c r="F2" i="84"/>
  <c r="E2" i="84"/>
  <c r="D2" i="84"/>
  <c r="I50" i="81"/>
  <c r="I56" i="81"/>
  <c r="I57" i="81"/>
  <c r="I51" i="81"/>
  <c r="I52" i="81"/>
  <c r="I53" i="81"/>
  <c r="I54" i="81"/>
  <c r="I55" i="81"/>
  <c r="D50" i="81"/>
  <c r="E51" i="81"/>
  <c r="B46" i="82"/>
  <c r="H41" i="82"/>
  <c r="H40" i="82"/>
  <c r="H39" i="82"/>
  <c r="H34" i="82"/>
  <c r="G34" i="82"/>
  <c r="H33" i="82"/>
  <c r="H31" i="82"/>
  <c r="H30" i="82"/>
  <c r="H29" i="82"/>
  <c r="A28" i="82"/>
  <c r="H27" i="82"/>
  <c r="H26" i="82"/>
  <c r="H25" i="82"/>
  <c r="H24" i="82"/>
  <c r="H23" i="82"/>
  <c r="H22" i="82"/>
  <c r="A21" i="82"/>
  <c r="H19" i="82"/>
  <c r="H18" i="82"/>
  <c r="H17" i="82"/>
  <c r="H16" i="82"/>
  <c r="H15" i="82"/>
  <c r="H14" i="82"/>
  <c r="H13" i="82"/>
  <c r="E2" i="82"/>
  <c r="H8" i="82"/>
  <c r="H7" i="82"/>
  <c r="H6" i="82"/>
  <c r="H5" i="82"/>
  <c r="F2" i="82"/>
  <c r="E9" i="81"/>
  <c r="E2" i="81"/>
  <c r="G39" i="81"/>
  <c r="I39" i="81"/>
  <c r="G38" i="81"/>
  <c r="I38" i="81"/>
  <c r="G24" i="81"/>
  <c r="I24" i="81"/>
  <c r="D45" i="81"/>
  <c r="B45" i="81"/>
  <c r="C45" i="81"/>
  <c r="C7" i="81"/>
  <c r="B32" i="81"/>
  <c r="G32" i="81"/>
  <c r="B41" i="81"/>
  <c r="B42" i="81"/>
  <c r="D9" i="81"/>
  <c r="D2" i="81"/>
  <c r="C1" i="81"/>
  <c r="D1" i="81"/>
  <c r="E1" i="81"/>
  <c r="F1" i="81"/>
  <c r="C8" i="81"/>
  <c r="G8" i="81"/>
  <c r="I8" i="81"/>
  <c r="C6" i="81"/>
  <c r="C9" i="81"/>
  <c r="C15" i="81"/>
  <c r="G15" i="81"/>
  <c r="I15" i="81"/>
  <c r="C29" i="81"/>
  <c r="G29" i="81"/>
  <c r="C40" i="81"/>
  <c r="G25" i="81"/>
  <c r="I25" i="81"/>
  <c r="G26" i="81"/>
  <c r="I26" i="81"/>
  <c r="B21" i="81"/>
  <c r="B47" i="81"/>
  <c r="H42" i="81"/>
  <c r="H41" i="81"/>
  <c r="H40" i="81"/>
  <c r="H39" i="81"/>
  <c r="H38" i="81"/>
  <c r="H33" i="81"/>
  <c r="G33" i="81"/>
  <c r="H32" i="81"/>
  <c r="H30" i="81"/>
  <c r="G30" i="81"/>
  <c r="I30" i="81"/>
  <c r="H29" i="81"/>
  <c r="H28" i="81"/>
  <c r="B28" i="81"/>
  <c r="B19" i="81"/>
  <c r="G19" i="81"/>
  <c r="I19" i="81"/>
  <c r="A27" i="81"/>
  <c r="H26" i="81"/>
  <c r="H25" i="81"/>
  <c r="H24" i="81"/>
  <c r="H23" i="81"/>
  <c r="G23" i="81"/>
  <c r="I23" i="81"/>
  <c r="H22" i="81"/>
  <c r="G22" i="81"/>
  <c r="H21" i="81"/>
  <c r="A20" i="81"/>
  <c r="H19" i="81"/>
  <c r="H18" i="81"/>
  <c r="G18" i="81"/>
  <c r="I18" i="81"/>
  <c r="H17" i="81"/>
  <c r="G17" i="81"/>
  <c r="I17" i="81"/>
  <c r="H16" i="81"/>
  <c r="G16" i="81"/>
  <c r="I16" i="81"/>
  <c r="H15" i="81"/>
  <c r="H14" i="81"/>
  <c r="G14" i="81"/>
  <c r="I14" i="81"/>
  <c r="H13" i="81"/>
  <c r="B4" i="81"/>
  <c r="H8" i="81"/>
  <c r="H7" i="81"/>
  <c r="G7" i="81"/>
  <c r="I7" i="81"/>
  <c r="H6" i="81"/>
  <c r="H5" i="81"/>
  <c r="G5" i="81"/>
  <c r="I5" i="81"/>
  <c r="F2" i="81"/>
  <c r="G22" i="79"/>
  <c r="G26" i="79"/>
  <c r="J9" i="79"/>
  <c r="C49" i="79"/>
  <c r="B49" i="79"/>
  <c r="C9" i="79"/>
  <c r="C19" i="79"/>
  <c r="C2" i="79"/>
  <c r="C1" i="79"/>
  <c r="D1" i="79"/>
  <c r="E1" i="79"/>
  <c r="F1" i="79"/>
  <c r="C33" i="79"/>
  <c r="G33" i="79"/>
  <c r="B19" i="79"/>
  <c r="B36" i="79"/>
  <c r="G36" i="79"/>
  <c r="B51" i="79"/>
  <c r="H45" i="79"/>
  <c r="B45" i="79"/>
  <c r="B44" i="79"/>
  <c r="H44" i="79"/>
  <c r="H43" i="79"/>
  <c r="G43" i="79"/>
  <c r="H42" i="79"/>
  <c r="G42" i="79"/>
  <c r="H37" i="79"/>
  <c r="G37" i="79"/>
  <c r="H36" i="79"/>
  <c r="H34" i="79"/>
  <c r="G34" i="79"/>
  <c r="H33" i="79"/>
  <c r="H32" i="79"/>
  <c r="B32" i="79"/>
  <c r="A31" i="79"/>
  <c r="H30" i="79"/>
  <c r="G30" i="79"/>
  <c r="H29" i="79"/>
  <c r="G29" i="79"/>
  <c r="B28" i="79"/>
  <c r="H28" i="79"/>
  <c r="A27" i="79"/>
  <c r="H26" i="79"/>
  <c r="H25" i="79"/>
  <c r="G25" i="79"/>
  <c r="H24" i="79"/>
  <c r="G24" i="79"/>
  <c r="H23" i="79"/>
  <c r="G23" i="79"/>
  <c r="H22" i="79"/>
  <c r="B21" i="79"/>
  <c r="G21" i="79"/>
  <c r="H21" i="79"/>
  <c r="A20" i="79"/>
  <c r="H19" i="79"/>
  <c r="H18" i="79"/>
  <c r="G18" i="79"/>
  <c r="H17" i="79"/>
  <c r="G17" i="79"/>
  <c r="H16" i="79"/>
  <c r="G16" i="79"/>
  <c r="H15" i="79"/>
  <c r="G15" i="79"/>
  <c r="H14" i="79"/>
  <c r="G14" i="79"/>
  <c r="H13" i="79"/>
  <c r="E2" i="79"/>
  <c r="D2" i="79"/>
  <c r="H8" i="79"/>
  <c r="G8" i="79"/>
  <c r="H7" i="79"/>
  <c r="G7" i="79"/>
  <c r="H6" i="79"/>
  <c r="G6" i="79"/>
  <c r="H5" i="79"/>
  <c r="G5" i="79"/>
  <c r="B4" i="79"/>
  <c r="F2" i="79"/>
  <c r="E9" i="77"/>
  <c r="E2" i="77"/>
  <c r="E50" i="77"/>
  <c r="B19" i="77"/>
  <c r="B13" i="77"/>
  <c r="G14" i="77"/>
  <c r="G15" i="77"/>
  <c r="G16" i="77"/>
  <c r="G17" i="77"/>
  <c r="G18" i="77"/>
  <c r="C19" i="77"/>
  <c r="D27" i="1"/>
  <c r="D24" i="1"/>
  <c r="E45" i="77"/>
  <c r="B46" i="77"/>
  <c r="B45" i="77"/>
  <c r="G45" i="77"/>
  <c r="B47" i="77"/>
  <c r="D50" i="77"/>
  <c r="C50" i="77"/>
  <c r="D9" i="77"/>
  <c r="D2" i="77"/>
  <c r="C9" i="77"/>
  <c r="B22" i="77"/>
  <c r="G25" i="77"/>
  <c r="G27" i="77"/>
  <c r="B29" i="77"/>
  <c r="G30" i="77"/>
  <c r="G31" i="77"/>
  <c r="G37" i="77"/>
  <c r="G43" i="77"/>
  <c r="G44" i="77"/>
  <c r="S27" i="1"/>
  <c r="S30" i="1"/>
  <c r="S31" i="1"/>
  <c r="S32" i="1"/>
  <c r="S33" i="1"/>
  <c r="H14" i="77"/>
  <c r="H15" i="77"/>
  <c r="H16" i="77"/>
  <c r="H17" i="77"/>
  <c r="H18" i="77"/>
  <c r="H19" i="77"/>
  <c r="H22" i="77"/>
  <c r="H21" i="77"/>
  <c r="L48" i="1"/>
  <c r="F5" i="68"/>
  <c r="F35" i="68"/>
  <c r="F10" i="68"/>
  <c r="E10" i="68"/>
  <c r="E2" i="68"/>
  <c r="E35" i="68"/>
  <c r="E34" i="68"/>
  <c r="B34" i="68"/>
  <c r="E37" i="68"/>
  <c r="D37" i="68"/>
  <c r="D10" i="68"/>
  <c r="D2" i="68"/>
  <c r="D35" i="68"/>
  <c r="C35" i="68"/>
  <c r="C10" i="68"/>
  <c r="C5" i="68"/>
  <c r="C28" i="68"/>
  <c r="G28" i="68"/>
  <c r="G14" i="68"/>
  <c r="I14" i="68"/>
  <c r="G19" i="68"/>
  <c r="I19" i="68"/>
  <c r="C37" i="68"/>
  <c r="I11" i="68"/>
  <c r="I12" i="68"/>
  <c r="I24" i="68"/>
  <c r="B13" i="68"/>
  <c r="C1" i="68"/>
  <c r="D1" i="68"/>
  <c r="E1" i="68"/>
  <c r="F1" i="68"/>
  <c r="C1" i="77"/>
  <c r="D1" i="77"/>
  <c r="E1" i="77"/>
  <c r="F1" i="77"/>
  <c r="H43" i="77"/>
  <c r="H44" i="77"/>
  <c r="B52" i="77"/>
  <c r="H46" i="77"/>
  <c r="H45" i="77"/>
  <c r="H38" i="77"/>
  <c r="G38" i="77"/>
  <c r="H37" i="77"/>
  <c r="H35" i="77"/>
  <c r="G35" i="77"/>
  <c r="H34" i="77"/>
  <c r="G34" i="77"/>
  <c r="B33" i="77"/>
  <c r="G33" i="77"/>
  <c r="H33" i="77"/>
  <c r="A32" i="77"/>
  <c r="H31" i="77"/>
  <c r="H30" i="77"/>
  <c r="H29" i="77"/>
  <c r="A28" i="77"/>
  <c r="H27" i="77"/>
  <c r="H26" i="77"/>
  <c r="G26" i="77"/>
  <c r="H25" i="77"/>
  <c r="H24" i="77"/>
  <c r="G24" i="77"/>
  <c r="H23" i="77"/>
  <c r="G23" i="77"/>
  <c r="A20" i="77"/>
  <c r="H13" i="77"/>
  <c r="H8" i="77"/>
  <c r="G8" i="77"/>
  <c r="H7" i="77"/>
  <c r="G7" i="77"/>
  <c r="H6" i="77"/>
  <c r="G6" i="77"/>
  <c r="H5" i="77"/>
  <c r="G5" i="77"/>
  <c r="B4" i="77"/>
  <c r="F2" i="77"/>
  <c r="F10" i="65"/>
  <c r="E10" i="65"/>
  <c r="E34" i="65"/>
  <c r="B34" i="65"/>
  <c r="E36" i="65"/>
  <c r="E33" i="65"/>
  <c r="B33" i="65"/>
  <c r="C31" i="1"/>
  <c r="D31" i="1"/>
  <c r="D10" i="65"/>
  <c r="D2" i="65"/>
  <c r="D36" i="65"/>
  <c r="C10" i="65"/>
  <c r="C2" i="65"/>
  <c r="B14" i="63"/>
  <c r="C14" i="63"/>
  <c r="C34" i="63"/>
  <c r="F10" i="63"/>
  <c r="F2" i="63"/>
  <c r="F34" i="63"/>
  <c r="E10" i="63"/>
  <c r="E2" i="63"/>
  <c r="D10" i="63"/>
  <c r="D2" i="63"/>
  <c r="C10" i="63"/>
  <c r="C25" i="65"/>
  <c r="G25" i="65"/>
  <c r="G22" i="65"/>
  <c r="C14" i="65"/>
  <c r="G14" i="65"/>
  <c r="C36" i="65"/>
  <c r="E64" i="75"/>
  <c r="E63" i="75"/>
  <c r="D61" i="75"/>
  <c r="G59" i="75"/>
  <c r="E59" i="75"/>
  <c r="D59" i="75"/>
  <c r="B32" i="75"/>
  <c r="A32" i="75"/>
  <c r="H59" i="75"/>
  <c r="N57" i="74"/>
  <c r="J57" i="74" s="1"/>
  <c r="E98" i="74"/>
  <c r="C98" i="74"/>
  <c r="N18" i="74"/>
  <c r="J18" i="74" s="1"/>
  <c r="E97" i="74"/>
  <c r="C97" i="74"/>
  <c r="E96" i="74"/>
  <c r="N85" i="74"/>
  <c r="J85" i="74" s="1"/>
  <c r="E95" i="74"/>
  <c r="C95" i="74"/>
  <c r="N7" i="74"/>
  <c r="J7" i="74" s="1"/>
  <c r="C93" i="74"/>
  <c r="N10" i="74"/>
  <c r="J10" i="74" s="1"/>
  <c r="E94" i="74"/>
  <c r="C94" i="74"/>
  <c r="N35" i="74"/>
  <c r="J35" i="74" s="1"/>
  <c r="E90" i="74"/>
  <c r="C90" i="74"/>
  <c r="N43" i="74"/>
  <c r="J43" i="74" s="1"/>
  <c r="N8" i="74"/>
  <c r="J8" i="74" s="1"/>
  <c r="C89" i="74"/>
  <c r="N12" i="74"/>
  <c r="J12" i="74" s="1"/>
  <c r="C86" i="74"/>
  <c r="N95" i="74"/>
  <c r="J95" i="74" s="1"/>
  <c r="E85" i="74"/>
  <c r="N60" i="74"/>
  <c r="J60" i="74" s="1"/>
  <c r="E84" i="74"/>
  <c r="C84" i="74"/>
  <c r="N77" i="74"/>
  <c r="J77" i="74" s="1"/>
  <c r="E81" i="74"/>
  <c r="C81" i="74"/>
  <c r="N24" i="74"/>
  <c r="J24" i="74" s="1"/>
  <c r="E80" i="74"/>
  <c r="C80" i="74"/>
  <c r="E77" i="74"/>
  <c r="C77" i="74"/>
  <c r="N71" i="74"/>
  <c r="J71" i="74" s="1"/>
  <c r="E75" i="74"/>
  <c r="C75" i="74"/>
  <c r="N68" i="74"/>
  <c r="J68" i="74" s="1"/>
  <c r="E74" i="74"/>
  <c r="C74" i="74"/>
  <c r="N11" i="74"/>
  <c r="J11" i="74" s="1"/>
  <c r="E73" i="74"/>
  <c r="C73" i="74"/>
  <c r="N75" i="74"/>
  <c r="J75" i="74" s="1"/>
  <c r="E71" i="74"/>
  <c r="C71" i="74"/>
  <c r="N74" i="74"/>
  <c r="J74" i="74" s="1"/>
  <c r="E68" i="74"/>
  <c r="C68" i="74"/>
  <c r="N19" i="74"/>
  <c r="J19" i="74" s="1"/>
  <c r="E65" i="74"/>
  <c r="C65" i="74"/>
  <c r="N84" i="74"/>
  <c r="J84" i="74" s="1"/>
  <c r="E60" i="74"/>
  <c r="C60" i="74"/>
  <c r="N98" i="74"/>
  <c r="J98" i="74" s="1"/>
  <c r="E57" i="74"/>
  <c r="C57" i="74"/>
  <c r="E54" i="74"/>
  <c r="C54" i="74"/>
  <c r="N25" i="74"/>
  <c r="J25" i="74" s="1"/>
  <c r="E53" i="74"/>
  <c r="C53" i="74"/>
  <c r="N27" i="74"/>
  <c r="J27" i="74" s="1"/>
  <c r="E49" i="74"/>
  <c r="C49" i="74"/>
  <c r="N45" i="74"/>
  <c r="J45" i="74" s="1"/>
  <c r="E48" i="74"/>
  <c r="C48" i="74"/>
  <c r="N48" i="74"/>
  <c r="J48" i="74" s="1"/>
  <c r="E45" i="74"/>
  <c r="C45" i="74"/>
  <c r="N41" i="74"/>
  <c r="J41" i="74" s="1"/>
  <c r="E44" i="74"/>
  <c r="C44" i="74"/>
  <c r="E43" i="74"/>
  <c r="C43" i="74"/>
  <c r="E41" i="74"/>
  <c r="C41" i="74"/>
  <c r="E40" i="74"/>
  <c r="C40" i="74"/>
  <c r="N9" i="74"/>
  <c r="J9" i="74" s="1"/>
  <c r="E39" i="74"/>
  <c r="C39" i="74"/>
  <c r="N40" i="74"/>
  <c r="J40" i="74" s="1"/>
  <c r="E38" i="74"/>
  <c r="C38" i="74"/>
  <c r="N90" i="74"/>
  <c r="J90" i="74" s="1"/>
  <c r="E35" i="74"/>
  <c r="C35" i="74"/>
  <c r="N82" i="74"/>
  <c r="J82" i="74" s="1"/>
  <c r="E33" i="74"/>
  <c r="C33" i="74"/>
  <c r="N54" i="74"/>
  <c r="J54" i="74" s="1"/>
  <c r="E28" i="74"/>
  <c r="C28" i="74"/>
  <c r="N49" i="74"/>
  <c r="J49" i="74" s="1"/>
  <c r="E27" i="74"/>
  <c r="C27" i="74"/>
  <c r="N52" i="74"/>
  <c r="J52" i="74" s="1"/>
  <c r="E26" i="74"/>
  <c r="C26" i="74"/>
  <c r="N80" i="74"/>
  <c r="J80" i="74" s="1"/>
  <c r="E25" i="74"/>
  <c r="C25" i="74"/>
  <c r="N53" i="74"/>
  <c r="E24" i="74"/>
  <c r="C24" i="74"/>
  <c r="N65" i="74"/>
  <c r="J65" i="74" s="1"/>
  <c r="E19" i="74"/>
  <c r="C19" i="74"/>
  <c r="N97" i="74"/>
  <c r="J97" i="74" s="1"/>
  <c r="E18" i="74"/>
  <c r="C18" i="74"/>
  <c r="N51" i="74"/>
  <c r="J51" i="74" s="1"/>
  <c r="E17" i="74"/>
  <c r="C17" i="74"/>
  <c r="E15" i="74"/>
  <c r="C15" i="74"/>
  <c r="N86" i="74"/>
  <c r="J86" i="74" s="1"/>
  <c r="E12" i="74"/>
  <c r="C12" i="74"/>
  <c r="N73" i="74"/>
  <c r="J73" i="74" s="1"/>
  <c r="E11" i="74"/>
  <c r="C11" i="74"/>
  <c r="N94" i="74"/>
  <c r="J94" i="74" s="1"/>
  <c r="E10" i="74"/>
  <c r="C10" i="74"/>
  <c r="N39" i="74"/>
  <c r="J39" i="74" s="1"/>
  <c r="E9" i="74"/>
  <c r="C9" i="74"/>
  <c r="N89" i="74"/>
  <c r="J89" i="74" s="1"/>
  <c r="E8" i="74"/>
  <c r="C8" i="74"/>
  <c r="N93" i="74"/>
  <c r="J93" i="74" s="1"/>
  <c r="E7" i="74"/>
  <c r="C7" i="74"/>
  <c r="N96" i="74"/>
  <c r="J96" i="74" s="1"/>
  <c r="E5" i="74"/>
  <c r="C5" i="74"/>
  <c r="B6" i="74"/>
  <c r="E6" i="74"/>
  <c r="N6" i="74"/>
  <c r="J6" i="74" s="1"/>
  <c r="N15" i="74"/>
  <c r="J15" i="74" s="1"/>
  <c r="N17" i="74"/>
  <c r="J17" i="74" s="1"/>
  <c r="E51" i="74"/>
  <c r="C51" i="74"/>
  <c r="N26" i="74"/>
  <c r="J26" i="74" s="1"/>
  <c r="E52" i="74"/>
  <c r="C52" i="74"/>
  <c r="N33" i="74"/>
  <c r="J33" i="74" s="1"/>
  <c r="E82" i="74"/>
  <c r="C82" i="74"/>
  <c r="I59" i="75"/>
  <c r="G23" i="68"/>
  <c r="I23" i="68"/>
  <c r="G22" i="68"/>
  <c r="I22" i="68"/>
  <c r="G21" i="68"/>
  <c r="I21" i="68"/>
  <c r="H23" i="68"/>
  <c r="H22" i="68"/>
  <c r="H21" i="68"/>
  <c r="C1" i="65"/>
  <c r="D1" i="65"/>
  <c r="E1" i="65"/>
  <c r="F1" i="65"/>
  <c r="B13" i="65"/>
  <c r="B4" i="65"/>
  <c r="H14" i="65"/>
  <c r="B30" i="68"/>
  <c r="H29" i="68"/>
  <c r="B29" i="68"/>
  <c r="G29" i="68"/>
  <c r="H28" i="68"/>
  <c r="H27" i="68"/>
  <c r="G27" i="68"/>
  <c r="I27" i="68"/>
  <c r="H26" i="68"/>
  <c r="G26" i="68"/>
  <c r="I26" i="68"/>
  <c r="H20" i="68"/>
  <c r="G20" i="68"/>
  <c r="I20" i="68"/>
  <c r="H19" i="68"/>
  <c r="H18" i="68"/>
  <c r="G18" i="68"/>
  <c r="I18" i="68"/>
  <c r="H17" i="68"/>
  <c r="G17" i="68"/>
  <c r="I17" i="68"/>
  <c r="H16" i="68"/>
  <c r="G16" i="68"/>
  <c r="I16" i="68"/>
  <c r="H15" i="68"/>
  <c r="G15" i="68"/>
  <c r="I15" i="68"/>
  <c r="H14" i="68"/>
  <c r="H9" i="68"/>
  <c r="G9" i="68"/>
  <c r="I9" i="68"/>
  <c r="H8" i="68"/>
  <c r="G8" i="68"/>
  <c r="I8" i="68"/>
  <c r="H7" i="68"/>
  <c r="G7" i="68"/>
  <c r="I7" i="68"/>
  <c r="H6" i="68"/>
  <c r="G6" i="68"/>
  <c r="I6" i="68"/>
  <c r="H5" i="68"/>
  <c r="G5" i="68"/>
  <c r="I5" i="68"/>
  <c r="B4" i="68"/>
  <c r="B2" i="68"/>
  <c r="D25" i="1"/>
  <c r="D28" i="1"/>
  <c r="D23" i="1"/>
  <c r="D29" i="1"/>
  <c r="C33" i="1"/>
  <c r="D33" i="1"/>
  <c r="B33" i="1"/>
  <c r="E31" i="1"/>
  <c r="E2" i="1"/>
  <c r="E23" i="1"/>
  <c r="E16" i="1"/>
  <c r="E30" i="1"/>
  <c r="E32" i="1"/>
  <c r="D6" i="1"/>
  <c r="D4" i="1"/>
  <c r="D3" i="1"/>
  <c r="E4" i="1"/>
  <c r="E5" i="1"/>
  <c r="D15" i="1"/>
  <c r="E15" i="1"/>
  <c r="D14" i="1"/>
  <c r="E14" i="1"/>
  <c r="D13" i="1"/>
  <c r="C12" i="1"/>
  <c r="C5" i="1"/>
  <c r="E28" i="1"/>
  <c r="C1" i="63"/>
  <c r="D1" i="63"/>
  <c r="E1" i="63"/>
  <c r="F1" i="63"/>
  <c r="D34" i="63"/>
  <c r="B4" i="63"/>
  <c r="G18" i="63"/>
  <c r="G7" i="63"/>
  <c r="I7" i="63"/>
  <c r="G5" i="63"/>
  <c r="I5" i="63"/>
  <c r="G6" i="63"/>
  <c r="I6" i="63"/>
  <c r="G8" i="63"/>
  <c r="I8" i="63"/>
  <c r="G9" i="63"/>
  <c r="I9" i="63"/>
  <c r="B32" i="63"/>
  <c r="B31" i="63"/>
  <c r="G15" i="63"/>
  <c r="G13" i="63"/>
  <c r="G16" i="63"/>
  <c r="G17" i="63"/>
  <c r="G21" i="63"/>
  <c r="G22" i="63"/>
  <c r="G23" i="63"/>
  <c r="H14" i="63"/>
  <c r="G19" i="65"/>
  <c r="H19" i="65"/>
  <c r="H18" i="65"/>
  <c r="G18" i="65"/>
  <c r="H18" i="63"/>
  <c r="B38" i="61"/>
  <c r="B39" i="61"/>
  <c r="C10" i="61"/>
  <c r="C2" i="61"/>
  <c r="C32" i="61"/>
  <c r="B32" i="61"/>
  <c r="C34" i="61"/>
  <c r="B31" i="61"/>
  <c r="H18" i="61"/>
  <c r="G18" i="61"/>
  <c r="B13" i="61"/>
  <c r="G14" i="61"/>
  <c r="G15" i="61"/>
  <c r="G16" i="61"/>
  <c r="G17" i="61"/>
  <c r="B4" i="61"/>
  <c r="G23" i="61"/>
  <c r="G5" i="61"/>
  <c r="I5" i="61"/>
  <c r="G6" i="61"/>
  <c r="I6" i="61"/>
  <c r="G7" i="61"/>
  <c r="I7" i="61"/>
  <c r="G8" i="61"/>
  <c r="I8" i="61"/>
  <c r="G9" i="61"/>
  <c r="I9" i="61"/>
  <c r="G21" i="61"/>
  <c r="G22" i="61"/>
  <c r="H14" i="61"/>
  <c r="B38" i="65"/>
  <c r="G5" i="65"/>
  <c r="I5" i="65"/>
  <c r="G6" i="65"/>
  <c r="G7" i="65"/>
  <c r="I7" i="65"/>
  <c r="G8" i="65"/>
  <c r="I8" i="65"/>
  <c r="G9" i="65"/>
  <c r="I9" i="65"/>
  <c r="G15" i="65"/>
  <c r="G16" i="65"/>
  <c r="G17" i="65"/>
  <c r="G23" i="65"/>
  <c r="G24" i="65"/>
  <c r="B29" i="65"/>
  <c r="H28" i="65"/>
  <c r="B28" i="65"/>
  <c r="G28" i="65"/>
  <c r="B27" i="65"/>
  <c r="H26" i="65"/>
  <c r="B26" i="65"/>
  <c r="G26" i="65"/>
  <c r="H25" i="65"/>
  <c r="H24" i="65"/>
  <c r="H23" i="65"/>
  <c r="H17" i="65"/>
  <c r="H16" i="65"/>
  <c r="H15" i="65"/>
  <c r="H9" i="65"/>
  <c r="H8" i="65"/>
  <c r="H7" i="65"/>
  <c r="H6" i="65"/>
  <c r="H5" i="65"/>
  <c r="F2" i="65"/>
  <c r="E2" i="65"/>
  <c r="B37" i="63"/>
  <c r="B36" i="63"/>
  <c r="B27" i="63"/>
  <c r="H26" i="63"/>
  <c r="B26" i="63"/>
  <c r="G26" i="63"/>
  <c r="B25" i="63"/>
  <c r="H24" i="63"/>
  <c r="B24" i="63"/>
  <c r="G24" i="63"/>
  <c r="H23" i="63"/>
  <c r="H22" i="63"/>
  <c r="H21" i="63"/>
  <c r="H17" i="63"/>
  <c r="H16" i="63"/>
  <c r="H15" i="63"/>
  <c r="H9" i="63"/>
  <c r="H8" i="63"/>
  <c r="H7" i="63"/>
  <c r="H6" i="63"/>
  <c r="H5" i="63"/>
  <c r="C2" i="63"/>
  <c r="B14" i="60"/>
  <c r="G14" i="60"/>
  <c r="G13" i="60"/>
  <c r="G15" i="60"/>
  <c r="G16" i="60"/>
  <c r="G17" i="60"/>
  <c r="B4" i="60"/>
  <c r="G9" i="60"/>
  <c r="I9" i="60"/>
  <c r="G5" i="60"/>
  <c r="I5" i="60"/>
  <c r="G6" i="60"/>
  <c r="I6" i="60"/>
  <c r="C7" i="60"/>
  <c r="C8" i="60"/>
  <c r="G8" i="60"/>
  <c r="I8" i="60"/>
  <c r="C33" i="60"/>
  <c r="B31" i="60"/>
  <c r="B30" i="60"/>
  <c r="C10" i="60"/>
  <c r="G20" i="60"/>
  <c r="G21" i="60"/>
  <c r="G19" i="60"/>
  <c r="G22" i="60"/>
  <c r="G35" i="59"/>
  <c r="F30" i="59"/>
  <c r="E30" i="59"/>
  <c r="B29" i="59"/>
  <c r="D40" i="59"/>
  <c r="C39" i="59"/>
  <c r="E10" i="59"/>
  <c r="E2" i="59"/>
  <c r="E5" i="59"/>
  <c r="E7" i="59"/>
  <c r="D10" i="59"/>
  <c r="D5" i="59"/>
  <c r="C5" i="59"/>
  <c r="D7" i="59"/>
  <c r="D8" i="59"/>
  <c r="C8" i="59"/>
  <c r="D32" i="59"/>
  <c r="C32" i="59"/>
  <c r="B13" i="59"/>
  <c r="B9" i="59"/>
  <c r="B18" i="59"/>
  <c r="C10" i="59"/>
  <c r="G6" i="59"/>
  <c r="I6" i="59"/>
  <c r="H56" i="34"/>
  <c r="I56" i="34"/>
  <c r="B37" i="61"/>
  <c r="B36" i="61"/>
  <c r="B27" i="61"/>
  <c r="H26" i="61"/>
  <c r="B26" i="61"/>
  <c r="G26" i="61"/>
  <c r="B25" i="61"/>
  <c r="H24" i="61"/>
  <c r="B24" i="61"/>
  <c r="G24" i="61"/>
  <c r="H23" i="61"/>
  <c r="H22" i="61"/>
  <c r="H21" i="61"/>
  <c r="H17" i="61"/>
  <c r="H16" i="61"/>
  <c r="H15" i="61"/>
  <c r="H9" i="61"/>
  <c r="H8" i="61"/>
  <c r="H7" i="61"/>
  <c r="H6" i="61"/>
  <c r="H5" i="61"/>
  <c r="F2" i="61"/>
  <c r="E2" i="61"/>
  <c r="D2" i="61"/>
  <c r="C1" i="61"/>
  <c r="D1" i="61"/>
  <c r="E1" i="61"/>
  <c r="F1" i="61"/>
  <c r="B39" i="60"/>
  <c r="B38" i="60"/>
  <c r="B37" i="60"/>
  <c r="B36" i="60"/>
  <c r="B35" i="60"/>
  <c r="B26" i="60"/>
  <c r="H25" i="60"/>
  <c r="B25" i="60"/>
  <c r="G25" i="60"/>
  <c r="B24" i="60"/>
  <c r="H23" i="60"/>
  <c r="B23" i="60"/>
  <c r="G23" i="60"/>
  <c r="H22" i="60"/>
  <c r="H21" i="60"/>
  <c r="H20" i="60"/>
  <c r="H17" i="60"/>
  <c r="H16" i="60"/>
  <c r="H15" i="60"/>
  <c r="H14" i="60"/>
  <c r="H9" i="60"/>
  <c r="H8" i="60"/>
  <c r="H7" i="60"/>
  <c r="H6" i="60"/>
  <c r="H5" i="60"/>
  <c r="F2" i="60"/>
  <c r="E2" i="60"/>
  <c r="D2" i="60"/>
  <c r="C1" i="60"/>
  <c r="D1" i="60"/>
  <c r="E1" i="60"/>
  <c r="F1" i="60"/>
  <c r="I40" i="58"/>
  <c r="I41" i="58"/>
  <c r="I7" i="58"/>
  <c r="H2" i="58"/>
  <c r="I2" i="58"/>
  <c r="I3" i="58"/>
  <c r="I4" i="58"/>
  <c r="I5" i="58"/>
  <c r="H6" i="58"/>
  <c r="I6" i="58"/>
  <c r="I8" i="58"/>
  <c r="H9" i="58"/>
  <c r="I10" i="58"/>
  <c r="I11" i="58"/>
  <c r="I12" i="58"/>
  <c r="I13" i="58"/>
  <c r="I14" i="58"/>
  <c r="I15" i="58"/>
  <c r="I16" i="58"/>
  <c r="H17" i="58"/>
  <c r="H18" i="58"/>
  <c r="I18" i="58"/>
  <c r="H19" i="58"/>
  <c r="I19" i="58"/>
  <c r="I20" i="58"/>
  <c r="I21" i="58"/>
  <c r="I22" i="58"/>
  <c r="I23" i="58"/>
  <c r="I24" i="58"/>
  <c r="I25" i="58"/>
  <c r="H26" i="58"/>
  <c r="I26" i="58"/>
  <c r="I31" i="58"/>
  <c r="I32" i="58"/>
  <c r="H33" i="58"/>
  <c r="I33" i="58"/>
  <c r="I34" i="58"/>
  <c r="I35" i="58"/>
  <c r="I36" i="58"/>
  <c r="I37" i="58"/>
  <c r="I38" i="58"/>
  <c r="I39" i="58"/>
  <c r="I42" i="58"/>
  <c r="I43" i="58"/>
  <c r="I44" i="58"/>
  <c r="I45" i="58"/>
  <c r="I46" i="58"/>
  <c r="I47" i="58"/>
  <c r="I48" i="58"/>
  <c r="I49" i="58"/>
  <c r="I50" i="58"/>
  <c r="I51" i="58"/>
  <c r="I52" i="58"/>
  <c r="I53" i="58"/>
  <c r="I54" i="58"/>
  <c r="H55" i="58"/>
  <c r="I55" i="58"/>
  <c r="I56" i="58"/>
  <c r="E64" i="58"/>
  <c r="E63" i="58"/>
  <c r="B39" i="59"/>
  <c r="B37" i="59"/>
  <c r="B36" i="59"/>
  <c r="B35" i="59"/>
  <c r="B34" i="59"/>
  <c r="G14" i="59"/>
  <c r="G15" i="59"/>
  <c r="G16" i="59"/>
  <c r="G19" i="59"/>
  <c r="G18" i="59"/>
  <c r="G20" i="59"/>
  <c r="G21" i="59"/>
  <c r="B25" i="59"/>
  <c r="H24" i="59"/>
  <c r="B24" i="59"/>
  <c r="G24" i="59"/>
  <c r="B23" i="59"/>
  <c r="H22" i="59"/>
  <c r="B22" i="59"/>
  <c r="G22" i="59"/>
  <c r="H21" i="59"/>
  <c r="H20" i="59"/>
  <c r="H19" i="59"/>
  <c r="H16" i="59"/>
  <c r="H15" i="59"/>
  <c r="H14" i="59"/>
  <c r="H9" i="59"/>
  <c r="H8" i="59"/>
  <c r="H7" i="59"/>
  <c r="H6" i="59"/>
  <c r="H5" i="59"/>
  <c r="F2" i="59"/>
  <c r="C1" i="59"/>
  <c r="D1" i="59"/>
  <c r="E1" i="59"/>
  <c r="F1" i="59"/>
  <c r="D61" i="58"/>
  <c r="G59" i="58"/>
  <c r="E59" i="58"/>
  <c r="D59" i="58"/>
  <c r="B32" i="58"/>
  <c r="A32" i="58"/>
  <c r="D10" i="57"/>
  <c r="D2" i="57"/>
  <c r="D53" i="33"/>
  <c r="D34" i="57"/>
  <c r="B20" i="57"/>
  <c r="D23" i="57"/>
  <c r="G23" i="57"/>
  <c r="G21" i="57"/>
  <c r="G20" i="57"/>
  <c r="G22" i="57"/>
  <c r="K9" i="32"/>
  <c r="K10" i="32"/>
  <c r="K11" i="32"/>
  <c r="K12" i="32"/>
  <c r="K13" i="32"/>
  <c r="K14" i="32"/>
  <c r="K15" i="32"/>
  <c r="K16" i="32"/>
  <c r="K17" i="32"/>
  <c r="K18" i="32"/>
  <c r="K19" i="32"/>
  <c r="K20" i="32"/>
  <c r="K21" i="32"/>
  <c r="K22" i="32"/>
  <c r="K23" i="32"/>
  <c r="K24" i="32"/>
  <c r="K25" i="32"/>
  <c r="K26" i="32"/>
  <c r="K27" i="32"/>
  <c r="K28" i="32"/>
  <c r="J7" i="32"/>
  <c r="K7" i="32"/>
  <c r="C10" i="57"/>
  <c r="C2" i="57"/>
  <c r="B32" i="57"/>
  <c r="B31" i="57"/>
  <c r="B30" i="57"/>
  <c r="B9" i="57"/>
  <c r="B4" i="57"/>
  <c r="B13" i="57"/>
  <c r="G7" i="57"/>
  <c r="I7" i="57"/>
  <c r="G5" i="57"/>
  <c r="I5" i="57"/>
  <c r="G6" i="57"/>
  <c r="I6" i="57"/>
  <c r="G8" i="57"/>
  <c r="I8" i="57"/>
  <c r="G15" i="57"/>
  <c r="G14" i="57"/>
  <c r="G13" i="57"/>
  <c r="G16" i="57"/>
  <c r="G17" i="57"/>
  <c r="G18" i="57"/>
  <c r="B40" i="57"/>
  <c r="B39" i="57"/>
  <c r="B38" i="57"/>
  <c r="B37" i="57"/>
  <c r="B36" i="57"/>
  <c r="B27" i="57"/>
  <c r="H26" i="57"/>
  <c r="B26" i="57"/>
  <c r="G26" i="57"/>
  <c r="B25" i="57"/>
  <c r="H24" i="57"/>
  <c r="B24" i="57"/>
  <c r="G24" i="57"/>
  <c r="H23" i="57"/>
  <c r="H22" i="57"/>
  <c r="H21" i="57"/>
  <c r="H18" i="57"/>
  <c r="H17" i="57"/>
  <c r="H16" i="57"/>
  <c r="H15" i="57"/>
  <c r="H14" i="57"/>
  <c r="H9" i="57"/>
  <c r="H8" i="57"/>
  <c r="H7" i="57"/>
  <c r="H6" i="57"/>
  <c r="H5" i="57"/>
  <c r="F2" i="57"/>
  <c r="E2" i="57"/>
  <c r="C1" i="57"/>
  <c r="D1" i="57"/>
  <c r="E1" i="57"/>
  <c r="F1" i="57"/>
  <c r="F7" i="56"/>
  <c r="G7" i="56"/>
  <c r="I7" i="56"/>
  <c r="F8" i="56"/>
  <c r="G8" i="56"/>
  <c r="I8" i="56"/>
  <c r="F10" i="56"/>
  <c r="E34" i="56"/>
  <c r="D22" i="1"/>
  <c r="D7" i="1"/>
  <c r="D8" i="1"/>
  <c r="D9" i="1"/>
  <c r="D10" i="1"/>
  <c r="D11" i="1"/>
  <c r="D2" i="1"/>
  <c r="E29" i="32"/>
  <c r="E21" i="32"/>
  <c r="I23" i="32"/>
  <c r="I24" i="32"/>
  <c r="I25" i="32"/>
  <c r="I26" i="32"/>
  <c r="I27" i="32"/>
  <c r="I28" i="32"/>
  <c r="I29" i="32"/>
  <c r="H23" i="32"/>
  <c r="H24" i="32"/>
  <c r="H25" i="32"/>
  <c r="H26" i="32"/>
  <c r="H27" i="32"/>
  <c r="H28" i="32"/>
  <c r="H29" i="32"/>
  <c r="I15" i="32"/>
  <c r="I16" i="32"/>
  <c r="I17" i="32"/>
  <c r="I18" i="32"/>
  <c r="I19" i="32"/>
  <c r="I20" i="32"/>
  <c r="I21" i="32"/>
  <c r="H9" i="32"/>
  <c r="H10" i="32"/>
  <c r="H11" i="32"/>
  <c r="H12" i="32"/>
  <c r="H13" i="32"/>
  <c r="H15" i="32"/>
  <c r="H16" i="32"/>
  <c r="H17" i="32"/>
  <c r="H18" i="32"/>
  <c r="H19" i="32"/>
  <c r="H20" i="32"/>
  <c r="H21" i="32"/>
  <c r="I9" i="32"/>
  <c r="I10" i="32"/>
  <c r="I11" i="32"/>
  <c r="I12" i="32"/>
  <c r="I13" i="32"/>
  <c r="C34" i="56"/>
  <c r="B32" i="56"/>
  <c r="B31" i="56"/>
  <c r="B34" i="56"/>
  <c r="B5" i="56"/>
  <c r="B9" i="56"/>
  <c r="G9" i="56"/>
  <c r="B13" i="56"/>
  <c r="B20" i="56"/>
  <c r="C10" i="56"/>
  <c r="C5" i="56"/>
  <c r="G6" i="56"/>
  <c r="I6" i="56"/>
  <c r="G14" i="56"/>
  <c r="G15" i="56"/>
  <c r="G16" i="56"/>
  <c r="G17" i="56"/>
  <c r="G18" i="56"/>
  <c r="G21" i="56"/>
  <c r="G22" i="56"/>
  <c r="G20" i="56"/>
  <c r="G23" i="56"/>
  <c r="D20" i="1"/>
  <c r="D21" i="1"/>
  <c r="B40" i="56"/>
  <c r="B39" i="56"/>
  <c r="B38" i="56"/>
  <c r="B37" i="56"/>
  <c r="B36" i="56"/>
  <c r="B24" i="56"/>
  <c r="G24" i="56"/>
  <c r="B25" i="56"/>
  <c r="B26" i="56"/>
  <c r="G26" i="56"/>
  <c r="B27" i="56"/>
  <c r="H26" i="56"/>
  <c r="H24" i="56"/>
  <c r="H23" i="56"/>
  <c r="H22" i="56"/>
  <c r="H21" i="56"/>
  <c r="H18" i="56"/>
  <c r="H17" i="56"/>
  <c r="H16" i="56"/>
  <c r="H15" i="56"/>
  <c r="H14" i="56"/>
  <c r="H9" i="56"/>
  <c r="H8" i="56"/>
  <c r="H7" i="56"/>
  <c r="H6" i="56"/>
  <c r="H5" i="56"/>
  <c r="E2" i="56"/>
  <c r="D2" i="56"/>
  <c r="C1" i="56"/>
  <c r="D1" i="56"/>
  <c r="E1" i="56"/>
  <c r="F1" i="56"/>
  <c r="B31" i="55"/>
  <c r="E32" i="55"/>
  <c r="B32" i="55"/>
  <c r="C17" i="1"/>
  <c r="C19" i="1"/>
  <c r="C26" i="1"/>
  <c r="E21" i="1"/>
  <c r="E22" i="1"/>
  <c r="E6" i="1"/>
  <c r="E7" i="1"/>
  <c r="E8" i="1"/>
  <c r="E9" i="1"/>
  <c r="E10" i="1"/>
  <c r="E11" i="1"/>
  <c r="E12" i="1"/>
  <c r="E13" i="1"/>
  <c r="C34" i="55"/>
  <c r="E34" i="55"/>
  <c r="B5" i="55"/>
  <c r="B9" i="55"/>
  <c r="G9" i="55"/>
  <c r="B13" i="55"/>
  <c r="B20" i="55"/>
  <c r="C10" i="55"/>
  <c r="E10" i="55"/>
  <c r="E2" i="55"/>
  <c r="C5" i="55"/>
  <c r="G6" i="55"/>
  <c r="I6" i="55"/>
  <c r="D7" i="55"/>
  <c r="G7" i="55"/>
  <c r="I7" i="55"/>
  <c r="G8" i="55"/>
  <c r="I8" i="55"/>
  <c r="H18" i="55"/>
  <c r="G18" i="55"/>
  <c r="C1" i="55"/>
  <c r="D1" i="55"/>
  <c r="E1" i="55"/>
  <c r="F1" i="55"/>
  <c r="B31" i="51"/>
  <c r="B30" i="51"/>
  <c r="E32" i="51"/>
  <c r="B32" i="51"/>
  <c r="B33" i="54"/>
  <c r="C35" i="54"/>
  <c r="D35" i="54"/>
  <c r="B34" i="54"/>
  <c r="B40" i="55"/>
  <c r="B39" i="55"/>
  <c r="B38" i="55"/>
  <c r="B37" i="55"/>
  <c r="B36" i="55"/>
  <c r="B24" i="55"/>
  <c r="B25" i="55"/>
  <c r="B26" i="55"/>
  <c r="B27" i="55"/>
  <c r="G21" i="55"/>
  <c r="G22" i="55"/>
  <c r="G14" i="55"/>
  <c r="G13" i="55"/>
  <c r="G15" i="55"/>
  <c r="G16" i="55"/>
  <c r="G17" i="55"/>
  <c r="H26" i="55"/>
  <c r="H24" i="55"/>
  <c r="H23" i="55"/>
  <c r="H22" i="55"/>
  <c r="H21" i="55"/>
  <c r="H17" i="55"/>
  <c r="H16" i="55"/>
  <c r="H15" i="55"/>
  <c r="H14" i="55"/>
  <c r="H9" i="55"/>
  <c r="H8" i="55"/>
  <c r="H7" i="55"/>
  <c r="H6" i="55"/>
  <c r="H5" i="55"/>
  <c r="F2" i="55"/>
  <c r="C39" i="54"/>
  <c r="F12" i="54"/>
  <c r="F2" i="54"/>
  <c r="E18" i="1"/>
  <c r="E20" i="1"/>
  <c r="E19" i="1"/>
  <c r="C29" i="52"/>
  <c r="D29" i="52"/>
  <c r="B70" i="52"/>
  <c r="B29" i="52"/>
  <c r="C34" i="52"/>
  <c r="B71" i="52"/>
  <c r="D34" i="52"/>
  <c r="C39" i="52"/>
  <c r="D39" i="52"/>
  <c r="D45" i="52"/>
  <c r="D50" i="52"/>
  <c r="D55" i="52"/>
  <c r="D61" i="52"/>
  <c r="I39" i="34"/>
  <c r="I40" i="34"/>
  <c r="I41" i="34"/>
  <c r="I42" i="34"/>
  <c r="I43" i="34"/>
  <c r="I44" i="34"/>
  <c r="I45" i="34"/>
  <c r="I46" i="34"/>
  <c r="I47" i="34"/>
  <c r="I48" i="34"/>
  <c r="I49" i="34"/>
  <c r="I50" i="34"/>
  <c r="I51" i="34"/>
  <c r="I52" i="34"/>
  <c r="I53" i="34"/>
  <c r="I54" i="34"/>
  <c r="I55" i="34"/>
  <c r="I57" i="34"/>
  <c r="I58" i="34"/>
  <c r="I4" i="34"/>
  <c r="I5" i="34"/>
  <c r="I6" i="34"/>
  <c r="I7" i="34"/>
  <c r="I8" i="34"/>
  <c r="I3" i="34"/>
  <c r="I60" i="34"/>
  <c r="I9" i="34"/>
  <c r="I10" i="34"/>
  <c r="I11" i="34"/>
  <c r="I12" i="34"/>
  <c r="I13" i="34"/>
  <c r="I14" i="34"/>
  <c r="I15" i="34"/>
  <c r="I16" i="34"/>
  <c r="I17" i="34"/>
  <c r="I18" i="34"/>
  <c r="I19" i="34"/>
  <c r="I20" i="34"/>
  <c r="I21" i="34"/>
  <c r="I22" i="34"/>
  <c r="I23" i="34"/>
  <c r="I24" i="34"/>
  <c r="I25" i="34"/>
  <c r="I26" i="34"/>
  <c r="I27" i="34"/>
  <c r="I28" i="34"/>
  <c r="I29" i="34"/>
  <c r="I30" i="34"/>
  <c r="I31" i="34"/>
  <c r="I32" i="34"/>
  <c r="I33" i="34"/>
  <c r="I34" i="34"/>
  <c r="I35" i="34"/>
  <c r="I36" i="34"/>
  <c r="I37" i="34"/>
  <c r="I38" i="34"/>
  <c r="E60" i="34"/>
  <c r="D56" i="34"/>
  <c r="B24" i="54"/>
  <c r="B25" i="54"/>
  <c r="G25" i="54" s="1"/>
  <c r="B27" i="54"/>
  <c r="G27" i="54"/>
  <c r="B28" i="54"/>
  <c r="B26" i="54"/>
  <c r="G26" i="54"/>
  <c r="B29" i="54"/>
  <c r="G29" i="54"/>
  <c r="B30" i="54"/>
  <c r="E17" i="1"/>
  <c r="E12" i="54"/>
  <c r="E2" i="54"/>
  <c r="D12" i="54"/>
  <c r="D2" i="54"/>
  <c r="C12" i="54"/>
  <c r="C7" i="54"/>
  <c r="B17" i="54"/>
  <c r="G17" i="54"/>
  <c r="G14" i="54"/>
  <c r="B5" i="54"/>
  <c r="B7" i="54"/>
  <c r="B11" i="54"/>
  <c r="G11" i="54"/>
  <c r="G6" i="54"/>
  <c r="G9" i="54"/>
  <c r="G20" i="54"/>
  <c r="G8" i="54"/>
  <c r="G18" i="54"/>
  <c r="G10" i="54"/>
  <c r="G15" i="54"/>
  <c r="G16" i="54"/>
  <c r="G19" i="54"/>
  <c r="G21" i="54"/>
  <c r="H26" i="54"/>
  <c r="H8" i="54"/>
  <c r="C1" i="54"/>
  <c r="D1" i="54"/>
  <c r="E1" i="54"/>
  <c r="F1" i="54"/>
  <c r="B41" i="54"/>
  <c r="B40" i="54"/>
  <c r="B39" i="54"/>
  <c r="B38" i="54"/>
  <c r="B37" i="54"/>
  <c r="H29" i="54"/>
  <c r="H27" i="54"/>
  <c r="H25" i="54"/>
  <c r="H24" i="54"/>
  <c r="H21" i="54"/>
  <c r="H20" i="54"/>
  <c r="H19" i="54"/>
  <c r="H18" i="54"/>
  <c r="H17" i="54"/>
  <c r="H16" i="54"/>
  <c r="H15" i="54"/>
  <c r="H9" i="54"/>
  <c r="H11" i="54"/>
  <c r="H10" i="54"/>
  <c r="H7" i="54"/>
  <c r="H6" i="54"/>
  <c r="H5" i="54"/>
  <c r="F11" i="51"/>
  <c r="F7" i="51"/>
  <c r="F2" i="51"/>
  <c r="E24" i="1"/>
  <c r="E25" i="1"/>
  <c r="E26" i="1"/>
  <c r="B7" i="51"/>
  <c r="C45" i="52"/>
  <c r="C50" i="52"/>
  <c r="C55" i="52"/>
  <c r="C61" i="52"/>
  <c r="E45" i="52"/>
  <c r="F45" i="52"/>
  <c r="E71" i="52"/>
  <c r="F71" i="52"/>
  <c r="E33" i="52"/>
  <c r="E31" i="52"/>
  <c r="E32" i="52"/>
  <c r="E23" i="52"/>
  <c r="F23" i="52"/>
  <c r="E18" i="52"/>
  <c r="F18" i="52"/>
  <c r="E13" i="52"/>
  <c r="F13" i="52"/>
  <c r="E7" i="52"/>
  <c r="F7" i="52"/>
  <c r="E35" i="52"/>
  <c r="E36" i="52"/>
  <c r="E37" i="52"/>
  <c r="E38" i="52"/>
  <c r="C30" i="36"/>
  <c r="C29" i="36"/>
  <c r="D29" i="36"/>
  <c r="E29" i="36"/>
  <c r="C24" i="36"/>
  <c r="C23" i="36"/>
  <c r="C19" i="36"/>
  <c r="C20" i="36"/>
  <c r="C21" i="36"/>
  <c r="C22" i="36"/>
  <c r="C3" i="36"/>
  <c r="C4" i="36"/>
  <c r="C5" i="36"/>
  <c r="C6" i="36"/>
  <c r="C2" i="36"/>
  <c r="D2" i="36"/>
  <c r="C8" i="36"/>
  <c r="C7" i="36"/>
  <c r="C9" i="36"/>
  <c r="C11" i="36"/>
  <c r="C12" i="36"/>
  <c r="C14" i="36"/>
  <c r="C13" i="36"/>
  <c r="D13" i="36"/>
  <c r="H13" i="36"/>
  <c r="C15" i="36"/>
  <c r="C16" i="36"/>
  <c r="C17" i="36"/>
  <c r="B61" i="52"/>
  <c r="E55" i="52"/>
  <c r="F55" i="52"/>
  <c r="E50" i="52"/>
  <c r="F50" i="52"/>
  <c r="H50" i="52"/>
  <c r="E61" i="52"/>
  <c r="F61" i="52"/>
  <c r="H61" i="52"/>
  <c r="E2" i="52"/>
  <c r="F2" i="52"/>
  <c r="H2" i="52"/>
  <c r="E40" i="52"/>
  <c r="E41" i="52"/>
  <c r="E42" i="52"/>
  <c r="E44" i="52"/>
  <c r="E33" i="51"/>
  <c r="C33" i="51"/>
  <c r="B33" i="51"/>
  <c r="B24" i="51"/>
  <c r="G24" i="51" s="1"/>
  <c r="B25" i="51"/>
  <c r="G25" i="51" s="1"/>
  <c r="B26" i="51"/>
  <c r="G26" i="51" s="1"/>
  <c r="B27" i="51"/>
  <c r="G27" i="51" s="1"/>
  <c r="B28" i="51"/>
  <c r="G28" i="51" s="1"/>
  <c r="B5" i="51"/>
  <c r="B8" i="51"/>
  <c r="C8" i="51"/>
  <c r="B10" i="51"/>
  <c r="G10" i="51"/>
  <c r="B16" i="51"/>
  <c r="G16" i="51"/>
  <c r="C11" i="51"/>
  <c r="D11" i="51"/>
  <c r="D7" i="51"/>
  <c r="E11" i="51"/>
  <c r="E5" i="51"/>
  <c r="E7" i="51"/>
  <c r="C7" i="51"/>
  <c r="G14" i="51"/>
  <c r="G13" i="51"/>
  <c r="G15" i="51"/>
  <c r="G17" i="51"/>
  <c r="G18" i="51"/>
  <c r="G19" i="51"/>
  <c r="G20" i="51"/>
  <c r="G21" i="51"/>
  <c r="G6" i="51"/>
  <c r="G9" i="51"/>
  <c r="K61" i="52"/>
  <c r="K55" i="52"/>
  <c r="K50" i="52"/>
  <c r="K45" i="52"/>
  <c r="K39" i="52"/>
  <c r="K34" i="52"/>
  <c r="K29" i="52"/>
  <c r="C34" i="36"/>
  <c r="D34" i="36"/>
  <c r="I2" i="52"/>
  <c r="B2" i="52"/>
  <c r="A4" i="52"/>
  <c r="A5" i="52"/>
  <c r="A6" i="52"/>
  <c r="B7" i="52"/>
  <c r="A9" i="52"/>
  <c r="A10" i="52"/>
  <c r="A11" i="52"/>
  <c r="B13" i="52"/>
  <c r="A14" i="52"/>
  <c r="A15" i="52"/>
  <c r="A16" i="52"/>
  <c r="A17" i="52"/>
  <c r="A19" i="52"/>
  <c r="A20" i="52"/>
  <c r="A21" i="52"/>
  <c r="A22" i="52"/>
  <c r="A24" i="52"/>
  <c r="A25" i="52"/>
  <c r="A26" i="52"/>
  <c r="A27" i="52"/>
  <c r="A28" i="52"/>
  <c r="A30" i="52"/>
  <c r="A31" i="52"/>
  <c r="A32" i="52"/>
  <c r="A33" i="52"/>
  <c r="A35" i="52"/>
  <c r="A36" i="52"/>
  <c r="A37" i="52"/>
  <c r="A38" i="52"/>
  <c r="A40" i="52"/>
  <c r="A41" i="52"/>
  <c r="A42" i="52"/>
  <c r="A43" i="52"/>
  <c r="A44" i="52"/>
  <c r="A46" i="52"/>
  <c r="A47" i="52"/>
  <c r="A48" i="52"/>
  <c r="A49" i="52"/>
  <c r="A51" i="52"/>
  <c r="A52" i="52"/>
  <c r="A53" i="52"/>
  <c r="A54" i="52"/>
  <c r="A56" i="52"/>
  <c r="A57" i="52"/>
  <c r="A58" i="52"/>
  <c r="A59" i="52"/>
  <c r="A60" i="52"/>
  <c r="A62" i="52"/>
  <c r="A63" i="52"/>
  <c r="A64" i="52"/>
  <c r="A65" i="52"/>
  <c r="B18" i="52"/>
  <c r="B23" i="52"/>
  <c r="B39" i="51"/>
  <c r="B38" i="51"/>
  <c r="H27" i="51"/>
  <c r="H28" i="51"/>
  <c r="B37" i="51"/>
  <c r="B35" i="51"/>
  <c r="B36" i="51"/>
  <c r="H26" i="51"/>
  <c r="H25" i="51"/>
  <c r="H24" i="51"/>
  <c r="H18" i="51"/>
  <c r="H10" i="51"/>
  <c r="H9" i="51"/>
  <c r="L66" i="52"/>
  <c r="D5" i="2"/>
  <c r="E5" i="2"/>
  <c r="D7" i="2"/>
  <c r="E7" i="2"/>
  <c r="D8" i="2"/>
  <c r="E8" i="2"/>
  <c r="F8" i="2"/>
  <c r="D9" i="2"/>
  <c r="E9" i="2"/>
  <c r="F9" i="2"/>
  <c r="D10" i="2"/>
  <c r="E10" i="2"/>
  <c r="D11" i="2"/>
  <c r="E11" i="2"/>
  <c r="D12" i="2"/>
  <c r="E12" i="2"/>
  <c r="C14" i="2"/>
  <c r="C15" i="2"/>
  <c r="C16" i="2"/>
  <c r="B55" i="52"/>
  <c r="B50" i="52"/>
  <c r="B45" i="52"/>
  <c r="M34" i="36"/>
  <c r="C1" i="51"/>
  <c r="D1" i="51"/>
  <c r="E1" i="51"/>
  <c r="F1" i="51"/>
  <c r="H21" i="51"/>
  <c r="H20" i="51"/>
  <c r="H19" i="51"/>
  <c r="H17" i="51"/>
  <c r="H16" i="51"/>
  <c r="H15" i="51"/>
  <c r="H14" i="51"/>
  <c r="H8" i="51"/>
  <c r="H7" i="51"/>
  <c r="H6" i="51"/>
  <c r="H5" i="51"/>
  <c r="G27" i="50"/>
  <c r="B27" i="50"/>
  <c r="B18" i="50"/>
  <c r="B13" i="50" s="1"/>
  <c r="B11" i="50" s="1"/>
  <c r="H11" i="50" s="1"/>
  <c r="B14" i="50"/>
  <c r="H14" i="50"/>
  <c r="H15" i="50"/>
  <c r="H16" i="50"/>
  <c r="B17" i="50"/>
  <c r="H17" i="50"/>
  <c r="H19" i="50"/>
  <c r="B20" i="50"/>
  <c r="H20" i="50"/>
  <c r="H21" i="50"/>
  <c r="H22" i="50"/>
  <c r="H23" i="50"/>
  <c r="C29" i="50"/>
  <c r="C28" i="50"/>
  <c r="B28" i="50"/>
  <c r="H5" i="50"/>
  <c r="J5" i="50"/>
  <c r="H6" i="50"/>
  <c r="J6" i="50"/>
  <c r="H7" i="50"/>
  <c r="J7" i="50"/>
  <c r="C8" i="50"/>
  <c r="C9" i="50"/>
  <c r="C11" i="50"/>
  <c r="D8" i="50"/>
  <c r="D9" i="50"/>
  <c r="D11" i="50"/>
  <c r="F11" i="50"/>
  <c r="F2" i="50"/>
  <c r="G11" i="50"/>
  <c r="G2" i="50"/>
  <c r="H10" i="50"/>
  <c r="J10" i="50"/>
  <c r="E3" i="1"/>
  <c r="E27" i="1"/>
  <c r="E29" i="1"/>
  <c r="I24" i="50"/>
  <c r="I16" i="50"/>
  <c r="I17" i="50"/>
  <c r="I18" i="50"/>
  <c r="I19" i="50"/>
  <c r="I20" i="50"/>
  <c r="I21" i="50"/>
  <c r="I22" i="50"/>
  <c r="I23" i="50"/>
  <c r="C1" i="50"/>
  <c r="D1" i="50"/>
  <c r="E1" i="50"/>
  <c r="F1" i="50"/>
  <c r="G1" i="50"/>
  <c r="B30" i="50"/>
  <c r="I15" i="50"/>
  <c r="I14" i="50"/>
  <c r="I10" i="50"/>
  <c r="I9" i="50"/>
  <c r="I8" i="50"/>
  <c r="I7" i="50"/>
  <c r="I6" i="50"/>
  <c r="I5" i="50"/>
  <c r="B4" i="50"/>
  <c r="E2" i="50"/>
  <c r="B26" i="26"/>
  <c r="B10" i="26"/>
  <c r="B15" i="26"/>
  <c r="G15" i="26"/>
  <c r="B17" i="26"/>
  <c r="B5" i="26"/>
  <c r="G5" i="26"/>
  <c r="B6" i="26"/>
  <c r="G6" i="26"/>
  <c r="B7" i="26"/>
  <c r="G7" i="26"/>
  <c r="B8" i="26"/>
  <c r="G8" i="26"/>
  <c r="B9" i="26"/>
  <c r="G9" i="26"/>
  <c r="B24" i="26"/>
  <c r="G13" i="26"/>
  <c r="G14" i="26"/>
  <c r="G16" i="26"/>
  <c r="G18" i="26"/>
  <c r="G19" i="26"/>
  <c r="G20" i="26"/>
  <c r="G21" i="26"/>
  <c r="B26" i="46"/>
  <c r="B15" i="46"/>
  <c r="H15" i="46"/>
  <c r="B17" i="46"/>
  <c r="H17" i="46"/>
  <c r="C1" i="46"/>
  <c r="D1" i="46"/>
  <c r="E1" i="46"/>
  <c r="F1" i="46"/>
  <c r="G1" i="46"/>
  <c r="B24" i="46"/>
  <c r="H13" i="46"/>
  <c r="H14" i="46"/>
  <c r="H16" i="46"/>
  <c r="H18" i="46"/>
  <c r="H19" i="46"/>
  <c r="H20" i="46"/>
  <c r="H21" i="46"/>
  <c r="H8" i="46"/>
  <c r="E9" i="47"/>
  <c r="E7" i="47"/>
  <c r="E11" i="47"/>
  <c r="C28" i="47"/>
  <c r="B28" i="47"/>
  <c r="B5" i="47"/>
  <c r="B6" i="47"/>
  <c r="G6" i="47"/>
  <c r="B8" i="47"/>
  <c r="G8" i="47"/>
  <c r="B9" i="47"/>
  <c r="C9" i="47"/>
  <c r="B10" i="47"/>
  <c r="G10" i="47"/>
  <c r="G14" i="47"/>
  <c r="G15" i="47"/>
  <c r="B16" i="47"/>
  <c r="G16" i="47"/>
  <c r="G13" i="47"/>
  <c r="G17" i="47"/>
  <c r="B18" i="47"/>
  <c r="G18" i="47"/>
  <c r="B19" i="47"/>
  <c r="G19" i="47"/>
  <c r="B20" i="47"/>
  <c r="G20" i="47"/>
  <c r="G21" i="47"/>
  <c r="G22" i="47"/>
  <c r="C5" i="47"/>
  <c r="C2" i="47"/>
  <c r="C7" i="47"/>
  <c r="C11" i="47"/>
  <c r="B25" i="47"/>
  <c r="I21" i="46"/>
  <c r="H22" i="47"/>
  <c r="H21" i="26"/>
  <c r="A39" i="47"/>
  <c r="B25" i="46"/>
  <c r="A14" i="36"/>
  <c r="A15" i="36"/>
  <c r="A16" i="36"/>
  <c r="A17" i="36"/>
  <c r="A19" i="36"/>
  <c r="A20" i="36"/>
  <c r="A21" i="36"/>
  <c r="A22" i="36"/>
  <c r="A24" i="36"/>
  <c r="A25" i="36"/>
  <c r="A26" i="36"/>
  <c r="A27" i="36"/>
  <c r="A28" i="36"/>
  <c r="A30" i="36"/>
  <c r="A31" i="36"/>
  <c r="A32" i="36"/>
  <c r="A33" i="36"/>
  <c r="A35" i="36"/>
  <c r="A36" i="36"/>
  <c r="A37" i="36"/>
  <c r="A38" i="36"/>
  <c r="C2" i="48"/>
  <c r="D2" i="48"/>
  <c r="E2" i="48"/>
  <c r="L66" i="48"/>
  <c r="C7" i="48"/>
  <c r="D7" i="48"/>
  <c r="C13" i="48"/>
  <c r="D13" i="48"/>
  <c r="E13" i="48"/>
  <c r="C18" i="48"/>
  <c r="C23" i="48"/>
  <c r="E23" i="48"/>
  <c r="C29" i="48"/>
  <c r="D29" i="48"/>
  <c r="C34" i="48"/>
  <c r="D34" i="48"/>
  <c r="C39" i="48"/>
  <c r="D39" i="48"/>
  <c r="C45" i="48"/>
  <c r="D45" i="48"/>
  <c r="C50" i="48"/>
  <c r="C55" i="48"/>
  <c r="D55" i="48"/>
  <c r="C61" i="48"/>
  <c r="K61" i="48"/>
  <c r="B61" i="48"/>
  <c r="K55" i="48"/>
  <c r="B55" i="48"/>
  <c r="K50" i="48"/>
  <c r="B50" i="48"/>
  <c r="K45" i="48"/>
  <c r="B45" i="48"/>
  <c r="K39" i="48"/>
  <c r="B39" i="48"/>
  <c r="K34" i="48"/>
  <c r="B34" i="48"/>
  <c r="K29" i="48"/>
  <c r="B29" i="48"/>
  <c r="K23" i="48"/>
  <c r="B23" i="48"/>
  <c r="K18" i="48"/>
  <c r="B18" i="48"/>
  <c r="K13" i="48"/>
  <c r="B13" i="48"/>
  <c r="K7" i="48"/>
  <c r="B7" i="48"/>
  <c r="K2" i="48"/>
  <c r="B2" i="48"/>
  <c r="B23" i="36"/>
  <c r="B18" i="36"/>
  <c r="B7" i="36"/>
  <c r="C1" i="47"/>
  <c r="D1" i="47"/>
  <c r="E1" i="47"/>
  <c r="F1" i="47"/>
  <c r="B30" i="47"/>
  <c r="B27" i="47"/>
  <c r="B26" i="47"/>
  <c r="H18" i="47"/>
  <c r="H14" i="47"/>
  <c r="H15" i="47"/>
  <c r="H21" i="47"/>
  <c r="H17" i="47"/>
  <c r="H16" i="47"/>
  <c r="H20" i="47"/>
  <c r="H19" i="47"/>
  <c r="H10" i="47"/>
  <c r="H9" i="47"/>
  <c r="H8" i="47"/>
  <c r="H7" i="47"/>
  <c r="H6" i="47"/>
  <c r="H5" i="47"/>
  <c r="F2" i="47"/>
  <c r="D2" i="47"/>
  <c r="D28" i="25"/>
  <c r="F28" i="25"/>
  <c r="B26" i="25"/>
  <c r="C1" i="25"/>
  <c r="D1" i="25"/>
  <c r="E1" i="25"/>
  <c r="F1" i="25"/>
  <c r="G1" i="25"/>
  <c r="B15" i="25"/>
  <c r="H15" i="25"/>
  <c r="J15" i="25"/>
  <c r="J14" i="25"/>
  <c r="H14" i="25"/>
  <c r="B25" i="25"/>
  <c r="C9" i="25"/>
  <c r="D9" i="25"/>
  <c r="G9" i="25"/>
  <c r="B16" i="25"/>
  <c r="H16" i="25"/>
  <c r="J16" i="25"/>
  <c r="B17" i="25"/>
  <c r="H17" i="25"/>
  <c r="J17" i="25"/>
  <c r="B23" i="25"/>
  <c r="H23" i="25"/>
  <c r="J23" i="25"/>
  <c r="C12" i="25"/>
  <c r="D12" i="25"/>
  <c r="E12" i="25"/>
  <c r="E2" i="25"/>
  <c r="F12" i="25"/>
  <c r="F2" i="25"/>
  <c r="G12" i="25"/>
  <c r="H10" i="25"/>
  <c r="J10" i="25"/>
  <c r="D5" i="25"/>
  <c r="H5" i="25"/>
  <c r="J5" i="25"/>
  <c r="H7" i="25"/>
  <c r="J7" i="25"/>
  <c r="H8" i="25"/>
  <c r="J8" i="25"/>
  <c r="H11" i="25"/>
  <c r="J11" i="25"/>
  <c r="H18" i="25"/>
  <c r="J18" i="25"/>
  <c r="H19" i="25"/>
  <c r="J19" i="25"/>
  <c r="H20" i="25"/>
  <c r="J20" i="25"/>
  <c r="H21" i="25"/>
  <c r="J21" i="25"/>
  <c r="H22" i="25"/>
  <c r="J22" i="25"/>
  <c r="J13" i="25"/>
  <c r="B27" i="46"/>
  <c r="I17" i="46"/>
  <c r="I13" i="46"/>
  <c r="I14" i="46"/>
  <c r="I20" i="46"/>
  <c r="I16" i="46"/>
  <c r="I15" i="46"/>
  <c r="I19" i="46"/>
  <c r="I18" i="46"/>
  <c r="I9" i="46"/>
  <c r="I8" i="46"/>
  <c r="I7" i="46"/>
  <c r="I6" i="46"/>
  <c r="I5" i="46"/>
  <c r="G2" i="46"/>
  <c r="F2" i="46"/>
  <c r="E2" i="46"/>
  <c r="D2" i="46"/>
  <c r="C2" i="46"/>
  <c r="F12" i="45"/>
  <c r="F2" i="45"/>
  <c r="E12" i="45"/>
  <c r="E8" i="45"/>
  <c r="E29" i="45"/>
  <c r="C29" i="45"/>
  <c r="D29" i="45"/>
  <c r="B29" i="45"/>
  <c r="D8" i="45"/>
  <c r="D11" i="45"/>
  <c r="G11" i="45"/>
  <c r="D12" i="45"/>
  <c r="A4" i="36"/>
  <c r="A5" i="36"/>
  <c r="A6" i="36"/>
  <c r="D2" i="2"/>
  <c r="E2" i="2"/>
  <c r="F2" i="2"/>
  <c r="D3" i="2"/>
  <c r="E3" i="2"/>
  <c r="D4" i="2"/>
  <c r="E4" i="2"/>
  <c r="F4" i="2"/>
  <c r="D6" i="2"/>
  <c r="E6" i="2"/>
  <c r="F6" i="2"/>
  <c r="L39" i="36"/>
  <c r="B7" i="45"/>
  <c r="G7" i="45"/>
  <c r="B5" i="45"/>
  <c r="G5" i="45"/>
  <c r="G30" i="45"/>
  <c r="B6" i="45"/>
  <c r="G6" i="45"/>
  <c r="C12" i="45"/>
  <c r="C8" i="45"/>
  <c r="G8" i="45"/>
  <c r="B8" i="45"/>
  <c r="B15" i="45"/>
  <c r="B16" i="45"/>
  <c r="B17" i="45"/>
  <c r="G17" i="45"/>
  <c r="B18" i="45"/>
  <c r="G18" i="45"/>
  <c r="B23" i="45"/>
  <c r="G23" i="45"/>
  <c r="B26" i="45"/>
  <c r="G9" i="45"/>
  <c r="G10" i="45"/>
  <c r="G19" i="45"/>
  <c r="G20" i="45"/>
  <c r="G21" i="45"/>
  <c r="G22" i="45"/>
  <c r="H18" i="45"/>
  <c r="I21" i="25"/>
  <c r="I20" i="25"/>
  <c r="H14" i="26"/>
  <c r="H20" i="26"/>
  <c r="H21" i="45"/>
  <c r="H20" i="45"/>
  <c r="C1" i="45"/>
  <c r="D1" i="45"/>
  <c r="E1" i="45"/>
  <c r="F1" i="45"/>
  <c r="B31" i="45"/>
  <c r="B28" i="45"/>
  <c r="B27" i="45"/>
  <c r="H23" i="45"/>
  <c r="H22" i="45"/>
  <c r="H19" i="45"/>
  <c r="H17" i="45"/>
  <c r="H16" i="45"/>
  <c r="H15" i="45"/>
  <c r="H11" i="45"/>
  <c r="H10" i="45"/>
  <c r="H9" i="45"/>
  <c r="H8" i="45"/>
  <c r="H7" i="45"/>
  <c r="H6" i="45"/>
  <c r="H5" i="45"/>
  <c r="G28" i="43"/>
  <c r="C28" i="43"/>
  <c r="E28" i="43"/>
  <c r="F28" i="43"/>
  <c r="B27" i="43"/>
  <c r="B28" i="43"/>
  <c r="G9" i="43"/>
  <c r="G2" i="43"/>
  <c r="B6" i="43"/>
  <c r="H6" i="43"/>
  <c r="B7" i="43"/>
  <c r="C1" i="43"/>
  <c r="D1" i="43"/>
  <c r="E1" i="43"/>
  <c r="F1" i="43"/>
  <c r="G1" i="43"/>
  <c r="B9" i="43"/>
  <c r="H9" i="43"/>
  <c r="C9" i="43"/>
  <c r="C12" i="43"/>
  <c r="C2" i="43"/>
  <c r="B18" i="43"/>
  <c r="H18" i="43"/>
  <c r="B19" i="43"/>
  <c r="H19" i="43"/>
  <c r="B20" i="43"/>
  <c r="H20" i="43"/>
  <c r="B23" i="43"/>
  <c r="H23" i="43"/>
  <c r="B15" i="43"/>
  <c r="B26" i="43"/>
  <c r="D12" i="43"/>
  <c r="D2" i="43"/>
  <c r="F12" i="43"/>
  <c r="F2" i="43"/>
  <c r="H16" i="43"/>
  <c r="H17" i="43"/>
  <c r="H21" i="43"/>
  <c r="H22" i="43"/>
  <c r="H5" i="43"/>
  <c r="H8" i="43"/>
  <c r="H10" i="43"/>
  <c r="H11" i="43"/>
  <c r="E38" i="43"/>
  <c r="D37" i="43"/>
  <c r="D35" i="43"/>
  <c r="D36" i="43"/>
  <c r="D34" i="43"/>
  <c r="D33" i="43"/>
  <c r="I16" i="43"/>
  <c r="I17" i="43"/>
  <c r="A9" i="36"/>
  <c r="A10" i="36"/>
  <c r="A11" i="36"/>
  <c r="E12" i="38"/>
  <c r="E9" i="38"/>
  <c r="C28" i="38"/>
  <c r="B28" i="38"/>
  <c r="D28" i="38"/>
  <c r="B25" i="38"/>
  <c r="D12" i="38"/>
  <c r="B6" i="38"/>
  <c r="F5" i="38"/>
  <c r="F7" i="38"/>
  <c r="F8" i="38"/>
  <c r="B9" i="38"/>
  <c r="B11" i="38"/>
  <c r="D9" i="38"/>
  <c r="F10" i="38"/>
  <c r="F11" i="38"/>
  <c r="B15" i="38"/>
  <c r="B14" i="38"/>
  <c r="B16" i="38"/>
  <c r="F16" i="38"/>
  <c r="B17" i="38"/>
  <c r="F17" i="38"/>
  <c r="B18" i="38"/>
  <c r="F18" i="38"/>
  <c r="B21" i="38"/>
  <c r="F21" i="38"/>
  <c r="C12" i="38"/>
  <c r="C2" i="38"/>
  <c r="F19" i="38"/>
  <c r="F20" i="38"/>
  <c r="D55" i="33"/>
  <c r="I51" i="33"/>
  <c r="G8" i="38"/>
  <c r="B34" i="36"/>
  <c r="B29" i="36"/>
  <c r="B13" i="36"/>
  <c r="B2" i="36"/>
  <c r="B13" i="2"/>
  <c r="D13" i="2"/>
  <c r="A15" i="2"/>
  <c r="A16" i="2"/>
  <c r="A17" i="2"/>
  <c r="B30" i="43"/>
  <c r="I11" i="43"/>
  <c r="I10" i="43"/>
  <c r="I9" i="43"/>
  <c r="I23" i="43"/>
  <c r="I22" i="43"/>
  <c r="I8" i="43"/>
  <c r="I21" i="43"/>
  <c r="I20" i="43"/>
  <c r="I19" i="43"/>
  <c r="I18" i="43"/>
  <c r="I15" i="43"/>
  <c r="I7" i="43"/>
  <c r="I6" i="43"/>
  <c r="I5" i="43"/>
  <c r="E2" i="43"/>
  <c r="C1" i="38"/>
  <c r="D1" i="38"/>
  <c r="E1" i="38"/>
  <c r="C11" i="42"/>
  <c r="D11" i="42"/>
  <c r="E11" i="42"/>
  <c r="C12" i="42"/>
  <c r="D12" i="42"/>
  <c r="C13" i="42"/>
  <c r="D13" i="42"/>
  <c r="G11" i="42"/>
  <c r="G8" i="42"/>
  <c r="I8" i="42"/>
  <c r="G5" i="42"/>
  <c r="G2" i="42"/>
  <c r="I2" i="42" s="1"/>
  <c r="C2" i="42"/>
  <c r="D2" i="42"/>
  <c r="C3" i="42"/>
  <c r="D3" i="42"/>
  <c r="E3" i="42"/>
  <c r="C4" i="42"/>
  <c r="D4" i="42"/>
  <c r="E4" i="42"/>
  <c r="C5" i="42"/>
  <c r="D5" i="42"/>
  <c r="C6" i="42"/>
  <c r="D6" i="42"/>
  <c r="E6" i="42"/>
  <c r="C7" i="42"/>
  <c r="D7" i="42"/>
  <c r="E7" i="42"/>
  <c r="C8" i="42"/>
  <c r="D8" i="42"/>
  <c r="E8" i="42"/>
  <c r="C9" i="42"/>
  <c r="D9" i="42"/>
  <c r="E9" i="42"/>
  <c r="C10" i="42"/>
  <c r="D10" i="42"/>
  <c r="I11" i="42"/>
  <c r="E12" i="42"/>
  <c r="H12" i="42"/>
  <c r="G11" i="41"/>
  <c r="I11" i="41"/>
  <c r="I14" i="41"/>
  <c r="G8" i="41"/>
  <c r="G5" i="41"/>
  <c r="I5" i="41"/>
  <c r="G2" i="41"/>
  <c r="I2" i="41"/>
  <c r="C2" i="41"/>
  <c r="D2" i="41"/>
  <c r="E2" i="41"/>
  <c r="C3" i="41"/>
  <c r="D3" i="41"/>
  <c r="E3" i="41"/>
  <c r="I3" i="41"/>
  <c r="C4" i="41"/>
  <c r="D4" i="41"/>
  <c r="E4" i="41"/>
  <c r="I4" i="41"/>
  <c r="C5" i="41"/>
  <c r="D5" i="41"/>
  <c r="E5" i="41"/>
  <c r="C6" i="41"/>
  <c r="D6" i="41"/>
  <c r="E6" i="41"/>
  <c r="I6" i="41"/>
  <c r="C7" i="41"/>
  <c r="D7" i="41"/>
  <c r="E7" i="41"/>
  <c r="I7" i="41"/>
  <c r="I8" i="41"/>
  <c r="C8" i="41"/>
  <c r="D8" i="41"/>
  <c r="E8" i="41"/>
  <c r="C9" i="41"/>
  <c r="D9" i="41"/>
  <c r="E9" i="41"/>
  <c r="H9" i="41"/>
  <c r="I9" i="41"/>
  <c r="C10" i="41"/>
  <c r="D10" i="41"/>
  <c r="E10" i="41"/>
  <c r="H10" i="41"/>
  <c r="I10" i="41"/>
  <c r="C11" i="41"/>
  <c r="D11" i="41"/>
  <c r="E11" i="41"/>
  <c r="C12" i="41"/>
  <c r="D12" i="41"/>
  <c r="E12" i="41"/>
  <c r="I12" i="41"/>
  <c r="C13" i="41"/>
  <c r="D13" i="41"/>
  <c r="E13" i="41"/>
  <c r="I13" i="41"/>
  <c r="L12" i="42"/>
  <c r="L12" i="41"/>
  <c r="O14" i="41"/>
  <c r="C31" i="41"/>
  <c r="D32" i="41"/>
  <c r="F12" i="41"/>
  <c r="F13" i="41"/>
  <c r="F11" i="41"/>
  <c r="F9" i="41"/>
  <c r="F10" i="41"/>
  <c r="F8" i="41"/>
  <c r="F7" i="41"/>
  <c r="F6" i="41"/>
  <c r="F5" i="41"/>
  <c r="F3" i="41"/>
  <c r="F4" i="41"/>
  <c r="F2" i="41"/>
  <c r="M14" i="42"/>
  <c r="L13" i="42"/>
  <c r="L11" i="42"/>
  <c r="L10" i="42"/>
  <c r="L9" i="42"/>
  <c r="L8" i="42"/>
  <c r="L7" i="42"/>
  <c r="L6" i="42"/>
  <c r="L5" i="42"/>
  <c r="L4" i="42"/>
  <c r="L3" i="42"/>
  <c r="L2" i="42"/>
  <c r="B32" i="2"/>
  <c r="C32" i="2"/>
  <c r="B30" i="2"/>
  <c r="C30" i="2"/>
  <c r="D30" i="2"/>
  <c r="E30" i="2"/>
  <c r="B33" i="2"/>
  <c r="C33" i="2"/>
  <c r="B31" i="2"/>
  <c r="C31" i="2"/>
  <c r="M14" i="41"/>
  <c r="L13" i="41"/>
  <c r="L11" i="41"/>
  <c r="L10" i="41"/>
  <c r="L9" i="41"/>
  <c r="L8" i="41"/>
  <c r="L7" i="41"/>
  <c r="L6" i="41"/>
  <c r="L5" i="41"/>
  <c r="L4" i="41"/>
  <c r="L3" i="41"/>
  <c r="L2" i="41"/>
  <c r="C1" i="31"/>
  <c r="D1" i="31" s="1"/>
  <c r="E1" i="31" s="1"/>
  <c r="F1" i="31" s="1"/>
  <c r="B30" i="38"/>
  <c r="B26" i="38"/>
  <c r="B24" i="38"/>
  <c r="G11" i="38"/>
  <c r="G10" i="38"/>
  <c r="G9" i="38"/>
  <c r="G21" i="38"/>
  <c r="G20" i="38"/>
  <c r="G19" i="38"/>
  <c r="G18" i="38"/>
  <c r="G17" i="38"/>
  <c r="G16" i="38"/>
  <c r="G15" i="38"/>
  <c r="G7" i="38"/>
  <c r="G6" i="38"/>
  <c r="G5" i="38"/>
  <c r="F17" i="35"/>
  <c r="F5" i="35"/>
  <c r="F14" i="35"/>
  <c r="C21" i="35"/>
  <c r="B21" i="35"/>
  <c r="D21" i="35"/>
  <c r="E21" i="35"/>
  <c r="F19" i="35"/>
  <c r="N17" i="2"/>
  <c r="M12" i="2"/>
  <c r="B18" i="35"/>
  <c r="C3" i="35"/>
  <c r="C2" i="35"/>
  <c r="D14" i="35"/>
  <c r="D17" i="35"/>
  <c r="E14" i="35"/>
  <c r="B4" i="35"/>
  <c r="H4" i="35"/>
  <c r="B5" i="35"/>
  <c r="B6" i="35"/>
  <c r="H6" i="35"/>
  <c r="B7" i="35"/>
  <c r="H7" i="35"/>
  <c r="B8" i="35"/>
  <c r="H8" i="35"/>
  <c r="B9" i="35"/>
  <c r="H9" i="35"/>
  <c r="B13" i="35"/>
  <c r="H13" i="35"/>
  <c r="C19" i="35"/>
  <c r="C17" i="35"/>
  <c r="E17" i="35"/>
  <c r="E2" i="35"/>
  <c r="G53" i="33"/>
  <c r="I2" i="33"/>
  <c r="H3" i="33"/>
  <c r="I3" i="33"/>
  <c r="I4" i="33"/>
  <c r="H5" i="33"/>
  <c r="I5" i="33"/>
  <c r="I6" i="33"/>
  <c r="I7" i="33"/>
  <c r="I8" i="33"/>
  <c r="I9" i="33"/>
  <c r="I10" i="33"/>
  <c r="I11" i="33"/>
  <c r="I12" i="33"/>
  <c r="I13" i="33"/>
  <c r="I14" i="33"/>
  <c r="I15" i="33"/>
  <c r="I16" i="33"/>
  <c r="I17" i="33"/>
  <c r="I18" i="33"/>
  <c r="I19" i="33"/>
  <c r="I20" i="33"/>
  <c r="I21" i="33"/>
  <c r="I22" i="33"/>
  <c r="I23" i="33"/>
  <c r="I24" i="33"/>
  <c r="I25" i="33"/>
  <c r="I26" i="33"/>
  <c r="I28" i="33"/>
  <c r="I29" i="33"/>
  <c r="I30" i="33"/>
  <c r="I31" i="33"/>
  <c r="I32" i="33"/>
  <c r="I33" i="33"/>
  <c r="I34" i="33"/>
  <c r="I35" i="33"/>
  <c r="I36" i="33"/>
  <c r="I37" i="33"/>
  <c r="I38" i="33"/>
  <c r="I39" i="33"/>
  <c r="I40" i="33"/>
  <c r="I41" i="33"/>
  <c r="I42" i="33"/>
  <c r="I43" i="33"/>
  <c r="I44" i="33"/>
  <c r="I45" i="33"/>
  <c r="I46" i="33"/>
  <c r="I47" i="33"/>
  <c r="I48" i="33"/>
  <c r="I49" i="33"/>
  <c r="I50" i="33"/>
  <c r="E53" i="33"/>
  <c r="B29" i="33"/>
  <c r="A29" i="33"/>
  <c r="H15" i="35"/>
  <c r="H10" i="35"/>
  <c r="H11" i="35"/>
  <c r="H12" i="35"/>
  <c r="H16" i="35"/>
  <c r="C18" i="31"/>
  <c r="B18" i="31"/>
  <c r="B19" i="31"/>
  <c r="B23" i="35"/>
  <c r="D24" i="31"/>
  <c r="J14" i="30"/>
  <c r="M3" i="2"/>
  <c r="M4" i="2"/>
  <c r="M5" i="2"/>
  <c r="M6" i="2"/>
  <c r="M7" i="2"/>
  <c r="M8" i="2"/>
  <c r="M9" i="2"/>
  <c r="M10" i="2"/>
  <c r="M11" i="2"/>
  <c r="M13" i="2"/>
  <c r="M2" i="2"/>
  <c r="K13" i="36"/>
  <c r="K18" i="36"/>
  <c r="K23" i="36"/>
  <c r="K29" i="36"/>
  <c r="K34" i="36"/>
  <c r="K7" i="36"/>
  <c r="K2" i="36"/>
  <c r="C12" i="30"/>
  <c r="D12" i="30"/>
  <c r="J12" i="30"/>
  <c r="J45" i="34"/>
  <c r="J46" i="34"/>
  <c r="J47" i="34"/>
  <c r="J48" i="34"/>
  <c r="J49" i="34"/>
  <c r="J50" i="34"/>
  <c r="J51" i="34"/>
  <c r="J52" i="34"/>
  <c r="J53" i="34"/>
  <c r="J54" i="34"/>
  <c r="J55" i="34"/>
  <c r="J57" i="34"/>
  <c r="J58" i="34"/>
  <c r="J33" i="34"/>
  <c r="J34" i="34"/>
  <c r="J35" i="34"/>
  <c r="J36" i="34"/>
  <c r="J37" i="34"/>
  <c r="J38" i="34"/>
  <c r="J39" i="34"/>
  <c r="J40" i="34"/>
  <c r="J41" i="34"/>
  <c r="J42" i="34"/>
  <c r="J43" i="34"/>
  <c r="J44" i="34"/>
  <c r="J21" i="34"/>
  <c r="J22" i="34"/>
  <c r="J23" i="34"/>
  <c r="J24" i="34"/>
  <c r="J25" i="34"/>
  <c r="J26" i="34"/>
  <c r="J27" i="34"/>
  <c r="J28" i="34"/>
  <c r="J29" i="34"/>
  <c r="J30" i="34"/>
  <c r="J31" i="34"/>
  <c r="J32" i="34"/>
  <c r="J4" i="34"/>
  <c r="J5" i="34"/>
  <c r="B6" i="34"/>
  <c r="J6" i="34"/>
  <c r="J7" i="34"/>
  <c r="J8" i="34"/>
  <c r="J9" i="34"/>
  <c r="J10" i="34"/>
  <c r="J11" i="34"/>
  <c r="J12" i="34"/>
  <c r="J13" i="34"/>
  <c r="J14" i="34"/>
  <c r="J15" i="34"/>
  <c r="J16" i="34"/>
  <c r="J17" i="34"/>
  <c r="J18" i="34"/>
  <c r="J19" i="34"/>
  <c r="J20" i="34"/>
  <c r="J3" i="34"/>
  <c r="J4" i="30"/>
  <c r="J5" i="30"/>
  <c r="J6" i="30"/>
  <c r="J7" i="30"/>
  <c r="J8" i="30"/>
  <c r="J9" i="30"/>
  <c r="J10" i="30"/>
  <c r="J11" i="30"/>
  <c r="J13" i="30"/>
  <c r="J3" i="30"/>
  <c r="E15" i="27"/>
  <c r="I3" i="27"/>
  <c r="I4" i="27"/>
  <c r="I5" i="27"/>
  <c r="I6" i="27"/>
  <c r="I7" i="27"/>
  <c r="I8" i="27"/>
  <c r="I9" i="27"/>
  <c r="I10" i="27"/>
  <c r="I11" i="27"/>
  <c r="I12" i="27"/>
  <c r="I13" i="27"/>
  <c r="I14" i="27"/>
  <c r="I15" i="27"/>
  <c r="I16" i="27"/>
  <c r="I17" i="27"/>
  <c r="I18" i="27"/>
  <c r="I19" i="27"/>
  <c r="I20" i="27"/>
  <c r="I21" i="27"/>
  <c r="I22" i="27"/>
  <c r="I23" i="27"/>
  <c r="I24" i="27"/>
  <c r="I25" i="27"/>
  <c r="I26" i="27"/>
  <c r="I27" i="27"/>
  <c r="I28" i="27"/>
  <c r="I29" i="27"/>
  <c r="I30" i="27"/>
  <c r="I31" i="27"/>
  <c r="I32" i="27"/>
  <c r="I33" i="27"/>
  <c r="C3" i="27"/>
  <c r="C4" i="27"/>
  <c r="C5" i="27"/>
  <c r="C6" i="27"/>
  <c r="C7" i="27"/>
  <c r="C8" i="27"/>
  <c r="C9" i="27"/>
  <c r="C10" i="27"/>
  <c r="C11" i="27"/>
  <c r="C12" i="27"/>
  <c r="C13" i="27"/>
  <c r="C14" i="27"/>
  <c r="C15" i="27"/>
  <c r="A2" i="27"/>
  <c r="D15" i="27"/>
  <c r="B15" i="27"/>
  <c r="D14" i="27"/>
  <c r="E14" i="27"/>
  <c r="B14" i="27"/>
  <c r="D13" i="27"/>
  <c r="E13" i="27"/>
  <c r="B13" i="27"/>
  <c r="D12" i="27"/>
  <c r="E12" i="27"/>
  <c r="F12" i="27"/>
  <c r="B12" i="27"/>
  <c r="D11" i="27"/>
  <c r="E11" i="27"/>
  <c r="B11" i="27"/>
  <c r="D10" i="27"/>
  <c r="E10" i="27"/>
  <c r="B10" i="27"/>
  <c r="D9" i="27"/>
  <c r="E9" i="27"/>
  <c r="B9" i="27"/>
  <c r="D8" i="27"/>
  <c r="E8" i="27"/>
  <c r="F8" i="27"/>
  <c r="B8" i="27"/>
  <c r="D7" i="27"/>
  <c r="E7" i="27"/>
  <c r="B7" i="27"/>
  <c r="D6" i="27"/>
  <c r="E6" i="27"/>
  <c r="B6" i="27"/>
  <c r="D5" i="27"/>
  <c r="E5" i="27"/>
  <c r="B5" i="27"/>
  <c r="D4" i="27"/>
  <c r="E4" i="27"/>
  <c r="B4" i="27"/>
  <c r="D3" i="27"/>
  <c r="E3" i="27"/>
  <c r="B3" i="27"/>
  <c r="B28" i="26"/>
  <c r="B30" i="25"/>
  <c r="B20" i="35"/>
  <c r="I16" i="35"/>
  <c r="I15" i="35"/>
  <c r="I14" i="35"/>
  <c r="I13" i="35"/>
  <c r="I12" i="35"/>
  <c r="I11" i="35"/>
  <c r="I10" i="35"/>
  <c r="I9" i="35"/>
  <c r="I8" i="35"/>
  <c r="I7" i="35"/>
  <c r="I6" i="35"/>
  <c r="I5" i="35"/>
  <c r="I4" i="35"/>
  <c r="I3" i="35"/>
  <c r="G2" i="35"/>
  <c r="B3" i="31"/>
  <c r="G3" i="31"/>
  <c r="G22" i="31"/>
  <c r="B4" i="31"/>
  <c r="G4" i="31"/>
  <c r="B5" i="31"/>
  <c r="G5" i="31"/>
  <c r="B6" i="31"/>
  <c r="G6" i="31"/>
  <c r="B7" i="31"/>
  <c r="G7" i="31"/>
  <c r="B8" i="31"/>
  <c r="G8" i="31"/>
  <c r="B9" i="31"/>
  <c r="G9" i="31"/>
  <c r="G10" i="31"/>
  <c r="G11" i="31"/>
  <c r="G12" i="31"/>
  <c r="B13" i="31"/>
  <c r="G13" i="31"/>
  <c r="B14" i="31"/>
  <c r="D14" i="31"/>
  <c r="B15" i="31"/>
  <c r="G15" i="31"/>
  <c r="B16" i="31"/>
  <c r="G16" i="31"/>
  <c r="C21" i="31"/>
  <c r="B21" i="31"/>
  <c r="D21" i="31"/>
  <c r="C17" i="31"/>
  <c r="D17" i="31"/>
  <c r="D2" i="31"/>
  <c r="E17" i="31"/>
  <c r="E2" i="31"/>
  <c r="A61" i="34"/>
  <c r="A60" i="34"/>
  <c r="H60" i="34"/>
  <c r="D58" i="34"/>
  <c r="C58" i="34"/>
  <c r="D57" i="34"/>
  <c r="C57" i="34"/>
  <c r="D55" i="34"/>
  <c r="C55" i="34"/>
  <c r="D54" i="34"/>
  <c r="C54" i="34"/>
  <c r="D53" i="34"/>
  <c r="C53" i="34"/>
  <c r="D52" i="34"/>
  <c r="C52" i="34"/>
  <c r="D51" i="34"/>
  <c r="C51" i="34"/>
  <c r="D50" i="34"/>
  <c r="C50" i="34"/>
  <c r="D49" i="34"/>
  <c r="C49" i="34"/>
  <c r="D48" i="34"/>
  <c r="C48" i="34"/>
  <c r="D47" i="34"/>
  <c r="C47" i="34"/>
  <c r="D46" i="34"/>
  <c r="C46" i="34"/>
  <c r="D45" i="34"/>
  <c r="C45" i="34"/>
  <c r="D44" i="34"/>
  <c r="C44" i="34"/>
  <c r="D43" i="34"/>
  <c r="C43" i="34"/>
  <c r="D42" i="34"/>
  <c r="C42" i="34"/>
  <c r="D41" i="34"/>
  <c r="C41" i="34"/>
  <c r="D40" i="34"/>
  <c r="C40" i="34"/>
  <c r="D39" i="34"/>
  <c r="C39" i="34"/>
  <c r="D38" i="34"/>
  <c r="C38" i="34"/>
  <c r="D37" i="34"/>
  <c r="C37" i="34"/>
  <c r="D36" i="34"/>
  <c r="C36" i="34"/>
  <c r="D35" i="34"/>
  <c r="C35" i="34"/>
  <c r="D34" i="34"/>
  <c r="C34" i="34"/>
  <c r="D33" i="34"/>
  <c r="C33" i="34"/>
  <c r="D32" i="34"/>
  <c r="C32" i="34"/>
  <c r="D31" i="34"/>
  <c r="C31" i="34"/>
  <c r="D30" i="34"/>
  <c r="C30" i="34"/>
  <c r="D29" i="34"/>
  <c r="C29" i="34"/>
  <c r="D28" i="34"/>
  <c r="C28" i="34"/>
  <c r="D27" i="34"/>
  <c r="C27" i="34"/>
  <c r="D26" i="34"/>
  <c r="C26" i="34"/>
  <c r="D25" i="34"/>
  <c r="C25" i="34"/>
  <c r="D24" i="34"/>
  <c r="C24" i="34"/>
  <c r="D23" i="34"/>
  <c r="C23" i="34"/>
  <c r="D22" i="34"/>
  <c r="C22" i="34"/>
  <c r="D21" i="34"/>
  <c r="C21" i="34"/>
  <c r="D20" i="34"/>
  <c r="C20" i="34"/>
  <c r="D19" i="34"/>
  <c r="C19" i="34"/>
  <c r="D18" i="34"/>
  <c r="C18" i="34"/>
  <c r="D17" i="34"/>
  <c r="C17" i="34"/>
  <c r="D16" i="34"/>
  <c r="C16" i="34"/>
  <c r="D15" i="34"/>
  <c r="C15" i="34"/>
  <c r="D14" i="34"/>
  <c r="C14" i="34"/>
  <c r="D13" i="34"/>
  <c r="C13" i="34"/>
  <c r="D12" i="34"/>
  <c r="C12" i="34"/>
  <c r="D11" i="34"/>
  <c r="C11" i="34"/>
  <c r="D10" i="34"/>
  <c r="C10" i="34"/>
  <c r="D9" i="34"/>
  <c r="C9" i="34"/>
  <c r="D8" i="34"/>
  <c r="C8" i="34"/>
  <c r="D7" i="34"/>
  <c r="C7" i="34"/>
  <c r="D5" i="34"/>
  <c r="C5" i="34"/>
  <c r="D4" i="34"/>
  <c r="C4" i="34"/>
  <c r="D3" i="34"/>
  <c r="C3" i="34"/>
  <c r="D3" i="30"/>
  <c r="D4" i="30"/>
  <c r="D5" i="30"/>
  <c r="D6" i="30"/>
  <c r="D7" i="30"/>
  <c r="D8" i="30"/>
  <c r="D9" i="30"/>
  <c r="D10" i="30"/>
  <c r="D11" i="30"/>
  <c r="D13" i="30"/>
  <c r="D14" i="30"/>
  <c r="I3" i="30"/>
  <c r="I4" i="30"/>
  <c r="I5" i="30"/>
  <c r="I6" i="30"/>
  <c r="I7" i="30"/>
  <c r="I8" i="30"/>
  <c r="I9" i="30"/>
  <c r="I10" i="30"/>
  <c r="I11" i="30"/>
  <c r="I13" i="30"/>
  <c r="I14" i="30"/>
  <c r="C4" i="30"/>
  <c r="C5" i="30"/>
  <c r="C7" i="30"/>
  <c r="C8" i="30"/>
  <c r="C9" i="30"/>
  <c r="C10" i="30"/>
  <c r="C11" i="30"/>
  <c r="C13" i="30"/>
  <c r="C14" i="30"/>
  <c r="C3" i="30"/>
  <c r="C6" i="30"/>
  <c r="H16" i="30"/>
  <c r="B24" i="31"/>
  <c r="B23" i="31"/>
  <c r="B25" i="26"/>
  <c r="B27" i="25"/>
  <c r="B20" i="31"/>
  <c r="H16" i="31"/>
  <c r="H15" i="31"/>
  <c r="H14" i="31"/>
  <c r="H13" i="31"/>
  <c r="H12" i="31"/>
  <c r="H11" i="31"/>
  <c r="H10" i="31"/>
  <c r="H9" i="31"/>
  <c r="H8" i="31"/>
  <c r="H7" i="31"/>
  <c r="H6" i="31"/>
  <c r="H5" i="31"/>
  <c r="H4" i="31"/>
  <c r="H3" i="31"/>
  <c r="F2" i="31"/>
  <c r="E16" i="30"/>
  <c r="C18" i="28"/>
  <c r="E18" i="28"/>
  <c r="B3" i="28"/>
  <c r="B4" i="28"/>
  <c r="G4" i="28"/>
  <c r="B5" i="28"/>
  <c r="G5" i="28"/>
  <c r="E14" i="28"/>
  <c r="E2" i="28"/>
  <c r="C3" i="28"/>
  <c r="D3" i="28"/>
  <c r="E3" i="28"/>
  <c r="C14" i="28"/>
  <c r="C2" i="28"/>
  <c r="B6" i="28"/>
  <c r="G6" i="28"/>
  <c r="B7" i="28"/>
  <c r="G7" i="28"/>
  <c r="B8" i="28"/>
  <c r="G8" i="28"/>
  <c r="B9" i="28"/>
  <c r="G9" i="28"/>
  <c r="B11" i="28"/>
  <c r="G11" i="28"/>
  <c r="B13" i="28"/>
  <c r="G13" i="28"/>
  <c r="D14" i="28"/>
  <c r="D5" i="28"/>
  <c r="G10" i="28"/>
  <c r="G12" i="28"/>
  <c r="I11" i="25"/>
  <c r="I10" i="25"/>
  <c r="I9" i="25"/>
  <c r="H7" i="26"/>
  <c r="H9" i="26"/>
  <c r="H8" i="26"/>
  <c r="G2" i="25"/>
  <c r="D2" i="25"/>
  <c r="C2" i="25"/>
  <c r="F2" i="26"/>
  <c r="E2" i="26"/>
  <c r="D2" i="26"/>
  <c r="C2" i="26"/>
  <c r="F2" i="28"/>
  <c r="C1" i="28"/>
  <c r="D1" i="28"/>
  <c r="E1" i="28"/>
  <c r="F1" i="28"/>
  <c r="B16" i="28"/>
  <c r="B15" i="28"/>
  <c r="H13" i="28"/>
  <c r="H12" i="28"/>
  <c r="H11" i="28"/>
  <c r="H10" i="28"/>
  <c r="H9" i="28"/>
  <c r="H8" i="28"/>
  <c r="H7" i="28"/>
  <c r="H6" i="28"/>
  <c r="H5" i="28"/>
  <c r="H4" i="28"/>
  <c r="H3" i="28"/>
  <c r="C1" i="23"/>
  <c r="D1" i="23"/>
  <c r="E1" i="23"/>
  <c r="F1" i="23"/>
  <c r="G1" i="23"/>
  <c r="E4" i="23"/>
  <c r="C3" i="23"/>
  <c r="C14" i="23"/>
  <c r="D3" i="23"/>
  <c r="D14" i="23"/>
  <c r="E3" i="23"/>
  <c r="E6" i="23"/>
  <c r="E14" i="23"/>
  <c r="F3" i="23"/>
  <c r="F2" i="23"/>
  <c r="B6" i="23"/>
  <c r="H6" i="23"/>
  <c r="B7" i="23"/>
  <c r="H7" i="23"/>
  <c r="B8" i="23"/>
  <c r="H8" i="23"/>
  <c r="B9" i="23"/>
  <c r="H9" i="23"/>
  <c r="H10" i="23"/>
  <c r="B11" i="23"/>
  <c r="H11" i="23"/>
  <c r="H12" i="23"/>
  <c r="B13" i="23"/>
  <c r="H13" i="23"/>
  <c r="E18" i="23"/>
  <c r="B18" i="23"/>
  <c r="G2" i="23"/>
  <c r="H17" i="26"/>
  <c r="H13" i="26"/>
  <c r="H16" i="26"/>
  <c r="H15" i="26"/>
  <c r="H19" i="26"/>
  <c r="H18" i="26"/>
  <c r="H5" i="26"/>
  <c r="H6" i="26"/>
  <c r="C1" i="26"/>
  <c r="D1" i="26"/>
  <c r="E1" i="26"/>
  <c r="F1" i="26"/>
  <c r="I23" i="25"/>
  <c r="I22" i="25"/>
  <c r="I8" i="25"/>
  <c r="I19" i="25"/>
  <c r="I18" i="25"/>
  <c r="I17" i="25"/>
  <c r="I16" i="25"/>
  <c r="I15" i="25"/>
  <c r="I6" i="25"/>
  <c r="I5" i="25"/>
  <c r="I7" i="25"/>
  <c r="B16" i="23"/>
  <c r="B15" i="23"/>
  <c r="I13" i="23"/>
  <c r="I12" i="23"/>
  <c r="I11" i="23"/>
  <c r="I10" i="23"/>
  <c r="I9" i="23"/>
  <c r="I8" i="23"/>
  <c r="I7" i="23"/>
  <c r="I6" i="23"/>
  <c r="I4" i="23"/>
  <c r="I3" i="23"/>
  <c r="I5" i="23"/>
  <c r="D19" i="21"/>
  <c r="C1" i="21"/>
  <c r="D1" i="21"/>
  <c r="E1" i="21"/>
  <c r="F1" i="21"/>
  <c r="E14" i="21"/>
  <c r="E2" i="21"/>
  <c r="B3" i="21"/>
  <c r="G3" i="21"/>
  <c r="G18" i="21"/>
  <c r="B4" i="21"/>
  <c r="C4" i="21"/>
  <c r="C2" i="21"/>
  <c r="D4" i="21"/>
  <c r="D14" i="21"/>
  <c r="G5" i="21"/>
  <c r="B6" i="21"/>
  <c r="G6" i="21"/>
  <c r="B7" i="21"/>
  <c r="G7" i="21"/>
  <c r="B8" i="21"/>
  <c r="G8" i="21"/>
  <c r="B9" i="21"/>
  <c r="G9" i="21"/>
  <c r="G10" i="21"/>
  <c r="B11" i="21"/>
  <c r="G11" i="21"/>
  <c r="G12" i="21"/>
  <c r="B13" i="21"/>
  <c r="G13" i="21"/>
  <c r="C18" i="21"/>
  <c r="B18" i="21"/>
  <c r="B14" i="21"/>
  <c r="G14" i="21"/>
  <c r="B15" i="21"/>
  <c r="B16" i="21"/>
  <c r="H10" i="21"/>
  <c r="B3" i="8"/>
  <c r="C4" i="8"/>
  <c r="C15" i="8"/>
  <c r="B4" i="8"/>
  <c r="B6" i="8"/>
  <c r="G6" i="8"/>
  <c r="B7" i="8"/>
  <c r="G7" i="8"/>
  <c r="B8" i="8"/>
  <c r="G8" i="8"/>
  <c r="B9" i="8"/>
  <c r="G9" i="8"/>
  <c r="B10" i="8"/>
  <c r="G10" i="8"/>
  <c r="D16" i="8"/>
  <c r="D4" i="8"/>
  <c r="D15" i="8"/>
  <c r="B17" i="8"/>
  <c r="D16" i="15"/>
  <c r="E16" i="15"/>
  <c r="B17" i="15"/>
  <c r="B17" i="20"/>
  <c r="E18" i="20"/>
  <c r="B18" i="20"/>
  <c r="H13" i="21"/>
  <c r="H12" i="21"/>
  <c r="H11" i="21"/>
  <c r="H9" i="21"/>
  <c r="H8" i="21"/>
  <c r="H7" i="21"/>
  <c r="H6" i="21"/>
  <c r="H5" i="21"/>
  <c r="H4" i="21"/>
  <c r="H3" i="21"/>
  <c r="F2" i="21"/>
  <c r="E6" i="20"/>
  <c r="E16" i="20"/>
  <c r="D4" i="20"/>
  <c r="H4" i="20"/>
  <c r="E20" i="20"/>
  <c r="B20" i="20"/>
  <c r="B16" i="20"/>
  <c r="D6" i="20"/>
  <c r="B6" i="20"/>
  <c r="C6" i="20"/>
  <c r="H3" i="20"/>
  <c r="B5" i="20"/>
  <c r="H5" i="20"/>
  <c r="B7" i="20"/>
  <c r="H7" i="20"/>
  <c r="F2" i="20"/>
  <c r="G2" i="20"/>
  <c r="D16" i="20"/>
  <c r="C16" i="20"/>
  <c r="B8" i="20"/>
  <c r="H8" i="20"/>
  <c r="B9" i="20"/>
  <c r="H9" i="20"/>
  <c r="B10" i="20"/>
  <c r="H10" i="20"/>
  <c r="B19" i="20"/>
  <c r="B5" i="15"/>
  <c r="G5" i="15"/>
  <c r="B3" i="15"/>
  <c r="G3" i="15"/>
  <c r="G19" i="15"/>
  <c r="B18" i="15"/>
  <c r="H14" i="20"/>
  <c r="H13" i="20"/>
  <c r="I14" i="20"/>
  <c r="H11" i="20"/>
  <c r="I11" i="20"/>
  <c r="H12" i="20"/>
  <c r="H15" i="20"/>
  <c r="I15" i="20"/>
  <c r="I13" i="20"/>
  <c r="I12" i="20"/>
  <c r="I10" i="20"/>
  <c r="I9" i="20"/>
  <c r="I8" i="20"/>
  <c r="I7" i="20"/>
  <c r="I6" i="20"/>
  <c r="I5" i="20"/>
  <c r="I4" i="20"/>
  <c r="I3" i="20"/>
  <c r="F6" i="15"/>
  <c r="F15" i="15"/>
  <c r="E6" i="15"/>
  <c r="E2" i="15"/>
  <c r="E15" i="15"/>
  <c r="C19" i="15"/>
  <c r="B19" i="15"/>
  <c r="B15" i="15"/>
  <c r="G15" i="15"/>
  <c r="B6" i="15"/>
  <c r="B7" i="15"/>
  <c r="G7" i="15"/>
  <c r="B8" i="15"/>
  <c r="G8" i="15"/>
  <c r="B9" i="15"/>
  <c r="G9" i="15"/>
  <c r="B10" i="15"/>
  <c r="G10" i="15"/>
  <c r="D18" i="8"/>
  <c r="B18" i="8"/>
  <c r="D6" i="15"/>
  <c r="D15" i="15"/>
  <c r="C15" i="15"/>
  <c r="C6" i="15"/>
  <c r="C2" i="15"/>
  <c r="G4" i="15"/>
  <c r="G12" i="15"/>
  <c r="G13" i="15"/>
  <c r="G14" i="15"/>
  <c r="G11" i="15"/>
  <c r="H11" i="15"/>
  <c r="H14" i="15"/>
  <c r="H13" i="15"/>
  <c r="H12" i="15"/>
  <c r="H10" i="15"/>
  <c r="H9" i="15"/>
  <c r="H8" i="15"/>
  <c r="H7" i="15"/>
  <c r="H5" i="15"/>
  <c r="H4" i="15"/>
  <c r="H6" i="15"/>
  <c r="H3" i="15"/>
  <c r="E15" i="8"/>
  <c r="E4" i="8"/>
  <c r="F15" i="8"/>
  <c r="F4" i="8"/>
  <c r="H14" i="8"/>
  <c r="H13" i="8"/>
  <c r="H12" i="8"/>
  <c r="H11" i="8"/>
  <c r="H10" i="8"/>
  <c r="H9" i="8"/>
  <c r="H8" i="8"/>
  <c r="H7" i="8"/>
  <c r="H6" i="8"/>
  <c r="H5" i="8"/>
  <c r="H4" i="8"/>
  <c r="H3" i="8"/>
  <c r="B12" i="9"/>
  <c r="B14" i="9"/>
  <c r="G5" i="8"/>
  <c r="G11" i="8"/>
  <c r="G12" i="8"/>
  <c r="G13" i="8"/>
  <c r="G14" i="8"/>
  <c r="C2" i="31"/>
  <c r="G61" i="52"/>
  <c r="G9" i="57"/>
  <c r="G71" i="52"/>
  <c r="E34" i="52"/>
  <c r="F34" i="52"/>
  <c r="B4" i="56"/>
  <c r="G5" i="56"/>
  <c r="G9" i="59"/>
  <c r="I9" i="59"/>
  <c r="B4" i="59"/>
  <c r="B2" i="59"/>
  <c r="I17" i="58"/>
  <c r="G5" i="55"/>
  <c r="B30" i="61"/>
  <c r="G8" i="59"/>
  <c r="I8" i="59"/>
  <c r="D23" i="48"/>
  <c r="G24" i="55"/>
  <c r="C23" i="1"/>
  <c r="B34" i="63"/>
  <c r="D2" i="55"/>
  <c r="H7" i="43"/>
  <c r="B12" i="46"/>
  <c r="G16" i="45"/>
  <c r="F15" i="38"/>
  <c r="F14" i="38"/>
  <c r="G4" i="77"/>
  <c r="S34" i="1"/>
  <c r="S35" i="1"/>
  <c r="S36" i="1"/>
  <c r="S37" i="1"/>
  <c r="B28" i="46"/>
  <c r="B32" i="45"/>
  <c r="B29" i="26"/>
  <c r="B24" i="35"/>
  <c r="B31" i="47"/>
  <c r="B31" i="50"/>
  <c r="B31" i="43"/>
  <c r="B31" i="25"/>
  <c r="B41" i="79"/>
  <c r="B4" i="51"/>
  <c r="D61" i="48"/>
  <c r="H61" i="48"/>
  <c r="G44" i="79"/>
  <c r="G41" i="79"/>
  <c r="J16" i="79"/>
  <c r="J17" i="79"/>
  <c r="D18" i="48"/>
  <c r="E18" i="48"/>
  <c r="D50" i="48"/>
  <c r="G2" i="52"/>
  <c r="B39" i="52"/>
  <c r="D2" i="50"/>
  <c r="G5" i="51"/>
  <c r="B42" i="77"/>
  <c r="G45" i="79"/>
  <c r="G21" i="81"/>
  <c r="I22" i="81"/>
  <c r="I6" i="85"/>
  <c r="B40" i="85"/>
  <c r="B32" i="54"/>
  <c r="B30" i="63"/>
  <c r="D55" i="84"/>
  <c r="D51" i="84"/>
  <c r="D54" i="84"/>
  <c r="D57" i="84"/>
  <c r="D53" i="84"/>
  <c r="D56" i="84"/>
  <c r="D52" i="84"/>
  <c r="G42" i="81"/>
  <c r="B4" i="82"/>
  <c r="I8" i="87"/>
  <c r="I9" i="87"/>
  <c r="G17" i="87"/>
  <c r="I17" i="87"/>
  <c r="D2" i="87"/>
  <c r="G21" i="88"/>
  <c r="B14" i="88"/>
  <c r="G17" i="88"/>
  <c r="G30" i="88"/>
  <c r="C2" i="27"/>
  <c r="D2" i="27"/>
  <c r="F5" i="2"/>
  <c r="G5" i="54"/>
  <c r="B35" i="85"/>
  <c r="I5" i="84"/>
  <c r="G7" i="60"/>
  <c r="G17" i="26"/>
  <c r="F3" i="27"/>
  <c r="C2" i="59"/>
  <c r="C2" i="1"/>
  <c r="G16" i="90"/>
  <c r="I16" i="90"/>
  <c r="B21" i="77"/>
  <c r="G22" i="77"/>
  <c r="G29" i="86"/>
  <c r="D2" i="59"/>
  <c r="C2" i="55"/>
  <c r="I16" i="86"/>
  <c r="B21" i="86"/>
  <c r="B13" i="86"/>
  <c r="G21" i="86"/>
  <c r="C2" i="82"/>
  <c r="D2" i="82"/>
  <c r="G5" i="82"/>
  <c r="I5" i="82"/>
  <c r="L7" i="86"/>
  <c r="G10" i="85"/>
  <c r="B14" i="87"/>
  <c r="G32" i="87"/>
  <c r="G7" i="85"/>
  <c r="I7" i="85"/>
  <c r="G34" i="90"/>
  <c r="I34" i="90"/>
  <c r="G30" i="90"/>
  <c r="B13" i="90"/>
  <c r="G22" i="90"/>
  <c r="G20" i="90"/>
  <c r="G13" i="65"/>
  <c r="I26" i="82"/>
  <c r="B18" i="28"/>
  <c r="G24" i="85"/>
  <c r="G22" i="85"/>
  <c r="C49" i="98"/>
  <c r="C51" i="98"/>
  <c r="G6" i="98"/>
  <c r="G5" i="85"/>
  <c r="I5" i="85"/>
  <c r="G41" i="81"/>
  <c r="G31" i="98"/>
  <c r="C13" i="77"/>
  <c r="C2" i="77"/>
  <c r="I7" i="98"/>
  <c r="I33" i="98"/>
  <c r="B13" i="60"/>
  <c r="B2" i="60"/>
  <c r="F8" i="42"/>
  <c r="B13" i="63"/>
  <c r="E2" i="27"/>
  <c r="F2" i="27"/>
  <c r="B2" i="27"/>
  <c r="B13" i="79"/>
  <c r="G19" i="79"/>
  <c r="B40" i="84"/>
  <c r="C2" i="81"/>
  <c r="G6" i="81"/>
  <c r="I6" i="81"/>
  <c r="G7" i="54"/>
  <c r="C2" i="54"/>
  <c r="G8" i="51"/>
  <c r="E29" i="52"/>
  <c r="F29" i="52"/>
  <c r="G32" i="79"/>
  <c r="H5" i="35"/>
  <c r="B34" i="61"/>
  <c r="G18" i="85"/>
  <c r="I18" i="85"/>
  <c r="B15" i="85"/>
  <c r="G8" i="85"/>
  <c r="I8" i="85"/>
  <c r="I31" i="99"/>
  <c r="I15" i="99"/>
  <c r="I22" i="99"/>
  <c r="G23" i="99"/>
  <c r="I23" i="99"/>
  <c r="E3" i="99"/>
  <c r="B5" i="99"/>
  <c r="B14" i="99"/>
  <c r="G40" i="105"/>
  <c r="I18" i="105"/>
  <c r="B57" i="102"/>
  <c r="B35" i="102"/>
  <c r="G35" i="102"/>
  <c r="I35" i="102"/>
  <c r="I11" i="102"/>
  <c r="I5" i="102"/>
  <c r="B32" i="102"/>
  <c r="G32" i="102"/>
  <c r="I19" i="105"/>
  <c r="L28" i="111"/>
  <c r="D5" i="124"/>
  <c r="C40" i="124"/>
  <c r="B24" i="126"/>
  <c r="D5" i="126"/>
  <c r="C6" i="126"/>
  <c r="L24" i="126"/>
  <c r="N24" i="126"/>
  <c r="N23" i="126"/>
  <c r="F10" i="2"/>
  <c r="D54" i="81"/>
  <c r="D51" i="81"/>
  <c r="D56" i="81"/>
  <c r="D57" i="81"/>
  <c r="D53" i="81"/>
  <c r="D52" i="81"/>
  <c r="D55" i="81"/>
  <c r="D23" i="36"/>
  <c r="F3" i="2"/>
  <c r="J3" i="2"/>
  <c r="F12" i="42"/>
  <c r="L23" i="126"/>
  <c r="G22" i="82"/>
  <c r="G12" i="82"/>
  <c r="B14" i="54"/>
  <c r="C2" i="60"/>
  <c r="C2" i="45"/>
  <c r="F2" i="68"/>
  <c r="G37" i="85"/>
  <c r="I37" i="85"/>
  <c r="D3" i="101"/>
  <c r="T6" i="102"/>
  <c r="K6" i="111"/>
  <c r="L6" i="111"/>
  <c r="C36" i="123"/>
  <c r="K44" i="124"/>
  <c r="D16" i="1"/>
  <c r="D30" i="1"/>
  <c r="G20" i="61"/>
  <c r="G18" i="86"/>
  <c r="I18" i="86"/>
  <c r="G5" i="86"/>
  <c r="I5" i="86"/>
  <c r="I45" i="99"/>
  <c r="I6" i="121"/>
  <c r="G9" i="90"/>
  <c r="I9" i="90"/>
  <c r="I62" i="82"/>
  <c r="AC6" i="108"/>
  <c r="AC7" i="108"/>
  <c r="AC8" i="108"/>
  <c r="J6" i="121"/>
  <c r="C65" i="118"/>
  <c r="K9" i="124"/>
  <c r="M9" i="124"/>
  <c r="H16" i="20"/>
  <c r="G13" i="68"/>
  <c r="I13" i="68"/>
  <c r="G4" i="63"/>
  <c r="B6" i="126"/>
  <c r="B18" i="102"/>
  <c r="G18" i="102"/>
  <c r="B33" i="99"/>
  <c r="G33" i="99"/>
  <c r="G29" i="99"/>
  <c r="E39" i="48"/>
  <c r="C2" i="87"/>
  <c r="G46" i="77"/>
  <c r="G4" i="68"/>
  <c r="B4" i="45"/>
  <c r="I10" i="63"/>
  <c r="B10" i="63"/>
  <c r="G10" i="63"/>
  <c r="G3" i="28"/>
  <c r="G19" i="28"/>
  <c r="F14" i="27"/>
  <c r="C18" i="36"/>
  <c r="D18" i="36"/>
  <c r="B13" i="82"/>
  <c r="B44" i="82"/>
  <c r="B9" i="82"/>
  <c r="B12" i="82"/>
  <c r="B38" i="82"/>
  <c r="F2" i="86"/>
  <c r="G23" i="98"/>
  <c r="I23" i="98"/>
  <c r="I6" i="98"/>
  <c r="T9" i="102"/>
  <c r="T13" i="108"/>
  <c r="V13" i="108"/>
  <c r="T7" i="108"/>
  <c r="V7" i="108"/>
  <c r="D5" i="111"/>
  <c r="L39" i="126"/>
  <c r="N39" i="126"/>
  <c r="N37" i="126"/>
  <c r="N33" i="126"/>
  <c r="L7" i="126"/>
  <c r="N11" i="126"/>
  <c r="E44" i="118"/>
  <c r="G4" i="57"/>
  <c r="G19" i="84"/>
  <c r="D2" i="86"/>
  <c r="G37" i="86"/>
  <c r="B12" i="26"/>
  <c r="F2" i="56"/>
  <c r="B13" i="51"/>
  <c r="G10" i="99"/>
  <c r="I10" i="99"/>
  <c r="M7" i="121"/>
  <c r="O7" i="121"/>
  <c r="B60" i="123"/>
  <c r="B61" i="123"/>
  <c r="B62" i="123"/>
  <c r="B63" i="123"/>
  <c r="B64" i="123"/>
  <c r="D3" i="99"/>
  <c r="G38" i="88"/>
  <c r="I38" i="88"/>
  <c r="B4" i="54"/>
  <c r="G4" i="88"/>
  <c r="F9" i="38"/>
  <c r="B4" i="26"/>
  <c r="G14" i="63"/>
  <c r="C3" i="99"/>
  <c r="T12" i="102"/>
  <c r="V12" i="102"/>
  <c r="G8" i="117"/>
  <c r="G5" i="102"/>
  <c r="B5" i="46"/>
  <c r="G38" i="82"/>
  <c r="I41" i="82"/>
  <c r="H23" i="52"/>
  <c r="G23" i="52"/>
  <c r="B36" i="65"/>
  <c r="B32" i="65"/>
  <c r="D45" i="90"/>
  <c r="E46" i="90"/>
  <c r="E47" i="90"/>
  <c r="E48" i="90"/>
  <c r="H8" i="41"/>
  <c r="B34" i="52"/>
  <c r="G29" i="82"/>
  <c r="G6" i="87"/>
  <c r="C2" i="98"/>
  <c r="C29" i="121"/>
  <c r="B19" i="35"/>
  <c r="B30" i="56"/>
  <c r="C2" i="68"/>
  <c r="E2" i="85"/>
  <c r="E2" i="86"/>
  <c r="T8" i="108"/>
  <c r="V8" i="108"/>
  <c r="G25" i="105"/>
  <c r="G42" i="105"/>
  <c r="B48" i="111"/>
  <c r="B49" i="111"/>
  <c r="B50" i="111"/>
  <c r="B51" i="111"/>
  <c r="B52" i="111"/>
  <c r="B53" i="111"/>
  <c r="B54" i="111"/>
  <c r="B55" i="111"/>
  <c r="B39" i="121"/>
  <c r="K12" i="118"/>
  <c r="M12" i="118"/>
  <c r="K6" i="124"/>
  <c r="M6" i="124"/>
  <c r="K41" i="124"/>
  <c r="M41" i="124"/>
  <c r="M39" i="124"/>
  <c r="E39" i="52"/>
  <c r="F39" i="52"/>
  <c r="H39" i="52"/>
  <c r="J6" i="117"/>
  <c r="G50" i="126"/>
  <c r="G51" i="126"/>
  <c r="G15" i="85"/>
  <c r="G6" i="15"/>
  <c r="D2" i="21"/>
  <c r="D2" i="35"/>
  <c r="G29" i="45"/>
  <c r="B2" i="57"/>
  <c r="G7" i="59"/>
  <c r="I7" i="59"/>
  <c r="B39" i="98"/>
  <c r="G17" i="99"/>
  <c r="C3" i="102"/>
  <c r="T15" i="108"/>
  <c r="V15" i="108"/>
  <c r="K31" i="111"/>
  <c r="L31" i="111"/>
  <c r="E45" i="117"/>
  <c r="B39" i="117"/>
  <c r="I6" i="117"/>
  <c r="M10" i="123"/>
  <c r="O10" i="123"/>
  <c r="K11" i="118"/>
  <c r="M11" i="118"/>
  <c r="M29" i="118"/>
  <c r="K31" i="124"/>
  <c r="M31" i="124"/>
  <c r="B4" i="47"/>
  <c r="B35" i="68"/>
  <c r="B33" i="68"/>
  <c r="E49" i="82"/>
  <c r="E50" i="82"/>
  <c r="E52" i="82"/>
  <c r="G29" i="101"/>
  <c r="G11" i="105"/>
  <c r="I11" i="105"/>
  <c r="G6" i="121"/>
  <c r="O71" i="123"/>
  <c r="O73" i="123"/>
  <c r="O74" i="123"/>
  <c r="O75" i="123"/>
  <c r="O76" i="123"/>
  <c r="O77" i="123"/>
  <c r="K40" i="118"/>
  <c r="H53" i="33"/>
  <c r="B16" i="15"/>
  <c r="E2" i="45"/>
  <c r="G13" i="56"/>
  <c r="G6" i="82"/>
  <c r="I6" i="82"/>
  <c r="C2" i="90"/>
  <c r="B36" i="90"/>
  <c r="B4" i="90"/>
  <c r="F3" i="105"/>
  <c r="G6" i="117"/>
  <c r="F6" i="121"/>
  <c r="B48" i="122"/>
  <c r="B49" i="122"/>
  <c r="B50" i="122"/>
  <c r="B51" i="122"/>
  <c r="B52" i="122"/>
  <c r="B53" i="122"/>
  <c r="B54" i="122"/>
  <c r="B55" i="122"/>
  <c r="O62" i="122"/>
  <c r="O64" i="122"/>
  <c r="O65" i="122"/>
  <c r="O66" i="122"/>
  <c r="O67" i="122"/>
  <c r="O68" i="122"/>
  <c r="B35" i="54"/>
  <c r="G13" i="59"/>
  <c r="M35" i="117"/>
  <c r="O35" i="117"/>
  <c r="F6" i="117"/>
  <c r="K14" i="124"/>
  <c r="M14" i="124"/>
  <c r="B40" i="81"/>
  <c r="G23" i="105"/>
  <c r="G17" i="105"/>
  <c r="B17" i="105"/>
  <c r="B16" i="105"/>
  <c r="F11" i="2"/>
  <c r="G11" i="2"/>
  <c r="E18" i="36"/>
  <c r="N7" i="52"/>
  <c r="I7" i="52"/>
  <c r="N13" i="52"/>
  <c r="H7" i="52"/>
  <c r="G7" i="52"/>
  <c r="J7" i="52"/>
  <c r="F32" i="2"/>
  <c r="D32" i="2"/>
  <c r="E32" i="2"/>
  <c r="H13" i="52"/>
  <c r="G13" i="52"/>
  <c r="E32" i="41"/>
  <c r="E34" i="41"/>
  <c r="D34" i="41"/>
  <c r="E7" i="48"/>
  <c r="F18" i="48"/>
  <c r="H7" i="48"/>
  <c r="G7" i="48"/>
  <c r="J7" i="48"/>
  <c r="B30" i="55"/>
  <c r="B34" i="55"/>
  <c r="B10" i="55"/>
  <c r="G10" i="55"/>
  <c r="H45" i="48"/>
  <c r="G45" i="48"/>
  <c r="E45" i="48"/>
  <c r="E34" i="36"/>
  <c r="D7" i="36"/>
  <c r="F9" i="42"/>
  <c r="G2" i="2"/>
  <c r="F33" i="2"/>
  <c r="D33" i="2"/>
  <c r="E33" i="2"/>
  <c r="G33" i="2"/>
  <c r="G4" i="85"/>
  <c r="F6" i="27"/>
  <c r="F11" i="27"/>
  <c r="H5" i="41"/>
  <c r="B13" i="47"/>
  <c r="B11" i="47"/>
  <c r="G11" i="47"/>
  <c r="B4" i="55"/>
  <c r="B2" i="55"/>
  <c r="C27" i="118"/>
  <c r="D2" i="20"/>
  <c r="F2" i="8"/>
  <c r="D2" i="15"/>
  <c r="E2" i="20"/>
  <c r="F9" i="27"/>
  <c r="G9" i="47"/>
  <c r="B34" i="57"/>
  <c r="B10" i="57"/>
  <c r="B2" i="65"/>
  <c r="E2" i="23"/>
  <c r="F4" i="27"/>
  <c r="E2" i="38"/>
  <c r="G7" i="47"/>
  <c r="G13" i="61"/>
  <c r="B14" i="85"/>
  <c r="G10" i="26"/>
  <c r="D2" i="28"/>
  <c r="D2" i="38"/>
  <c r="B13" i="9"/>
  <c r="B15" i="9"/>
  <c r="I9" i="55"/>
  <c r="C2" i="23"/>
  <c r="F2" i="35"/>
  <c r="H13" i="41"/>
  <c r="H9" i="50"/>
  <c r="J9" i="50"/>
  <c r="B29" i="50"/>
  <c r="C13" i="2"/>
  <c r="F13" i="2"/>
  <c r="G13" i="2"/>
  <c r="C2" i="56"/>
  <c r="I30" i="84"/>
  <c r="G28" i="84"/>
  <c r="B2" i="61"/>
  <c r="G29" i="77"/>
  <c r="G21" i="84"/>
  <c r="G23" i="87"/>
  <c r="B25" i="102"/>
  <c r="G25" i="102"/>
  <c r="G22" i="101"/>
  <c r="B5" i="101"/>
  <c r="G7" i="105"/>
  <c r="I7" i="105"/>
  <c r="J8" i="117"/>
  <c r="E79" i="122"/>
  <c r="F5" i="118"/>
  <c r="K8" i="118"/>
  <c r="M8" i="118"/>
  <c r="B50" i="77"/>
  <c r="G4" i="79"/>
  <c r="I5" i="108"/>
  <c r="G5" i="108"/>
  <c r="B5" i="105"/>
  <c r="B3" i="105"/>
  <c r="B12" i="105"/>
  <c r="G12" i="105"/>
  <c r="K35" i="118"/>
  <c r="E61" i="126"/>
  <c r="E62" i="126"/>
  <c r="E63" i="126"/>
  <c r="E64" i="126"/>
  <c r="F62" i="126"/>
  <c r="F63" i="126"/>
  <c r="F64" i="126"/>
  <c r="G9" i="86"/>
  <c r="I9" i="86"/>
  <c r="B14" i="98"/>
  <c r="B13" i="98"/>
  <c r="G35" i="101"/>
  <c r="G33" i="101"/>
  <c r="I33" i="101"/>
  <c r="K11" i="111"/>
  <c r="L11" i="111"/>
  <c r="B46" i="123"/>
  <c r="K33" i="124"/>
  <c r="D26" i="118"/>
  <c r="D38" i="118"/>
  <c r="M6" i="118"/>
  <c r="M5" i="118"/>
  <c r="B4" i="85"/>
  <c r="C2" i="85"/>
  <c r="I13" i="108"/>
  <c r="N18" i="108"/>
  <c r="J5" i="105"/>
  <c r="B53" i="121"/>
  <c r="B54" i="121"/>
  <c r="B55" i="121"/>
  <c r="B56" i="121"/>
  <c r="B57" i="121"/>
  <c r="G19" i="77"/>
  <c r="G13" i="77"/>
  <c r="J29" i="84"/>
  <c r="K28" i="84"/>
  <c r="G8" i="82"/>
  <c r="G6" i="99"/>
  <c r="I6" i="99"/>
  <c r="B30" i="59"/>
  <c r="B32" i="59"/>
  <c r="B10" i="59"/>
  <c r="G10" i="59"/>
  <c r="B40" i="86"/>
  <c r="G9" i="98"/>
  <c r="I9" i="98"/>
  <c r="D76" i="101"/>
  <c r="C44" i="101"/>
  <c r="G44" i="101"/>
  <c r="T14" i="102"/>
  <c r="V14" i="102"/>
  <c r="K10" i="111"/>
  <c r="L10" i="111"/>
  <c r="K32" i="111"/>
  <c r="L32" i="111"/>
  <c r="F8" i="117"/>
  <c r="I53" i="118"/>
  <c r="K19" i="118"/>
  <c r="M19" i="118"/>
  <c r="D5" i="132"/>
  <c r="C6" i="132"/>
  <c r="D2" i="85"/>
  <c r="M9" i="117"/>
  <c r="O9" i="117"/>
  <c r="K42" i="124"/>
  <c r="K13" i="124"/>
  <c r="M13" i="124"/>
  <c r="N11" i="134"/>
  <c r="P11" i="134"/>
  <c r="N18" i="134"/>
  <c r="P18" i="134"/>
  <c r="N17" i="134"/>
  <c r="P17" i="134"/>
  <c r="B6" i="134"/>
  <c r="P30" i="134"/>
  <c r="H29" i="52"/>
  <c r="G29" i="52"/>
  <c r="J2" i="52"/>
  <c r="G21" i="99"/>
  <c r="H6" i="41"/>
  <c r="B2" i="63"/>
  <c r="H23" i="48"/>
  <c r="G8" i="2"/>
  <c r="G36" i="88"/>
  <c r="I5" i="56"/>
  <c r="H13" i="48"/>
  <c r="G13" i="48"/>
  <c r="J13" i="48"/>
  <c r="G9" i="2"/>
  <c r="G13" i="79"/>
  <c r="K11" i="79"/>
  <c r="G4" i="2"/>
  <c r="I17" i="88"/>
  <c r="J4" i="2"/>
  <c r="I4" i="2"/>
  <c r="K5" i="2"/>
  <c r="G6" i="2"/>
  <c r="D6" i="34"/>
  <c r="C6" i="34"/>
  <c r="F7" i="27"/>
  <c r="F2" i="15"/>
  <c r="G14" i="31"/>
  <c r="D2" i="45"/>
  <c r="H3" i="41"/>
  <c r="F5" i="27"/>
  <c r="J3" i="41"/>
  <c r="G4" i="45"/>
  <c r="B9" i="46"/>
  <c r="H9" i="46"/>
  <c r="C2" i="51"/>
  <c r="G5" i="59"/>
  <c r="G4" i="59"/>
  <c r="C2" i="50"/>
  <c r="V6" i="102"/>
  <c r="E2" i="47"/>
  <c r="AC21" i="105"/>
  <c r="Z19" i="105"/>
  <c r="AI19" i="105"/>
  <c r="AK19" i="105"/>
  <c r="AI13" i="105"/>
  <c r="AI21" i="105"/>
  <c r="AK7" i="105"/>
  <c r="G5" i="90"/>
  <c r="B15" i="101"/>
  <c r="G15" i="101"/>
  <c r="G7" i="101"/>
  <c r="G5" i="101"/>
  <c r="G8" i="105"/>
  <c r="I8" i="105"/>
  <c r="G6" i="105"/>
  <c r="I6" i="105"/>
  <c r="B29" i="117"/>
  <c r="C29" i="117"/>
  <c r="B7" i="117"/>
  <c r="O10" i="122"/>
  <c r="Q46" i="122"/>
  <c r="H72" i="105"/>
  <c r="H73" i="105"/>
  <c r="H74" i="105"/>
  <c r="H75" i="105"/>
  <c r="H76" i="105"/>
  <c r="H77" i="105"/>
  <c r="H78" i="105"/>
  <c r="H79" i="105"/>
  <c r="B13" i="81"/>
  <c r="G13" i="81"/>
  <c r="L67" i="102"/>
  <c r="L68" i="102"/>
  <c r="C27" i="122"/>
  <c r="B6" i="122"/>
  <c r="B27" i="122"/>
  <c r="B37" i="122"/>
  <c r="G45" i="99"/>
  <c r="K18" i="102"/>
  <c r="N18" i="102"/>
  <c r="O5" i="121"/>
  <c r="T6" i="108"/>
  <c r="O26" i="122"/>
  <c r="D66" i="118"/>
  <c r="E66" i="118"/>
  <c r="F66" i="118"/>
  <c r="C66" i="118"/>
  <c r="C67" i="118"/>
  <c r="C68" i="118"/>
  <c r="C69" i="118"/>
  <c r="C70" i="118"/>
  <c r="C71" i="118"/>
  <c r="C72" i="118"/>
  <c r="B5" i="123"/>
  <c r="B45" i="123"/>
  <c r="C6" i="123"/>
  <c r="C46" i="123"/>
  <c r="G6" i="86"/>
  <c r="C3" i="105"/>
  <c r="K7" i="111"/>
  <c r="L7" i="111"/>
  <c r="O64" i="117"/>
  <c r="O66" i="117"/>
  <c r="O67" i="117"/>
  <c r="O68" i="117"/>
  <c r="O69" i="117"/>
  <c r="O70" i="117"/>
  <c r="B5" i="102"/>
  <c r="E43" i="111"/>
  <c r="C27" i="111"/>
  <c r="F61" i="111"/>
  <c r="D5" i="121"/>
  <c r="K34" i="118"/>
  <c r="K18" i="118"/>
  <c r="M18" i="118"/>
  <c r="K7" i="118"/>
  <c r="M7" i="118"/>
  <c r="M7" i="117"/>
  <c r="M5" i="117"/>
  <c r="O6" i="123"/>
  <c r="O5" i="123"/>
  <c r="K27" i="118"/>
  <c r="K26" i="118"/>
  <c r="E45" i="124"/>
  <c r="C6" i="124"/>
  <c r="H5" i="132"/>
  <c r="I3" i="132"/>
  <c r="B27" i="118"/>
  <c r="B29" i="121"/>
  <c r="E31" i="121"/>
  <c r="M31" i="121"/>
  <c r="D5" i="134"/>
  <c r="C6" i="134"/>
  <c r="B5" i="134"/>
  <c r="B33" i="134"/>
  <c r="P12" i="134"/>
  <c r="B39" i="118"/>
  <c r="M16" i="123"/>
  <c r="O16" i="123"/>
  <c r="D5" i="117"/>
  <c r="C39" i="117"/>
  <c r="C7" i="117"/>
  <c r="M11" i="122"/>
  <c r="O11" i="122"/>
  <c r="K41" i="118"/>
  <c r="M41" i="118"/>
  <c r="J3" i="124"/>
  <c r="N33" i="134"/>
  <c r="G16" i="131"/>
  <c r="M2" i="131"/>
  <c r="M16" i="131"/>
  <c r="F16" i="131"/>
  <c r="L2" i="131"/>
  <c r="L16" i="131"/>
  <c r="P38" i="134"/>
  <c r="P33" i="134"/>
  <c r="B24" i="134"/>
  <c r="B6" i="132"/>
  <c r="B24" i="132"/>
  <c r="C24" i="132"/>
  <c r="L33" i="132"/>
  <c r="N18" i="48"/>
  <c r="N23" i="48"/>
  <c r="I23" i="48"/>
  <c r="H18" i="48"/>
  <c r="G14" i="86"/>
  <c r="G13" i="86"/>
  <c r="G13" i="82"/>
  <c r="G35" i="85"/>
  <c r="I40" i="85"/>
  <c r="I6" i="87"/>
  <c r="G4" i="87"/>
  <c r="G32" i="2"/>
  <c r="B37" i="68"/>
  <c r="G40" i="81"/>
  <c r="B37" i="81"/>
  <c r="G5" i="99"/>
  <c r="K5" i="124"/>
  <c r="K6" i="2"/>
  <c r="O5" i="122"/>
  <c r="M42" i="124"/>
  <c r="H29" i="36"/>
  <c r="G29" i="36"/>
  <c r="I13" i="2"/>
  <c r="C40" i="59"/>
  <c r="B28" i="59"/>
  <c r="B17" i="102"/>
  <c r="K5" i="111"/>
  <c r="F4" i="42"/>
  <c r="I5" i="132"/>
  <c r="J3" i="132"/>
  <c r="J5" i="132"/>
  <c r="I7" i="101"/>
  <c r="B5" i="117"/>
  <c r="B38" i="117"/>
  <c r="I5" i="90"/>
  <c r="B5" i="121"/>
  <c r="B38" i="121"/>
  <c r="C7" i="121"/>
  <c r="C39" i="121"/>
  <c r="V6" i="108"/>
  <c r="T12" i="108"/>
  <c r="I5" i="59"/>
  <c r="C6" i="111"/>
  <c r="B5" i="111"/>
  <c r="B36" i="111"/>
  <c r="M5" i="122"/>
  <c r="E31" i="117"/>
  <c r="M31" i="117"/>
  <c r="O31" i="117"/>
  <c r="O28" i="117"/>
  <c r="E29" i="117"/>
  <c r="M29" i="117"/>
  <c r="M28" i="117"/>
  <c r="B12" i="81"/>
  <c r="B40" i="124"/>
  <c r="C29" i="124"/>
  <c r="B6" i="124"/>
  <c r="B5" i="124"/>
  <c r="B39" i="124"/>
  <c r="O31" i="121"/>
  <c r="O28" i="121"/>
  <c r="O7" i="117"/>
  <c r="B2" i="82"/>
  <c r="B2" i="98"/>
  <c r="H12" i="46"/>
  <c r="D28" i="117"/>
  <c r="D23" i="132"/>
  <c r="D33" i="132"/>
  <c r="O8" i="140"/>
  <c r="N4" i="140"/>
  <c r="O4" i="140"/>
  <c r="Q8" i="140"/>
  <c r="Q33" i="148"/>
  <c r="O4" i="149"/>
  <c r="B4" i="149"/>
  <c r="I101" i="74"/>
  <c r="B14" i="28"/>
  <c r="G14" i="28"/>
  <c r="A20" i="28"/>
  <c r="E61" i="48"/>
  <c r="G61" i="48"/>
  <c r="B37" i="84"/>
  <c r="G40" i="84"/>
  <c r="I40" i="84"/>
  <c r="I40" i="81"/>
  <c r="G37" i="81"/>
  <c r="E67" i="118"/>
  <c r="D67" i="118"/>
  <c r="F68" i="118"/>
  <c r="F67" i="118"/>
  <c r="G32" i="59"/>
  <c r="B29" i="124"/>
  <c r="M27" i="118"/>
  <c r="M26" i="118"/>
  <c r="K3" i="2"/>
  <c r="L3" i="2"/>
  <c r="O3" i="2"/>
  <c r="G21" i="98"/>
  <c r="G3" i="8"/>
  <c r="G18" i="8"/>
  <c r="C16" i="8"/>
  <c r="I19" i="84"/>
  <c r="G5" i="2"/>
  <c r="Q5" i="2"/>
  <c r="Q6" i="2"/>
  <c r="D33" i="134"/>
  <c r="E39" i="134"/>
  <c r="N39" i="134"/>
  <c r="I22" i="90"/>
  <c r="G39" i="52"/>
  <c r="E13" i="36"/>
  <c r="G13" i="36"/>
  <c r="J13" i="36"/>
  <c r="M13" i="36"/>
  <c r="B10" i="61"/>
  <c r="G10" i="61"/>
  <c r="J10" i="61"/>
  <c r="G34" i="63"/>
  <c r="B10" i="56"/>
  <c r="B2" i="56"/>
  <c r="G18" i="28"/>
  <c r="B5" i="126"/>
  <c r="B33" i="126"/>
  <c r="Q55" i="123"/>
  <c r="M5" i="123"/>
  <c r="I3" i="2"/>
  <c r="G3" i="2"/>
  <c r="H5" i="2"/>
  <c r="D38" i="117"/>
  <c r="K4" i="2"/>
  <c r="L4" i="2"/>
  <c r="O4" i="2"/>
  <c r="I17" i="99"/>
  <c r="H23" i="36"/>
  <c r="G23" i="36"/>
  <c r="E23" i="36"/>
  <c r="B12" i="77"/>
  <c r="B9" i="77"/>
  <c r="G9" i="77"/>
  <c r="B2" i="77"/>
  <c r="B6" i="118"/>
  <c r="H55" i="52"/>
  <c r="G55" i="52"/>
  <c r="I24" i="85"/>
  <c r="F15" i="27"/>
  <c r="E2" i="36"/>
  <c r="F10" i="27"/>
  <c r="H18" i="52"/>
  <c r="H39" i="48"/>
  <c r="G39" i="48"/>
  <c r="B14" i="25"/>
  <c r="B53" i="117"/>
  <c r="B54" i="117"/>
  <c r="B55" i="117"/>
  <c r="B56" i="117"/>
  <c r="B57" i="117"/>
  <c r="B4" i="43"/>
  <c r="G29" i="85"/>
  <c r="I31" i="85"/>
  <c r="G42" i="77"/>
  <c r="G28" i="81"/>
  <c r="G12" i="81"/>
  <c r="I29" i="81"/>
  <c r="G28" i="79"/>
  <c r="G12" i="79"/>
  <c r="T11" i="102"/>
  <c r="V11" i="102"/>
  <c r="B18" i="108"/>
  <c r="G18" i="108"/>
  <c r="I8" i="117"/>
  <c r="O8" i="138"/>
  <c r="H4" i="138"/>
  <c r="Q35" i="140"/>
  <c r="O30" i="140"/>
  <c r="O7" i="141"/>
  <c r="Q7" i="141"/>
  <c r="O17" i="141"/>
  <c r="Q17" i="141"/>
  <c r="Q8" i="146"/>
  <c r="O11" i="146"/>
  <c r="Q11" i="146"/>
  <c r="D5" i="146"/>
  <c r="Q20" i="141"/>
  <c r="Q21" i="141"/>
  <c r="B21" i="141"/>
  <c r="C21" i="141"/>
  <c r="B6" i="141"/>
  <c r="Q39" i="145"/>
  <c r="O33" i="145"/>
  <c r="M24" i="117"/>
  <c r="O24" i="117"/>
  <c r="O5" i="117"/>
  <c r="B6" i="136"/>
  <c r="D30" i="136"/>
  <c r="E36" i="136"/>
  <c r="N36" i="136"/>
  <c r="C21" i="136"/>
  <c r="P37" i="143"/>
  <c r="R37" i="143"/>
  <c r="N30" i="136"/>
  <c r="P11" i="143"/>
  <c r="R11" i="143"/>
  <c r="R23" i="143"/>
  <c r="G4" i="134"/>
  <c r="N4" i="134"/>
  <c r="N8" i="134"/>
  <c r="P8" i="134"/>
  <c r="P5" i="134"/>
  <c r="O16" i="138"/>
  <c r="Q16" i="138"/>
  <c r="N6" i="134"/>
  <c r="P6" i="134"/>
  <c r="C6" i="136"/>
  <c r="B5" i="136"/>
  <c r="B30" i="136"/>
  <c r="P5" i="136"/>
  <c r="Q23" i="140"/>
  <c r="B21" i="136"/>
  <c r="G5" i="136"/>
  <c r="E39" i="138"/>
  <c r="D5" i="122"/>
  <c r="C6" i="122"/>
  <c r="E42" i="143"/>
  <c r="D31" i="143"/>
  <c r="F39" i="143"/>
  <c r="B22" i="143"/>
  <c r="D5" i="143"/>
  <c r="B4" i="143"/>
  <c r="O7" i="140"/>
  <c r="Q7" i="140"/>
  <c r="Q32" i="144"/>
  <c r="O31" i="144"/>
  <c r="O6" i="143"/>
  <c r="H4" i="143"/>
  <c r="O4" i="143"/>
  <c r="O3" i="143"/>
  <c r="Q23" i="148"/>
  <c r="Q24" i="148"/>
  <c r="N25" i="136"/>
  <c r="P25" i="136"/>
  <c r="O30" i="141"/>
  <c r="D21" i="146"/>
  <c r="Q23" i="149"/>
  <c r="Q24" i="149"/>
  <c r="N4" i="148"/>
  <c r="O40" i="148"/>
  <c r="R15" i="143"/>
  <c r="P15" i="143"/>
  <c r="F43" i="141"/>
  <c r="R32" i="143"/>
  <c r="Q24" i="145"/>
  <c r="Q23" i="145"/>
  <c r="O29" i="146"/>
  <c r="O33" i="147"/>
  <c r="L4" i="147"/>
  <c r="O35" i="138"/>
  <c r="O30" i="138"/>
  <c r="O8" i="143"/>
  <c r="P8" i="143"/>
  <c r="E44" i="149"/>
  <c r="E45" i="149"/>
  <c r="O36" i="149"/>
  <c r="Q36" i="149"/>
  <c r="B22" i="149"/>
  <c r="O9" i="143"/>
  <c r="R9" i="143"/>
  <c r="E41" i="144"/>
  <c r="E42" i="144"/>
  <c r="C24" i="144"/>
  <c r="Q23" i="147"/>
  <c r="Q24" i="147"/>
  <c r="O6" i="144"/>
  <c r="D5" i="144"/>
  <c r="E43" i="147"/>
  <c r="B6" i="147"/>
  <c r="Q35" i="138"/>
  <c r="R18" i="143"/>
  <c r="D5" i="141"/>
  <c r="Q24" i="144"/>
  <c r="Q23" i="144"/>
  <c r="Q30" i="146"/>
  <c r="O4" i="146"/>
  <c r="O3" i="146"/>
  <c r="E40" i="146"/>
  <c r="C22" i="146"/>
  <c r="E42" i="148"/>
  <c r="E43" i="148"/>
  <c r="J4" i="149"/>
  <c r="R4" i="144"/>
  <c r="O36" i="150"/>
  <c r="D5" i="150"/>
  <c r="D31" i="150"/>
  <c r="B4" i="150"/>
  <c r="R16" i="143"/>
  <c r="Q8" i="150"/>
  <c r="Q24" i="150"/>
  <c r="C24" i="150"/>
  <c r="B6" i="150"/>
  <c r="B24" i="150"/>
  <c r="B5" i="150"/>
  <c r="B31" i="150"/>
  <c r="C6" i="150"/>
  <c r="Q36" i="150"/>
  <c r="O11" i="150"/>
  <c r="O3" i="149"/>
  <c r="R42" i="149"/>
  <c r="R43" i="149"/>
  <c r="O5" i="149"/>
  <c r="Q5" i="149"/>
  <c r="C24" i="149"/>
  <c r="B5" i="149"/>
  <c r="B31" i="149"/>
  <c r="B24" i="149"/>
  <c r="C6" i="149"/>
  <c r="B6" i="149"/>
  <c r="D31" i="149"/>
  <c r="B30" i="149"/>
  <c r="B6" i="146"/>
  <c r="B6" i="144"/>
  <c r="B24" i="144"/>
  <c r="D31" i="144"/>
  <c r="B30" i="144"/>
  <c r="B17" i="108"/>
  <c r="G17" i="108"/>
  <c r="C2" i="8"/>
  <c r="B16" i="8"/>
  <c r="B15" i="8"/>
  <c r="G15" i="8"/>
  <c r="B5" i="143"/>
  <c r="B31" i="143"/>
  <c r="I4" i="85"/>
  <c r="E42" i="117"/>
  <c r="M42" i="117"/>
  <c r="E43" i="117"/>
  <c r="M43" i="117"/>
  <c r="G37" i="84"/>
  <c r="B6" i="148"/>
  <c r="B24" i="147"/>
  <c r="D36" i="122"/>
  <c r="C37" i="122"/>
  <c r="B5" i="122"/>
  <c r="B36" i="122"/>
  <c r="N5" i="134"/>
  <c r="G18" i="52"/>
  <c r="J5" i="2"/>
  <c r="B5" i="146"/>
  <c r="B29" i="146"/>
  <c r="C6" i="146"/>
  <c r="B4" i="146"/>
  <c r="Q8" i="138"/>
  <c r="G14" i="85"/>
  <c r="B4" i="144"/>
  <c r="C6" i="144"/>
  <c r="P36" i="136"/>
  <c r="P30" i="136"/>
  <c r="R33" i="147"/>
  <c r="O31" i="147"/>
  <c r="Q33" i="147"/>
  <c r="F41" i="150"/>
  <c r="B30" i="150"/>
  <c r="B15" i="108"/>
  <c r="G15" i="108"/>
  <c r="G47" i="108"/>
  <c r="B3" i="108"/>
  <c r="F39" i="144"/>
  <c r="Q39" i="144"/>
  <c r="M38" i="117"/>
  <c r="O42" i="117"/>
  <c r="Q41" i="150"/>
  <c r="O39" i="144"/>
  <c r="F31" i="144"/>
  <c r="B6" i="159"/>
  <c r="B23" i="159"/>
  <c r="D5" i="158"/>
  <c r="J4" i="159"/>
  <c r="Q36" i="158"/>
  <c r="O4" i="158"/>
  <c r="O3" i="158"/>
  <c r="O32" i="158"/>
  <c r="B25" i="158"/>
  <c r="B6" i="158"/>
  <c r="D32" i="158"/>
  <c r="F38" i="158"/>
  <c r="P1" i="158"/>
  <c r="L50" i="158"/>
  <c r="Q33" i="160"/>
  <c r="Q9" i="160"/>
  <c r="D5" i="160"/>
  <c r="C6" i="160"/>
  <c r="L4" i="159"/>
  <c r="O4" i="159"/>
  <c r="B25" i="159"/>
  <c r="C25" i="159"/>
  <c r="O5" i="159"/>
  <c r="B4" i="160"/>
  <c r="P1" i="159"/>
  <c r="O3" i="159"/>
  <c r="M54" i="159"/>
  <c r="O3" i="166"/>
  <c r="B25" i="166"/>
  <c r="B6" i="166"/>
  <c r="C25" i="166"/>
  <c r="Q6" i="166"/>
  <c r="Q34" i="164"/>
  <c r="Q35" i="164"/>
  <c r="C25" i="164"/>
  <c r="B25" i="164"/>
  <c r="B6" i="164"/>
  <c r="O34" i="163"/>
  <c r="Q34" i="163"/>
  <c r="O11" i="163"/>
  <c r="Q11" i="163"/>
  <c r="O32" i="163"/>
  <c r="Q32" i="163"/>
  <c r="H4" i="163"/>
  <c r="O4" i="163"/>
  <c r="D5" i="163"/>
  <c r="B4" i="163"/>
  <c r="Q12" i="163"/>
  <c r="E41" i="163"/>
  <c r="E42" i="163"/>
  <c r="B24" i="163"/>
  <c r="Q23" i="163"/>
  <c r="O7" i="163"/>
  <c r="O7" i="162"/>
  <c r="Q7" i="162"/>
  <c r="O34" i="162"/>
  <c r="Q34" i="162"/>
  <c r="O19" i="162"/>
  <c r="Q19" i="162"/>
  <c r="L4" i="162"/>
  <c r="O8" i="162"/>
  <c r="Q8" i="162"/>
  <c r="O36" i="162"/>
  <c r="Q36" i="162"/>
  <c r="O11" i="162"/>
  <c r="Q11" i="162"/>
  <c r="H4" i="162"/>
  <c r="O4" i="162"/>
  <c r="O3" i="162"/>
  <c r="B22" i="162"/>
  <c r="O35" i="162"/>
  <c r="Q35" i="162"/>
  <c r="E41" i="162"/>
  <c r="B6" i="162"/>
  <c r="B24" i="162"/>
  <c r="O25" i="162"/>
  <c r="Q25" i="162"/>
  <c r="Q23" i="162"/>
  <c r="O32" i="162"/>
  <c r="O39" i="162"/>
  <c r="O6" i="162"/>
  <c r="O35" i="160"/>
  <c r="O32" i="160"/>
  <c r="Q35" i="160"/>
  <c r="O27" i="160"/>
  <c r="Q27" i="160"/>
  <c r="Q25" i="160"/>
  <c r="L4" i="160"/>
  <c r="O4" i="160"/>
  <c r="O3" i="160"/>
  <c r="O36" i="160"/>
  <c r="Q36" i="160"/>
  <c r="O6" i="160"/>
  <c r="Q6" i="160"/>
  <c r="Q34" i="160"/>
  <c r="O8" i="160"/>
  <c r="Q8" i="160"/>
  <c r="E42" i="160"/>
  <c r="B25" i="160"/>
  <c r="O40" i="160"/>
  <c r="Q11" i="160"/>
  <c r="Q24" i="160"/>
  <c r="O3" i="163"/>
  <c r="C6" i="163"/>
  <c r="B5" i="163"/>
  <c r="B31" i="163"/>
  <c r="C24" i="163"/>
  <c r="Q7" i="163"/>
  <c r="C24" i="162"/>
  <c r="Q6" i="162"/>
  <c r="Q32" i="162"/>
  <c r="B5" i="160"/>
  <c r="B32" i="160"/>
  <c r="B6" i="160"/>
  <c r="C25" i="160"/>
  <c r="D32" i="160"/>
  <c r="O7" i="160"/>
  <c r="O5" i="160"/>
  <c r="Q7" i="160"/>
  <c r="Q5" i="160"/>
  <c r="Q35" i="172"/>
  <c r="O39" i="172"/>
  <c r="O4" i="172"/>
  <c r="D5" i="172"/>
  <c r="B4" i="172"/>
  <c r="O33" i="172"/>
  <c r="Q33" i="172"/>
  <c r="Q39" i="172"/>
  <c r="O8" i="170"/>
  <c r="Q8" i="170"/>
  <c r="N4" i="170"/>
  <c r="O34" i="170"/>
  <c r="Q27" i="170"/>
  <c r="O7" i="170"/>
  <c r="Q7" i="170"/>
  <c r="Q34" i="172"/>
  <c r="L4" i="170"/>
  <c r="H4" i="170"/>
  <c r="F2" i="170"/>
  <c r="E2" i="170"/>
  <c r="O20" i="170"/>
  <c r="Q20" i="170"/>
  <c r="O15" i="170"/>
  <c r="Q15" i="170"/>
  <c r="O35" i="170"/>
  <c r="Q35" i="170"/>
  <c r="J4" i="170"/>
  <c r="O4" i="170"/>
  <c r="S7" i="170"/>
  <c r="O6" i="170"/>
  <c r="Q6" i="170"/>
  <c r="O33" i="170"/>
  <c r="O37" i="170"/>
  <c r="Q37" i="170"/>
  <c r="O6" i="169"/>
  <c r="O34" i="169"/>
  <c r="Q34" i="169"/>
  <c r="O9" i="169"/>
  <c r="Q9" i="169"/>
  <c r="O7" i="169"/>
  <c r="Q7" i="169"/>
  <c r="L4" i="169"/>
  <c r="J4" i="169"/>
  <c r="O4" i="169"/>
  <c r="O3" i="169"/>
  <c r="Q8" i="172"/>
  <c r="Q24" i="172"/>
  <c r="O37" i="172"/>
  <c r="Q37" i="172"/>
  <c r="F2" i="172"/>
  <c r="E2" i="172"/>
  <c r="O10" i="172"/>
  <c r="Q10" i="172"/>
  <c r="B23" i="172"/>
  <c r="O47" i="169"/>
  <c r="O48" i="169"/>
  <c r="O33" i="169"/>
  <c r="Q33" i="169"/>
  <c r="Q36" i="170"/>
  <c r="Q24" i="170"/>
  <c r="D5" i="170"/>
  <c r="O9" i="170"/>
  <c r="Q9" i="170"/>
  <c r="E40" i="170"/>
  <c r="E41" i="170"/>
  <c r="Q35" i="169"/>
  <c r="O20" i="169"/>
  <c r="Q20" i="169"/>
  <c r="B23" i="169"/>
  <c r="O34" i="168"/>
  <c r="Q34" i="168"/>
  <c r="Q24" i="169"/>
  <c r="Q6" i="169"/>
  <c r="E40" i="169"/>
  <c r="E41" i="169"/>
  <c r="D5" i="169"/>
  <c r="N4" i="168"/>
  <c r="L4" i="168"/>
  <c r="O8" i="168"/>
  <c r="Q8" i="168"/>
  <c r="O37" i="168"/>
  <c r="Q37" i="168"/>
  <c r="O16" i="168"/>
  <c r="Q16" i="168"/>
  <c r="J4" i="168"/>
  <c r="H4" i="168"/>
  <c r="O35" i="168"/>
  <c r="E41" i="168"/>
  <c r="E42" i="168"/>
  <c r="B6" i="168"/>
  <c r="O15" i="167"/>
  <c r="Q15" i="167"/>
  <c r="B23" i="168"/>
  <c r="Q24" i="168"/>
  <c r="K50" i="168"/>
  <c r="J50" i="168"/>
  <c r="D5" i="168"/>
  <c r="O9" i="168"/>
  <c r="Q9" i="168"/>
  <c r="N4" i="167"/>
  <c r="O4" i="167"/>
  <c r="L4" i="167"/>
  <c r="O7" i="167"/>
  <c r="Q7" i="167"/>
  <c r="Q40" i="167"/>
  <c r="O20" i="167"/>
  <c r="Q20" i="167"/>
  <c r="Q5" i="167"/>
  <c r="B23" i="167"/>
  <c r="E42" i="167"/>
  <c r="B25" i="167"/>
  <c r="B6" i="167"/>
  <c r="O35" i="167"/>
  <c r="Q24" i="167"/>
  <c r="Q6" i="167"/>
  <c r="M3" i="74"/>
  <c r="O5" i="172"/>
  <c r="Q33" i="170"/>
  <c r="M32" i="74"/>
  <c r="O32" i="172"/>
  <c r="D32" i="170"/>
  <c r="B6" i="170"/>
  <c r="C25" i="170"/>
  <c r="B25" i="170"/>
  <c r="C6" i="170"/>
  <c r="B4" i="170"/>
  <c r="B5" i="170"/>
  <c r="B32" i="170"/>
  <c r="C25" i="169"/>
  <c r="B4" i="169"/>
  <c r="B5" i="169"/>
  <c r="B32" i="169"/>
  <c r="O4" i="168"/>
  <c r="C25" i="168"/>
  <c r="B25" i="168"/>
  <c r="O5" i="167"/>
  <c r="C6" i="167"/>
  <c r="D32" i="167"/>
  <c r="F38" i="167"/>
  <c r="B31" i="167"/>
  <c r="C25" i="167"/>
  <c r="O6" i="179"/>
  <c r="Q6" i="179"/>
  <c r="Q41" i="179"/>
  <c r="D24" i="179"/>
  <c r="B23" i="179"/>
  <c r="F2" i="179"/>
  <c r="E2" i="179"/>
  <c r="O7" i="179"/>
  <c r="O38" i="179"/>
  <c r="Q38" i="179"/>
  <c r="Q36" i="181"/>
  <c r="O33" i="181"/>
  <c r="L4" i="181"/>
  <c r="O7" i="181"/>
  <c r="O5" i="181"/>
  <c r="Q7" i="181"/>
  <c r="D24" i="181"/>
  <c r="D33" i="181"/>
  <c r="B23" i="181"/>
  <c r="D5" i="181"/>
  <c r="C6" i="181"/>
  <c r="E42" i="181"/>
  <c r="O8" i="181"/>
  <c r="Q8" i="181"/>
  <c r="H4" i="180"/>
  <c r="F2" i="180"/>
  <c r="E2" i="180"/>
  <c r="L4" i="180"/>
  <c r="Q75" i="178"/>
  <c r="Q76" i="178"/>
  <c r="Q77" i="178"/>
  <c r="Q78" i="178"/>
  <c r="Q79" i="178"/>
  <c r="L86" i="178"/>
  <c r="M86" i="178"/>
  <c r="K92" i="178"/>
  <c r="L92" i="178"/>
  <c r="K78" i="178"/>
  <c r="L78" i="178"/>
  <c r="K81" i="178"/>
  <c r="M72" i="178"/>
  <c r="O9" i="178"/>
  <c r="Q9" i="178"/>
  <c r="J4" i="178"/>
  <c r="D5" i="178"/>
  <c r="B5" i="178"/>
  <c r="B4" i="178"/>
  <c r="O40" i="178"/>
  <c r="Q40" i="178"/>
  <c r="Q6" i="181"/>
  <c r="Q5" i="181"/>
  <c r="Q34" i="181"/>
  <c r="B23" i="180"/>
  <c r="D5" i="179"/>
  <c r="B4" i="179"/>
  <c r="O8" i="179"/>
  <c r="Q8" i="179"/>
  <c r="E43" i="179"/>
  <c r="C25" i="179"/>
  <c r="O8" i="178"/>
  <c r="Q8" i="178"/>
  <c r="H186" i="74"/>
  <c r="O42" i="178"/>
  <c r="Q6" i="178"/>
  <c r="O20" i="178"/>
  <c r="Q20" i="178"/>
  <c r="O7" i="178"/>
  <c r="Q7" i="178"/>
  <c r="E44" i="178"/>
  <c r="B6" i="178"/>
  <c r="Q24" i="178"/>
  <c r="B23" i="178"/>
  <c r="Q39" i="178"/>
  <c r="H4" i="178"/>
  <c r="F2" i="178"/>
  <c r="E2" i="178"/>
  <c r="O19" i="178"/>
  <c r="Q19" i="178"/>
  <c r="O6" i="176"/>
  <c r="Q6" i="176"/>
  <c r="N4" i="176"/>
  <c r="E41" i="176"/>
  <c r="B25" i="176"/>
  <c r="D58" i="176"/>
  <c r="D59" i="176"/>
  <c r="O8" i="176"/>
  <c r="O36" i="176"/>
  <c r="O20" i="176"/>
  <c r="Q20" i="176"/>
  <c r="O15" i="176"/>
  <c r="Q15" i="176"/>
  <c r="Q33" i="176"/>
  <c r="H4" i="176"/>
  <c r="D32" i="172"/>
  <c r="B5" i="172"/>
  <c r="B32" i="172"/>
  <c r="B25" i="172"/>
  <c r="B6" i="172"/>
  <c r="C25" i="172"/>
  <c r="C6" i="172"/>
  <c r="L4" i="175"/>
  <c r="O7" i="175"/>
  <c r="Q7" i="175"/>
  <c r="Q5" i="175"/>
  <c r="O15" i="175"/>
  <c r="Q15" i="175"/>
  <c r="D24" i="175"/>
  <c r="B23" i="175"/>
  <c r="B23" i="176"/>
  <c r="Q24" i="176"/>
  <c r="D5" i="176"/>
  <c r="O7" i="176"/>
  <c r="O37" i="176"/>
  <c r="Q37" i="176"/>
  <c r="O26" i="175"/>
  <c r="Q26" i="175"/>
  <c r="Q24" i="175"/>
  <c r="J4" i="175"/>
  <c r="D5" i="175"/>
  <c r="B4" i="175"/>
  <c r="O8" i="175"/>
  <c r="Q8" i="175"/>
  <c r="O12" i="175"/>
  <c r="Q12" i="175"/>
  <c r="O13" i="175"/>
  <c r="Q13" i="175"/>
  <c r="Q33" i="175"/>
  <c r="O32" i="175"/>
  <c r="N4" i="173"/>
  <c r="O34" i="173"/>
  <c r="Q34" i="173"/>
  <c r="B23" i="173"/>
  <c r="G46" i="173"/>
  <c r="G47" i="173"/>
  <c r="G48" i="173"/>
  <c r="G49" i="173"/>
  <c r="G50" i="173"/>
  <c r="D5" i="173"/>
  <c r="B4" i="173"/>
  <c r="Q24" i="173"/>
  <c r="O4" i="173"/>
  <c r="O16" i="173"/>
  <c r="Q16" i="173"/>
  <c r="O13" i="173"/>
  <c r="Q13" i="173"/>
  <c r="O15" i="173"/>
  <c r="Q15" i="173"/>
  <c r="O20" i="173"/>
  <c r="Q20" i="173"/>
  <c r="O37" i="173"/>
  <c r="Q37" i="173"/>
  <c r="C25" i="173"/>
  <c r="O33" i="173"/>
  <c r="Q39" i="173"/>
  <c r="O39" i="173"/>
  <c r="B5" i="181"/>
  <c r="B33" i="181"/>
  <c r="B6" i="181"/>
  <c r="B25" i="181"/>
  <c r="C25" i="181"/>
  <c r="Q4" i="180"/>
  <c r="D33" i="178"/>
  <c r="F41" i="178"/>
  <c r="O33" i="178"/>
  <c r="B25" i="179"/>
  <c r="B5" i="179"/>
  <c r="B34" i="179"/>
  <c r="B25" i="178"/>
  <c r="C25" i="178"/>
  <c r="B33" i="178"/>
  <c r="C6" i="178"/>
  <c r="O5" i="178"/>
  <c r="O4" i="178"/>
  <c r="Q7" i="176"/>
  <c r="Q8" i="176"/>
  <c r="F38" i="172"/>
  <c r="O38" i="172"/>
  <c r="B31" i="172"/>
  <c r="O4" i="175"/>
  <c r="O5" i="175"/>
  <c r="E40" i="175"/>
  <c r="D32" i="173"/>
  <c r="B31" i="173"/>
  <c r="F38" i="173"/>
  <c r="Q38" i="173"/>
  <c r="B5" i="173"/>
  <c r="B32" i="173"/>
  <c r="C6" i="173"/>
  <c r="B25" i="173"/>
  <c r="B6" i="173"/>
  <c r="G46" i="180"/>
  <c r="R22" i="180"/>
  <c r="Q4" i="178"/>
  <c r="Q38" i="172"/>
  <c r="Q32" i="172"/>
  <c r="C25" i="175"/>
  <c r="B25" i="175"/>
  <c r="B6" i="175"/>
  <c r="O38" i="173"/>
  <c r="D32" i="176"/>
  <c r="F38" i="176"/>
  <c r="B31" i="176"/>
  <c r="B6" i="176"/>
  <c r="C25" i="176"/>
  <c r="B23" i="183"/>
  <c r="B63" i="74"/>
  <c r="O39" i="182"/>
  <c r="O7" i="182"/>
  <c r="Q7" i="182"/>
  <c r="E41" i="182"/>
  <c r="B23" i="182"/>
  <c r="Q39" i="182"/>
  <c r="O33" i="182"/>
  <c r="D5" i="182"/>
  <c r="B5" i="182"/>
  <c r="B33" i="182"/>
  <c r="H4" i="182"/>
  <c r="Q10" i="182"/>
  <c r="Q24" i="182"/>
  <c r="O41" i="179"/>
  <c r="O34" i="179"/>
  <c r="Q7" i="179"/>
  <c r="C6" i="179"/>
  <c r="C25" i="182"/>
  <c r="B25" i="182"/>
  <c r="C6" i="182"/>
  <c r="B6" i="182"/>
  <c r="O5" i="194"/>
  <c r="Q5" i="194"/>
  <c r="C25" i="194"/>
  <c r="B5" i="194"/>
  <c r="B32" i="194"/>
  <c r="B6" i="194"/>
  <c r="Q4" i="193"/>
  <c r="C6" i="194"/>
  <c r="B4" i="194"/>
  <c r="Q33" i="193"/>
  <c r="O32" i="193"/>
  <c r="K4" i="186"/>
  <c r="I4" i="186"/>
  <c r="D5" i="186"/>
  <c r="Q35" i="186"/>
  <c r="O34" i="186"/>
  <c r="O4" i="188"/>
  <c r="Q4" i="188"/>
  <c r="Q21" i="187"/>
  <c r="E32" i="187"/>
  <c r="E33" i="187"/>
  <c r="O19" i="187"/>
  <c r="Q19" i="187"/>
  <c r="E40" i="188"/>
  <c r="D5" i="188"/>
  <c r="B4" i="188"/>
  <c r="O14" i="187"/>
  <c r="Q14" i="187"/>
  <c r="O29" i="187"/>
  <c r="Q29" i="187"/>
  <c r="O21" i="188"/>
  <c r="Q21" i="188"/>
  <c r="B23" i="188"/>
  <c r="D5" i="187"/>
  <c r="B4" i="187"/>
  <c r="O4" i="187"/>
  <c r="Q4" i="187"/>
  <c r="D24" i="187"/>
  <c r="B23" i="187"/>
  <c r="O35" i="188"/>
  <c r="Q36" i="188"/>
  <c r="O12" i="188"/>
  <c r="Q12" i="188"/>
  <c r="O9" i="185"/>
  <c r="Q9" i="185"/>
  <c r="O19" i="185"/>
  <c r="Q19" i="185"/>
  <c r="O21" i="185"/>
  <c r="Q21" i="185"/>
  <c r="O31" i="185"/>
  <c r="O7" i="185"/>
  <c r="Q7" i="185"/>
  <c r="E33" i="185"/>
  <c r="C25" i="185"/>
  <c r="O8" i="187"/>
  <c r="O5" i="187"/>
  <c r="Q8" i="187"/>
  <c r="Q5" i="187"/>
  <c r="O28" i="187"/>
  <c r="B6" i="186"/>
  <c r="O7" i="184"/>
  <c r="Q7" i="184"/>
  <c r="B23" i="186"/>
  <c r="O12" i="186"/>
  <c r="O5" i="186"/>
  <c r="Q12" i="186"/>
  <c r="Q6" i="186"/>
  <c r="Q5" i="186"/>
  <c r="B23" i="185"/>
  <c r="D5" i="185"/>
  <c r="O29" i="185"/>
  <c r="O28" i="185"/>
  <c r="O12" i="184"/>
  <c r="Q12" i="184"/>
  <c r="O15" i="184"/>
  <c r="Q15" i="184"/>
  <c r="O19" i="184"/>
  <c r="Q35" i="184"/>
  <c r="E37" i="184"/>
  <c r="B25" i="184"/>
  <c r="D24" i="184"/>
  <c r="B23" i="184"/>
  <c r="Q8" i="184"/>
  <c r="D5" i="184"/>
  <c r="B4" i="184"/>
  <c r="O13" i="184"/>
  <c r="Q13" i="184"/>
  <c r="O32" i="183"/>
  <c r="Q4" i="186"/>
  <c r="C25" i="188"/>
  <c r="B6" i="188"/>
  <c r="D35" i="188"/>
  <c r="B25" i="186"/>
  <c r="B6" i="185"/>
  <c r="B25" i="185"/>
  <c r="C25" i="186"/>
  <c r="B5" i="185"/>
  <c r="B28" i="185"/>
  <c r="C6" i="185"/>
  <c r="B4" i="185"/>
  <c r="Q29" i="185"/>
  <c r="D28" i="185"/>
  <c r="F30" i="185"/>
  <c r="C25" i="184"/>
  <c r="B6" i="184"/>
  <c r="D32" i="184"/>
  <c r="F34" i="184"/>
  <c r="B5" i="184"/>
  <c r="B32" i="184"/>
  <c r="C6" i="184"/>
  <c r="B27" i="202"/>
  <c r="B6" i="202"/>
  <c r="C27" i="202"/>
  <c r="Q7" i="202"/>
  <c r="O4" i="202"/>
  <c r="Q4" i="202"/>
  <c r="Q11" i="202"/>
  <c r="O13" i="202"/>
  <c r="S11" i="202"/>
  <c r="S12" i="202"/>
  <c r="Q13" i="202"/>
  <c r="Q41" i="201"/>
  <c r="O41" i="201"/>
  <c r="D5" i="201"/>
  <c r="C6" i="201"/>
  <c r="S11" i="201"/>
  <c r="S12" i="201"/>
  <c r="J63" i="201"/>
  <c r="O6" i="201"/>
  <c r="O36" i="201"/>
  <c r="H4" i="201"/>
  <c r="O4" i="201"/>
  <c r="F61" i="201"/>
  <c r="F62" i="201"/>
  <c r="F26" i="201"/>
  <c r="D25" i="201"/>
  <c r="B24" i="201"/>
  <c r="E43" i="201"/>
  <c r="B6" i="201"/>
  <c r="J4" i="201"/>
  <c r="O7" i="201"/>
  <c r="Q7" i="201"/>
  <c r="O7" i="200"/>
  <c r="Q7" i="200"/>
  <c r="B22" i="200"/>
  <c r="E39" i="200"/>
  <c r="C24" i="200"/>
  <c r="O5" i="200"/>
  <c r="O31" i="200"/>
  <c r="D5" i="200"/>
  <c r="Q6" i="200"/>
  <c r="O4" i="199"/>
  <c r="Q4" i="199"/>
  <c r="B5" i="199"/>
  <c r="B34" i="199"/>
  <c r="C6" i="199"/>
  <c r="B22" i="199"/>
  <c r="B24" i="199"/>
  <c r="B4" i="199"/>
  <c r="C24" i="199"/>
  <c r="D10" i="198"/>
  <c r="D11" i="198"/>
  <c r="D13" i="198"/>
  <c r="D14" i="198"/>
  <c r="D15" i="198"/>
  <c r="D16" i="198"/>
  <c r="D18" i="198"/>
  <c r="D19" i="198"/>
  <c r="D20" i="198"/>
  <c r="D22" i="198"/>
  <c r="O4" i="195"/>
  <c r="Q6" i="201"/>
  <c r="Q5" i="201"/>
  <c r="O5" i="201"/>
  <c r="C26" i="201"/>
  <c r="B26" i="201"/>
  <c r="B4" i="201"/>
  <c r="K4" i="200"/>
  <c r="Q5" i="200"/>
  <c r="C6" i="200"/>
  <c r="B5" i="200"/>
  <c r="B34" i="200"/>
  <c r="B4" i="200"/>
  <c r="B6" i="200"/>
  <c r="D34" i="200"/>
  <c r="B24" i="200"/>
  <c r="O5" i="199"/>
  <c r="O34" i="199"/>
  <c r="F14" i="198"/>
  <c r="G14" i="198"/>
  <c r="Q4" i="195"/>
  <c r="Q4" i="201"/>
  <c r="Q43" i="208"/>
  <c r="O17" i="208"/>
  <c r="Q17" i="208"/>
  <c r="G10" i="207"/>
  <c r="O7" i="207"/>
  <c r="Q7" i="207"/>
  <c r="D5" i="207"/>
  <c r="D40" i="207"/>
  <c r="H4" i="207"/>
  <c r="O4" i="207"/>
  <c r="Q4" i="207"/>
  <c r="I4" i="207"/>
  <c r="J4" i="207"/>
  <c r="O42" i="207"/>
  <c r="Q42" i="207"/>
  <c r="Q43" i="207"/>
  <c r="C28" i="207"/>
  <c r="B28" i="207"/>
  <c r="B6" i="207"/>
  <c r="Q6" i="207"/>
  <c r="Q11" i="207"/>
  <c r="O13" i="207"/>
  <c r="Q13" i="207"/>
  <c r="O43" i="207"/>
  <c r="M48" i="207"/>
  <c r="B26" i="207"/>
  <c r="O37" i="205"/>
  <c r="O8" i="205"/>
  <c r="Q8" i="205"/>
  <c r="O6" i="205"/>
  <c r="O5" i="205"/>
  <c r="Q6" i="205"/>
  <c r="Q5" i="205"/>
  <c r="O43" i="205"/>
  <c r="E45" i="205"/>
  <c r="B6" i="205"/>
  <c r="Q43" i="205"/>
  <c r="C28" i="205"/>
  <c r="E63" i="171"/>
  <c r="E64" i="171"/>
  <c r="E62" i="171"/>
  <c r="O41" i="203"/>
  <c r="O6" i="203"/>
  <c r="Q6" i="203"/>
  <c r="Q9" i="205"/>
  <c r="S11" i="205"/>
  <c r="S12" i="205"/>
  <c r="E10" i="205"/>
  <c r="D5" i="205"/>
  <c r="F28" i="205"/>
  <c r="D27" i="205"/>
  <c r="B26" i="205"/>
  <c r="Q11" i="205"/>
  <c r="O23" i="203"/>
  <c r="Q41" i="203"/>
  <c r="E44" i="203"/>
  <c r="E10" i="203"/>
  <c r="O8" i="203"/>
  <c r="Q8" i="203"/>
  <c r="F27" i="203"/>
  <c r="D26" i="203"/>
  <c r="B25" i="203"/>
  <c r="Q13" i="203"/>
  <c r="Q7" i="203"/>
  <c r="D5" i="203"/>
  <c r="O16" i="203"/>
  <c r="B5" i="207"/>
  <c r="B40" i="207"/>
  <c r="C6" i="207"/>
  <c r="B28" i="205"/>
  <c r="D40" i="205"/>
  <c r="F41" i="205"/>
  <c r="Q41" i="205"/>
  <c r="Q40" i="205"/>
  <c r="B5" i="205"/>
  <c r="B40" i="205"/>
  <c r="B4" i="205"/>
  <c r="C6" i="205"/>
  <c r="B39" i="205"/>
  <c r="F40" i="205"/>
  <c r="O41" i="205"/>
  <c r="J4" i="209"/>
  <c r="C24" i="204"/>
  <c r="C4" i="204"/>
  <c r="B28" i="208"/>
  <c r="B6" i="208"/>
  <c r="O6" i="209"/>
  <c r="Q6" i="209"/>
  <c r="O34" i="209"/>
  <c r="S11" i="208"/>
  <c r="S12" i="208"/>
  <c r="O43" i="208"/>
  <c r="M48" i="208"/>
  <c r="O7" i="208"/>
  <c r="Q7" i="208"/>
  <c r="Q5" i="208"/>
  <c r="D5" i="208"/>
  <c r="B12" i="204"/>
  <c r="C3" i="204"/>
  <c r="D3" i="204"/>
  <c r="C2" i="204"/>
  <c r="O5" i="208"/>
  <c r="O15" i="209"/>
  <c r="Q15" i="209"/>
  <c r="O7" i="209"/>
  <c r="Q7" i="209"/>
  <c r="Q5" i="209"/>
  <c r="O13" i="209"/>
  <c r="Q13" i="209"/>
  <c r="O44" i="209"/>
  <c r="M49" i="209"/>
  <c r="O21" i="209"/>
  <c r="Q21" i="209"/>
  <c r="O8" i="209"/>
  <c r="Q8" i="209"/>
  <c r="K4" i="213"/>
  <c r="O9" i="213"/>
  <c r="Q9" i="213"/>
  <c r="D5" i="213"/>
  <c r="B4" i="213"/>
  <c r="E10" i="213"/>
  <c r="O13" i="213"/>
  <c r="Q13" i="213"/>
  <c r="Q22" i="213"/>
  <c r="E46" i="209"/>
  <c r="Q8" i="213"/>
  <c r="D5" i="209"/>
  <c r="B4" i="209"/>
  <c r="F27" i="213"/>
  <c r="C27" i="213"/>
  <c r="B6" i="213"/>
  <c r="B27" i="213"/>
  <c r="O7" i="213"/>
  <c r="Q7" i="213"/>
  <c r="O44" i="213"/>
  <c r="O6" i="213"/>
  <c r="H4" i="209"/>
  <c r="I53" i="209"/>
  <c r="I54" i="209"/>
  <c r="I55" i="209"/>
  <c r="O5" i="213"/>
  <c r="C6" i="213"/>
  <c r="M49" i="213"/>
  <c r="B5" i="209"/>
  <c r="B42" i="209"/>
  <c r="D26" i="213"/>
  <c r="B25" i="213"/>
  <c r="Q6" i="213"/>
  <c r="O21" i="217"/>
  <c r="E43" i="217"/>
  <c r="C25" i="217"/>
  <c r="O41" i="217"/>
  <c r="M46" i="217"/>
  <c r="F25" i="217"/>
  <c r="D24" i="217"/>
  <c r="O27" i="217"/>
  <c r="D5" i="216"/>
  <c r="J4" i="216"/>
  <c r="O8" i="216"/>
  <c r="Q8" i="216"/>
  <c r="B23" i="217"/>
  <c r="E10" i="217"/>
  <c r="O9" i="216"/>
  <c r="Q9" i="216"/>
  <c r="E10" i="216"/>
  <c r="B6" i="216"/>
  <c r="B26" i="216"/>
  <c r="B25" i="217"/>
  <c r="B26" i="226"/>
  <c r="O28" i="226"/>
  <c r="O7" i="217"/>
  <c r="O5" i="217"/>
  <c r="O4" i="217"/>
  <c r="Q4" i="217"/>
  <c r="O42" i="226"/>
  <c r="O22" i="226"/>
  <c r="O32" i="226"/>
  <c r="J4" i="226"/>
  <c r="B24" i="226"/>
  <c r="E10" i="226"/>
  <c r="H4" i="226"/>
  <c r="Q42" i="226"/>
  <c r="O5" i="226"/>
  <c r="B6" i="226"/>
  <c r="C26" i="226"/>
  <c r="B6" i="227"/>
  <c r="J4" i="227"/>
  <c r="O6" i="228"/>
  <c r="O5" i="228"/>
  <c r="B5" i="227"/>
  <c r="B40" i="227"/>
  <c r="O4" i="227"/>
  <c r="Q4" i="227"/>
  <c r="B4" i="227"/>
  <c r="O19" i="227"/>
  <c r="Q19" i="227"/>
  <c r="E83" i="236"/>
  <c r="O38" i="236"/>
  <c r="O34" i="236"/>
  <c r="O16" i="236"/>
  <c r="Q16" i="236"/>
  <c r="O13" i="236"/>
  <c r="Q13" i="236"/>
  <c r="O8" i="237"/>
  <c r="Q8" i="237"/>
  <c r="O35" i="236"/>
  <c r="O45" i="236"/>
  <c r="J4" i="236"/>
  <c r="O19" i="236"/>
  <c r="Q19" i="236"/>
  <c r="O7" i="236"/>
  <c r="Q7" i="236"/>
  <c r="O6" i="236"/>
  <c r="O5" i="236"/>
  <c r="Q6" i="236"/>
  <c r="Q5" i="236"/>
  <c r="O24" i="236"/>
  <c r="Q24" i="236"/>
  <c r="E47" i="236"/>
  <c r="O15" i="236"/>
  <c r="Q15" i="236"/>
  <c r="E10" i="236"/>
  <c r="F28" i="236"/>
  <c r="D27" i="236"/>
  <c r="B26" i="236"/>
  <c r="Q45" i="236"/>
  <c r="D5" i="236"/>
  <c r="B4" i="236"/>
  <c r="O8" i="234"/>
  <c r="O44" i="234"/>
  <c r="O43" i="234"/>
  <c r="O38" i="234"/>
  <c r="J4" i="234"/>
  <c r="O15" i="234"/>
  <c r="Q15" i="234"/>
  <c r="O9" i="234"/>
  <c r="Q9" i="234"/>
  <c r="H4" i="234"/>
  <c r="I4" i="234"/>
  <c r="F62" i="234"/>
  <c r="Q43" i="234"/>
  <c r="O19" i="234"/>
  <c r="Q19" i="234"/>
  <c r="F26" i="234"/>
  <c r="D25" i="234"/>
  <c r="D41" i="234"/>
  <c r="B24" i="234"/>
  <c r="D5" i="234"/>
  <c r="B4" i="234"/>
  <c r="O42" i="233"/>
  <c r="O9" i="233"/>
  <c r="Q9" i="233"/>
  <c r="O19" i="233"/>
  <c r="Q19" i="233"/>
  <c r="D5" i="233"/>
  <c r="C6" i="233"/>
  <c r="Q42" i="233"/>
  <c r="F26" i="233"/>
  <c r="D25" i="233"/>
  <c r="B24" i="233"/>
  <c r="O37" i="233"/>
  <c r="E10" i="233"/>
  <c r="J4" i="233"/>
  <c r="O33" i="233"/>
  <c r="H4" i="233"/>
  <c r="E10" i="234"/>
  <c r="O13" i="234"/>
  <c r="Q13" i="234"/>
  <c r="E46" i="234"/>
  <c r="O42" i="231"/>
  <c r="O32" i="231"/>
  <c r="C26" i="233"/>
  <c r="B26" i="233"/>
  <c r="B6" i="233"/>
  <c r="B4" i="233"/>
  <c r="O6" i="233"/>
  <c r="J4" i="231"/>
  <c r="B24" i="230"/>
  <c r="O34" i="230"/>
  <c r="O8" i="230"/>
  <c r="O5" i="230"/>
  <c r="Q8" i="230"/>
  <c r="Q5" i="230"/>
  <c r="L4" i="230"/>
  <c r="O7" i="230"/>
  <c r="Q7" i="230"/>
  <c r="I27" i="232"/>
  <c r="K27" i="232"/>
  <c r="D27" i="232"/>
  <c r="L27" i="232"/>
  <c r="E27" i="232"/>
  <c r="M27" i="232"/>
  <c r="F27" i="232"/>
  <c r="G27" i="232"/>
  <c r="H27" i="232"/>
  <c r="K15" i="232"/>
  <c r="G15" i="232"/>
  <c r="J15" i="232"/>
  <c r="I15" i="232"/>
  <c r="N15" i="232"/>
  <c r="F15" i="232"/>
  <c r="M15" i="232"/>
  <c r="H3" i="232"/>
  <c r="G3" i="232"/>
  <c r="L3" i="232"/>
  <c r="Q6" i="231"/>
  <c r="B6" i="231"/>
  <c r="B26" i="231"/>
  <c r="C26" i="231"/>
  <c r="F26" i="231"/>
  <c r="D25" i="231"/>
  <c r="B24" i="231"/>
  <c r="D5" i="231"/>
  <c r="O16" i="231"/>
  <c r="Q16" i="231"/>
  <c r="M72" i="230"/>
  <c r="J4" i="230"/>
  <c r="D5" i="230"/>
  <c r="B26" i="230"/>
  <c r="C26" i="230"/>
  <c r="B6" i="230"/>
  <c r="O42" i="230"/>
  <c r="O16" i="230"/>
  <c r="Q16" i="230"/>
  <c r="J4" i="228"/>
  <c r="O4" i="228"/>
  <c r="O42" i="228"/>
  <c r="C26" i="228"/>
  <c r="B26" i="228"/>
  <c r="B6" i="228"/>
  <c r="B24" i="228"/>
  <c r="O7" i="229"/>
  <c r="Q7" i="229"/>
  <c r="O16" i="229"/>
  <c r="Q16" i="229"/>
  <c r="P52" i="228"/>
  <c r="Q52" i="228"/>
  <c r="R52" i="228"/>
  <c r="K52" i="228"/>
  <c r="E8" i="215"/>
  <c r="E9" i="215"/>
  <c r="E10" i="215"/>
  <c r="D12" i="215"/>
  <c r="D14" i="215"/>
  <c r="D43" i="236"/>
  <c r="B42" i="236"/>
  <c r="C6" i="236"/>
  <c r="J55" i="234"/>
  <c r="J56" i="234"/>
  <c r="J57" i="234"/>
  <c r="J58" i="234"/>
  <c r="O4" i="234"/>
  <c r="B5" i="233"/>
  <c r="B40" i="233"/>
  <c r="B6" i="234"/>
  <c r="C26" i="234"/>
  <c r="B26" i="234"/>
  <c r="C6" i="234"/>
  <c r="B5" i="234"/>
  <c r="B41" i="234"/>
  <c r="G64" i="231"/>
  <c r="G65" i="231"/>
  <c r="G66" i="231"/>
  <c r="Q6" i="233"/>
  <c r="O4" i="230"/>
  <c r="C6" i="230"/>
  <c r="B4" i="230"/>
  <c r="J59" i="234"/>
  <c r="J60" i="234"/>
  <c r="J61" i="234"/>
  <c r="J62" i="234"/>
  <c r="J63" i="234"/>
  <c r="J64" i="234"/>
  <c r="H4" i="236"/>
  <c r="O4" i="236"/>
  <c r="B52" i="232"/>
  <c r="C45" i="232"/>
  <c r="D45" i="232"/>
  <c r="F3" i="232"/>
  <c r="H15" i="232"/>
  <c r="J27" i="232"/>
  <c r="E15" i="232"/>
  <c r="K3" i="232"/>
  <c r="L15" i="232"/>
  <c r="E3" i="232"/>
  <c r="D15" i="232"/>
  <c r="M3" i="232"/>
  <c r="D3" i="232"/>
  <c r="D4" i="232"/>
  <c r="E4" i="232"/>
  <c r="F4" i="232"/>
  <c r="G4" i="232"/>
  <c r="H4" i="232"/>
  <c r="I4" i="232"/>
  <c r="J3" i="232"/>
  <c r="I3" i="232"/>
  <c r="O45" i="237"/>
  <c r="F28" i="238"/>
  <c r="D27" i="238"/>
  <c r="Q13" i="238"/>
  <c r="E10" i="238"/>
  <c r="D5" i="238"/>
  <c r="B5" i="238"/>
  <c r="B43" i="238"/>
  <c r="B4" i="238"/>
  <c r="O24" i="237"/>
  <c r="Q24" i="237"/>
  <c r="O19" i="237"/>
  <c r="Q19" i="237"/>
  <c r="O15" i="237"/>
  <c r="Q15" i="237"/>
  <c r="O13" i="237"/>
  <c r="Q13" i="237"/>
  <c r="E47" i="237"/>
  <c r="B28" i="237"/>
  <c r="D5" i="237"/>
  <c r="C6" i="237"/>
  <c r="B4" i="237"/>
  <c r="O34" i="237"/>
  <c r="F28" i="237"/>
  <c r="D27" i="237"/>
  <c r="B26" i="237"/>
  <c r="G27" i="237"/>
  <c r="E10" i="237"/>
  <c r="J4" i="232"/>
  <c r="K4" i="232"/>
  <c r="L4" i="232"/>
  <c r="M4" i="232"/>
  <c r="N4" i="232"/>
  <c r="C15" i="232"/>
  <c r="C16" i="232"/>
  <c r="D16" i="232"/>
  <c r="E16" i="232"/>
  <c r="F16" i="232"/>
  <c r="G16" i="232"/>
  <c r="H16" i="232"/>
  <c r="I16" i="232"/>
  <c r="J16" i="232"/>
  <c r="K16" i="232"/>
  <c r="L16" i="232"/>
  <c r="M16" i="232"/>
  <c r="N16" i="232"/>
  <c r="C27" i="232"/>
  <c r="C28" i="232"/>
  <c r="D28" i="232"/>
  <c r="E28" i="232"/>
  <c r="F28" i="232"/>
  <c r="G28" i="232"/>
  <c r="H28" i="232"/>
  <c r="I28" i="232"/>
  <c r="J28" i="232"/>
  <c r="K28" i="232"/>
  <c r="L28" i="232"/>
  <c r="M28" i="232"/>
  <c r="N28" i="232"/>
  <c r="C28" i="237"/>
  <c r="B6" i="237"/>
  <c r="B5" i="237"/>
  <c r="B43" i="237"/>
  <c r="H4" i="237"/>
  <c r="N66" i="237"/>
  <c r="N67" i="237"/>
  <c r="N68" i="237"/>
  <c r="N69" i="237"/>
  <c r="O7" i="243"/>
  <c r="O5" i="243"/>
  <c r="Q7" i="243"/>
  <c r="Q5" i="243"/>
  <c r="O5" i="238"/>
  <c r="O29" i="243"/>
  <c r="Q5" i="238"/>
  <c r="B28" i="238"/>
  <c r="C28" i="238"/>
  <c r="B6" i="238"/>
  <c r="B25" i="251"/>
  <c r="B27" i="251"/>
  <c r="D29" i="251"/>
  <c r="B17" i="251"/>
  <c r="C4" i="251"/>
  <c r="B23" i="251"/>
  <c r="B26" i="251"/>
  <c r="I61" i="229"/>
  <c r="I52" i="229"/>
  <c r="J52" i="229"/>
  <c r="K52" i="229"/>
  <c r="Q4" i="250"/>
  <c r="B26" i="250"/>
  <c r="B6" i="250"/>
  <c r="C26" i="250"/>
  <c r="O6" i="250"/>
  <c r="O4" i="229"/>
  <c r="Q4" i="229"/>
  <c r="F26" i="229"/>
  <c r="D25" i="229"/>
  <c r="B24" i="229"/>
  <c r="B6" i="229"/>
  <c r="B26" i="229"/>
  <c r="O40" i="247"/>
  <c r="F27" i="247"/>
  <c r="O12" i="247"/>
  <c r="O18" i="247"/>
  <c r="Q18" i="247"/>
  <c r="K59" i="243"/>
  <c r="K61" i="243"/>
  <c r="B6" i="243"/>
  <c r="B27" i="243"/>
  <c r="C27" i="243"/>
  <c r="L4" i="248"/>
  <c r="O4" i="248"/>
  <c r="B6" i="248"/>
  <c r="D24" i="248"/>
  <c r="B23" i="248"/>
  <c r="C25" i="248"/>
  <c r="D5" i="248"/>
  <c r="C6" i="248"/>
  <c r="E43" i="247"/>
  <c r="C27" i="247"/>
  <c r="B4" i="248"/>
  <c r="E9" i="248"/>
  <c r="Q6" i="248"/>
  <c r="O7" i="248"/>
  <c r="Q7" i="248"/>
  <c r="Q5" i="248"/>
  <c r="Q23" i="247"/>
  <c r="L4" i="247"/>
  <c r="E9" i="247"/>
  <c r="B6" i="217"/>
  <c r="F41" i="207"/>
  <c r="B39" i="207"/>
  <c r="Q7" i="247"/>
  <c r="O14" i="247"/>
  <c r="Q14" i="247"/>
  <c r="B5" i="248"/>
  <c r="B28" i="248"/>
  <c r="O5" i="248"/>
  <c r="F40" i="207"/>
  <c r="F26" i="216"/>
  <c r="D25" i="216"/>
  <c r="O28" i="216"/>
  <c r="D41" i="216"/>
  <c r="B24" i="216"/>
  <c r="D26" i="247"/>
  <c r="B25" i="247"/>
  <c r="H4" i="247"/>
  <c r="G4" i="247"/>
  <c r="J48" i="247"/>
  <c r="J55" i="247"/>
  <c r="J56" i="247"/>
  <c r="O4" i="247"/>
  <c r="R52" i="229"/>
  <c r="F10" i="229"/>
  <c r="O10" i="229"/>
  <c r="O5" i="229"/>
  <c r="E9" i="229"/>
  <c r="D5" i="229"/>
  <c r="B5" i="229"/>
  <c r="B40" i="229"/>
  <c r="D40" i="229"/>
  <c r="B4" i="252"/>
  <c r="D74" i="252"/>
  <c r="E9" i="252"/>
  <c r="I93" i="252"/>
  <c r="I94" i="252"/>
  <c r="K50" i="252"/>
  <c r="B47" i="251"/>
  <c r="B49" i="251"/>
  <c r="B57" i="251"/>
  <c r="C49" i="251"/>
  <c r="O6" i="253"/>
  <c r="Q6" i="253"/>
  <c r="D5" i="253"/>
  <c r="B5" i="253"/>
  <c r="Q40" i="253"/>
  <c r="E9" i="253"/>
  <c r="O42" i="253"/>
  <c r="O8" i="253"/>
  <c r="Q8" i="253"/>
  <c r="B25" i="253"/>
  <c r="C27" i="253"/>
  <c r="B27" i="253"/>
  <c r="B6" i="253"/>
  <c r="E68" i="253"/>
  <c r="E69" i="253"/>
  <c r="E70" i="253"/>
  <c r="E71" i="253"/>
  <c r="E72" i="253"/>
  <c r="E73" i="253"/>
  <c r="B38" i="253"/>
  <c r="C6" i="253"/>
  <c r="B4" i="253"/>
  <c r="D38" i="253"/>
  <c r="O5" i="253"/>
  <c r="Q7" i="253"/>
  <c r="O6" i="276"/>
  <c r="Q6" i="276"/>
  <c r="Q5" i="276"/>
  <c r="F4" i="276"/>
  <c r="B4" i="276"/>
  <c r="F23" i="235"/>
  <c r="E9" i="276"/>
  <c r="G24" i="240"/>
  <c r="H24" i="240"/>
  <c r="G23" i="240"/>
  <c r="G25" i="240"/>
  <c r="H25" i="240"/>
  <c r="L4" i="275"/>
  <c r="S18" i="275"/>
  <c r="S36" i="275"/>
  <c r="E49" i="275"/>
  <c r="E50" i="275"/>
  <c r="B6" i="275"/>
  <c r="S20" i="275"/>
  <c r="U20" i="275"/>
  <c r="S47" i="275"/>
  <c r="F28" i="276"/>
  <c r="F26" i="276"/>
  <c r="B26" i="276"/>
  <c r="O4" i="276"/>
  <c r="H84" i="275"/>
  <c r="S46" i="275"/>
  <c r="U12" i="275"/>
  <c r="E60" i="261"/>
  <c r="E61" i="261"/>
  <c r="E62" i="261"/>
  <c r="E63" i="261"/>
  <c r="E64" i="261"/>
  <c r="E65" i="261"/>
  <c r="E59" i="261"/>
  <c r="O43" i="261"/>
  <c r="O14" i="261"/>
  <c r="D5" i="261"/>
  <c r="D28" i="275"/>
  <c r="B27" i="275"/>
  <c r="S34" i="275"/>
  <c r="E9" i="275"/>
  <c r="H4" i="275"/>
  <c r="G54" i="275"/>
  <c r="S48" i="275"/>
  <c r="O24" i="266"/>
  <c r="O14" i="266"/>
  <c r="Q14" i="266"/>
  <c r="O20" i="266"/>
  <c r="H4" i="266"/>
  <c r="O25" i="266"/>
  <c r="Q25" i="266"/>
  <c r="J4" i="266"/>
  <c r="K4" i="266"/>
  <c r="M4" i="266"/>
  <c r="O35" i="266"/>
  <c r="O8" i="266"/>
  <c r="Q8" i="266"/>
  <c r="O12" i="266"/>
  <c r="Q12" i="266"/>
  <c r="F29" i="266"/>
  <c r="D28" i="266"/>
  <c r="B27" i="266"/>
  <c r="O18" i="266"/>
  <c r="Q18" i="266"/>
  <c r="Q47" i="266"/>
  <c r="O7" i="266"/>
  <c r="Q7" i="266"/>
  <c r="E9" i="266"/>
  <c r="O6" i="266"/>
  <c r="F28" i="261"/>
  <c r="D27" i="261"/>
  <c r="B26" i="261"/>
  <c r="Q10" i="177"/>
  <c r="Q11" i="177"/>
  <c r="Q12" i="177"/>
  <c r="Q6" i="177"/>
  <c r="Q8" i="177"/>
  <c r="H16" i="177"/>
  <c r="R3" i="177"/>
  <c r="H4" i="261"/>
  <c r="O6" i="261"/>
  <c r="Q6" i="261"/>
  <c r="B4" i="261"/>
  <c r="O12" i="261"/>
  <c r="Q12" i="261"/>
  <c r="Q43" i="261"/>
  <c r="O33" i="261"/>
  <c r="I37" i="129"/>
  <c r="B38" i="129"/>
  <c r="E37" i="129"/>
  <c r="S18" i="129"/>
  <c r="K56" i="74"/>
  <c r="H61" i="129"/>
  <c r="G186" i="74"/>
  <c r="K63" i="74"/>
  <c r="K79" i="74"/>
  <c r="K61" i="129"/>
  <c r="K14" i="74"/>
  <c r="C61" i="129"/>
  <c r="K32" i="74"/>
  <c r="E111" i="129"/>
  <c r="B70" i="74"/>
  <c r="K70" i="74"/>
  <c r="K37" i="74"/>
  <c r="F61" i="129"/>
  <c r="K3" i="74"/>
  <c r="N61" i="129"/>
  <c r="I186" i="74"/>
  <c r="U47" i="74"/>
  <c r="C6" i="74"/>
  <c r="U21" i="74"/>
  <c r="K47" i="74"/>
  <c r="D61" i="129"/>
  <c r="B6" i="271"/>
  <c r="H9" i="271" s="1"/>
  <c r="F9" i="271"/>
  <c r="E81" i="261"/>
  <c r="E82" i="261"/>
  <c r="J4" i="261"/>
  <c r="H15" i="270"/>
  <c r="H20" i="270"/>
  <c r="H21" i="270"/>
  <c r="H19" i="270"/>
  <c r="H3" i="270"/>
  <c r="H4" i="270"/>
  <c r="H5" i="270"/>
  <c r="H6" i="270"/>
  <c r="G9" i="270"/>
  <c r="H8" i="270"/>
  <c r="H7" i="270"/>
  <c r="G23" i="270"/>
  <c r="O34" i="266"/>
  <c r="D5" i="266"/>
  <c r="B4" i="266"/>
  <c r="B18" i="265"/>
  <c r="B8" i="264"/>
  <c r="B17" i="264"/>
  <c r="B19" i="264"/>
  <c r="B20" i="264"/>
  <c r="Q14" i="261"/>
  <c r="Q5" i="261"/>
  <c r="O5" i="276"/>
  <c r="C28" i="276"/>
  <c r="C6" i="276"/>
  <c r="B5" i="276"/>
  <c r="B32" i="276"/>
  <c r="B6" i="276"/>
  <c r="B28" i="276"/>
  <c r="U18" i="275"/>
  <c r="I4" i="253"/>
  <c r="I4" i="261"/>
  <c r="C29" i="275"/>
  <c r="B29" i="275"/>
  <c r="K4" i="261"/>
  <c r="O4" i="266"/>
  <c r="K4" i="253"/>
  <c r="O5" i="261"/>
  <c r="O4" i="261"/>
  <c r="E61" i="129"/>
  <c r="E90" i="129"/>
  <c r="D90" i="129"/>
  <c r="D111" i="129"/>
  <c r="K111" i="129"/>
  <c r="K90" i="129"/>
  <c r="I111" i="129"/>
  <c r="I90" i="129"/>
  <c r="F111" i="129"/>
  <c r="F90" i="129"/>
  <c r="C90" i="129"/>
  <c r="C111" i="129"/>
  <c r="H90" i="129"/>
  <c r="H111" i="129"/>
  <c r="F103" i="74"/>
  <c r="G24" i="270"/>
  <c r="H23" i="270"/>
  <c r="B6" i="266"/>
  <c r="C29" i="266"/>
  <c r="B29" i="266"/>
  <c r="B5" i="266"/>
  <c r="B43" i="266"/>
  <c r="C6" i="266"/>
  <c r="G25" i="270"/>
  <c r="H24" i="270"/>
  <c r="G26" i="270"/>
  <c r="H26" i="270"/>
  <c r="H25" i="270"/>
  <c r="I20" i="129"/>
  <c r="O6" i="281"/>
  <c r="Q6" i="281"/>
  <c r="O20" i="281"/>
  <c r="J4" i="281"/>
  <c r="M51" i="281"/>
  <c r="M52" i="281"/>
  <c r="O23" i="281"/>
  <c r="B19" i="286"/>
  <c r="B24" i="288"/>
  <c r="B25" i="288"/>
  <c r="B26" i="288"/>
  <c r="B20" i="288"/>
  <c r="O37" i="281"/>
  <c r="O24" i="281"/>
  <c r="Q24" i="281"/>
  <c r="O34" i="281"/>
  <c r="O35" i="281"/>
  <c r="O8" i="281"/>
  <c r="Q8" i="281"/>
  <c r="E9" i="281"/>
  <c r="O12" i="281"/>
  <c r="Q12" i="281"/>
  <c r="H4" i="281"/>
  <c r="B26" i="281"/>
  <c r="O18" i="281"/>
  <c r="Q18" i="281"/>
  <c r="O7" i="281"/>
  <c r="Q7" i="281"/>
  <c r="Q5" i="281"/>
  <c r="F4" i="281"/>
  <c r="B4" i="281"/>
  <c r="Q42" i="281"/>
  <c r="O36" i="281"/>
  <c r="E54" i="282"/>
  <c r="O4" i="281"/>
  <c r="E53" i="282"/>
  <c r="B27" i="282"/>
  <c r="O16" i="289"/>
  <c r="Q16" i="289" s="1"/>
  <c r="O7" i="289"/>
  <c r="Q7" i="289" s="1"/>
  <c r="O22" i="289"/>
  <c r="Q22" i="289" s="1"/>
  <c r="O25" i="289"/>
  <c r="Q25" i="289" s="1"/>
  <c r="E46" i="289"/>
  <c r="Q6" i="289"/>
  <c r="O16" i="282"/>
  <c r="Q16" i="282"/>
  <c r="O20" i="282"/>
  <c r="Q20" i="282"/>
  <c r="O39" i="282"/>
  <c r="O14" i="282"/>
  <c r="Q14" i="282"/>
  <c r="H4" i="282"/>
  <c r="J4" i="282"/>
  <c r="F54" i="282"/>
  <c r="F4" i="282"/>
  <c r="B4" i="282"/>
  <c r="E11" i="282"/>
  <c r="O7" i="282"/>
  <c r="R4" i="229"/>
  <c r="Q4" i="228"/>
  <c r="R4" i="228"/>
  <c r="F42" i="234"/>
  <c r="B40" i="234"/>
  <c r="J111" i="129"/>
  <c r="J90" i="129"/>
  <c r="J61" i="129"/>
  <c r="Q33" i="173"/>
  <c r="Q32" i="173"/>
  <c r="O32" i="173"/>
  <c r="O5" i="247"/>
  <c r="D40" i="231"/>
  <c r="C6" i="231"/>
  <c r="B4" i="231"/>
  <c r="O5" i="237"/>
  <c r="B27" i="209"/>
  <c r="B6" i="209"/>
  <c r="C27" i="209"/>
  <c r="C6" i="209"/>
  <c r="B4" i="203"/>
  <c r="C6" i="203"/>
  <c r="B5" i="203"/>
  <c r="B39" i="203"/>
  <c r="D39" i="203"/>
  <c r="B39" i="229"/>
  <c r="F41" i="229"/>
  <c r="Q5" i="237"/>
  <c r="B29" i="240"/>
  <c r="B30" i="240"/>
  <c r="S3" i="275"/>
  <c r="Q6" i="250"/>
  <c r="Q7" i="217"/>
  <c r="Q5" i="217"/>
  <c r="Q5" i="213"/>
  <c r="Q6" i="266"/>
  <c r="Q5" i="266"/>
  <c r="O5" i="266"/>
  <c r="B4" i="229"/>
  <c r="C6" i="229"/>
  <c r="F44" i="236"/>
  <c r="R4" i="217"/>
  <c r="D40" i="208"/>
  <c r="C6" i="208"/>
  <c r="B5" i="208"/>
  <c r="B40" i="208"/>
  <c r="B4" i="208"/>
  <c r="C6" i="168"/>
  <c r="B5" i="168"/>
  <c r="B32" i="168"/>
  <c r="B4" i="168"/>
  <c r="D32" i="168"/>
  <c r="G90" i="129"/>
  <c r="G61" i="129"/>
  <c r="G111" i="129"/>
  <c r="B40" i="216"/>
  <c r="F42" i="216"/>
  <c r="Q34" i="170"/>
  <c r="O32" i="170"/>
  <c r="B37" i="253"/>
  <c r="F39" i="253"/>
  <c r="B5" i="231"/>
  <c r="B40" i="231"/>
  <c r="G27" i="270"/>
  <c r="H27" i="270"/>
  <c r="G26" i="240"/>
  <c r="H26" i="240"/>
  <c r="C6" i="216"/>
  <c r="B4" i="216"/>
  <c r="O5" i="281"/>
  <c r="H9" i="270"/>
  <c r="G10" i="270"/>
  <c r="H23" i="240"/>
  <c r="B26" i="238"/>
  <c r="D43" i="238"/>
  <c r="B5" i="216"/>
  <c r="B41" i="216"/>
  <c r="Q19" i="184"/>
  <c r="O5" i="184"/>
  <c r="N90" i="129"/>
  <c r="B15" i="271"/>
  <c r="Q5" i="253"/>
  <c r="Q10" i="229"/>
  <c r="Q5" i="229"/>
  <c r="B6" i="236"/>
  <c r="B28" i="236"/>
  <c r="C28" i="236"/>
  <c r="Q30" i="185"/>
  <c r="Q28" i="185"/>
  <c r="O30" i="185"/>
  <c r="F28" i="185"/>
  <c r="Q35" i="168"/>
  <c r="O32" i="168"/>
  <c r="Q16" i="203"/>
  <c r="Q5" i="203"/>
  <c r="O5" i="203"/>
  <c r="S11" i="203"/>
  <c r="S12" i="203"/>
  <c r="B6" i="247"/>
  <c r="B27" i="247"/>
  <c r="F31" i="276"/>
  <c r="N111" i="129"/>
  <c r="B59" i="251"/>
  <c r="C57" i="251"/>
  <c r="Q5" i="233"/>
  <c r="F36" i="200"/>
  <c r="B33" i="200"/>
  <c r="O4" i="182"/>
  <c r="F2" i="182"/>
  <c r="E2" i="182"/>
  <c r="O38" i="158"/>
  <c r="F32" i="158"/>
  <c r="Q38" i="158"/>
  <c r="B31" i="184"/>
  <c r="C25" i="187"/>
  <c r="D28" i="187"/>
  <c r="B25" i="187"/>
  <c r="B6" i="187"/>
  <c r="C6" i="187"/>
  <c r="B5" i="187"/>
  <c r="B28" i="187"/>
  <c r="Q20" i="140"/>
  <c r="Q21" i="140"/>
  <c r="O34" i="184"/>
  <c r="F32" i="184"/>
  <c r="Q34" i="184"/>
  <c r="B5" i="236"/>
  <c r="B43" i="236"/>
  <c r="K56" i="233"/>
  <c r="O4" i="226"/>
  <c r="H4" i="43"/>
  <c r="H29" i="43"/>
  <c r="C6" i="238"/>
  <c r="Q45" i="205"/>
  <c r="O33" i="205"/>
  <c r="O28" i="205"/>
  <c r="Q36" i="176"/>
  <c r="Q32" i="176"/>
  <c r="Q41" i="176"/>
  <c r="O25" i="176"/>
  <c r="O24" i="176"/>
  <c r="O32" i="176"/>
  <c r="T18" i="102"/>
  <c r="V9" i="102"/>
  <c r="T13" i="102"/>
  <c r="D28" i="248"/>
  <c r="Q12" i="247"/>
  <c r="Q5" i="247"/>
  <c r="Q43" i="247"/>
  <c r="O30" i="247"/>
  <c r="O27" i="247"/>
  <c r="O26" i="247"/>
  <c r="O4" i="233"/>
  <c r="O5" i="233"/>
  <c r="Q8" i="234"/>
  <c r="O5" i="209"/>
  <c r="B5" i="201"/>
  <c r="B39" i="201"/>
  <c r="B34" i="188"/>
  <c r="F37" i="188"/>
  <c r="D34" i="186"/>
  <c r="B4" i="186"/>
  <c r="C6" i="186"/>
  <c r="B4" i="182"/>
  <c r="Q5" i="170"/>
  <c r="M45" i="124"/>
  <c r="Q5" i="172"/>
  <c r="Q41" i="172"/>
  <c r="O25" i="172"/>
  <c r="O24" i="172"/>
  <c r="D3" i="172"/>
  <c r="C6" i="158"/>
  <c r="B5" i="158"/>
  <c r="B32" i="158"/>
  <c r="B4" i="158"/>
  <c r="R42" i="117"/>
  <c r="M45" i="117"/>
  <c r="B2" i="81"/>
  <c r="B9" i="81"/>
  <c r="J51" i="230"/>
  <c r="B27" i="203"/>
  <c r="C27" i="203"/>
  <c r="B6" i="203"/>
  <c r="Q5" i="176"/>
  <c r="O41" i="207"/>
  <c r="Q41" i="207"/>
  <c r="Q40" i="207"/>
  <c r="D40" i="230"/>
  <c r="B5" i="230"/>
  <c r="B40" i="230"/>
  <c r="D39" i="201"/>
  <c r="F32" i="176"/>
  <c r="Q38" i="176"/>
  <c r="O38" i="176"/>
  <c r="F38" i="160"/>
  <c r="B31" i="160"/>
  <c r="B20" i="146"/>
  <c r="D29" i="146"/>
  <c r="O39" i="143"/>
  <c r="P39" i="143"/>
  <c r="R39" i="143"/>
  <c r="F31" i="143"/>
  <c r="H5" i="46"/>
  <c r="D43" i="266"/>
  <c r="Q41" i="178"/>
  <c r="F33" i="178"/>
  <c r="O41" i="178"/>
  <c r="B31" i="170"/>
  <c r="F38" i="170"/>
  <c r="B31" i="158"/>
  <c r="S52" i="229"/>
  <c r="Q6" i="228"/>
  <c r="Q5" i="228"/>
  <c r="B5" i="213"/>
  <c r="B42" i="213"/>
  <c r="D42" i="213"/>
  <c r="B5" i="186"/>
  <c r="B34" i="186"/>
  <c r="Q5" i="184"/>
  <c r="B25" i="188"/>
  <c r="C6" i="188"/>
  <c r="B5" i="188"/>
  <c r="B35" i="188"/>
  <c r="B5" i="176"/>
  <c r="B32" i="176"/>
  <c r="B4" i="176"/>
  <c r="C6" i="176"/>
  <c r="Q5" i="162"/>
  <c r="D43" i="237"/>
  <c r="D40" i="233"/>
  <c r="Q5" i="173"/>
  <c r="O4" i="176"/>
  <c r="Q33" i="178"/>
  <c r="B32" i="181"/>
  <c r="F39" i="181"/>
  <c r="Q11" i="150"/>
  <c r="Q5" i="150"/>
  <c r="O5" i="150"/>
  <c r="I5" i="2"/>
  <c r="L5" i="2"/>
  <c r="O5" i="2"/>
  <c r="C24" i="148"/>
  <c r="B24" i="148"/>
  <c r="C6" i="148"/>
  <c r="F32" i="173"/>
  <c r="B21" i="138"/>
  <c r="J13" i="52"/>
  <c r="G4" i="26"/>
  <c r="M5" i="124"/>
  <c r="B5" i="23"/>
  <c r="H5" i="23"/>
  <c r="B3" i="23"/>
  <c r="H3" i="23"/>
  <c r="B4" i="23"/>
  <c r="H4" i="23"/>
  <c r="Q35" i="167"/>
  <c r="E40" i="122"/>
  <c r="M40" i="122"/>
  <c r="O4" i="209"/>
  <c r="F32" i="172"/>
  <c r="O5" i="176"/>
  <c r="B6" i="179"/>
  <c r="F2" i="176"/>
  <c r="E2" i="176"/>
  <c r="O38" i="167"/>
  <c r="F32" i="167"/>
  <c r="O5" i="170"/>
  <c r="G17" i="102"/>
  <c r="L10" i="2"/>
  <c r="O10" i="2"/>
  <c r="G10" i="2"/>
  <c r="I10" i="2"/>
  <c r="J10" i="2"/>
  <c r="B6" i="25"/>
  <c r="B9" i="25"/>
  <c r="H9" i="25"/>
  <c r="J9" i="25"/>
  <c r="G12" i="2"/>
  <c r="F12" i="2"/>
  <c r="D30" i="141"/>
  <c r="F36" i="141"/>
  <c r="B5" i="141"/>
  <c r="B30" i="141"/>
  <c r="C6" i="141"/>
  <c r="I10" i="55"/>
  <c r="N18" i="52"/>
  <c r="I13" i="52"/>
  <c r="H20" i="20"/>
  <c r="D34" i="179"/>
  <c r="D32" i="175"/>
  <c r="B30" i="143"/>
  <c r="F31" i="150"/>
  <c r="O41" i="150"/>
  <c r="K51" i="150"/>
  <c r="P9" i="143"/>
  <c r="P6" i="143"/>
  <c r="D31" i="2"/>
  <c r="E31" i="2"/>
  <c r="F31" i="2"/>
  <c r="G31" i="2"/>
  <c r="H4" i="41"/>
  <c r="K4" i="41"/>
  <c r="J7" i="41"/>
  <c r="J10" i="41"/>
  <c r="K10" i="41"/>
  <c r="J5" i="41"/>
  <c r="J9" i="41"/>
  <c r="K9" i="41"/>
  <c r="B27" i="185"/>
  <c r="D33" i="182"/>
  <c r="C6" i="175"/>
  <c r="Q38" i="167"/>
  <c r="B5" i="167"/>
  <c r="B32" i="167"/>
  <c r="O5" i="162"/>
  <c r="Q32" i="158"/>
  <c r="Q5" i="146"/>
  <c r="J4" i="41"/>
  <c r="B4" i="207"/>
  <c r="B4" i="181"/>
  <c r="C6" i="169"/>
  <c r="C21" i="138"/>
  <c r="R6" i="143"/>
  <c r="Q31" i="144"/>
  <c r="B5" i="175"/>
  <c r="B32" i="175"/>
  <c r="B32" i="178"/>
  <c r="O5" i="173"/>
  <c r="B6" i="169"/>
  <c r="B25" i="169"/>
  <c r="D32" i="169"/>
  <c r="B5" i="148"/>
  <c r="B31" i="148"/>
  <c r="B6" i="138"/>
  <c r="B5" i="144"/>
  <c r="B31" i="144"/>
  <c r="C30" i="1"/>
  <c r="C32" i="1"/>
  <c r="D32" i="1"/>
  <c r="O5" i="144"/>
  <c r="Q6" i="144"/>
  <c r="Q5" i="144"/>
  <c r="I8" i="82"/>
  <c r="I4" i="82"/>
  <c r="G4" i="82"/>
  <c r="K28" i="124"/>
  <c r="M33" i="124"/>
  <c r="G18" i="48"/>
  <c r="B10" i="90"/>
  <c r="G4" i="8"/>
  <c r="E2" i="8"/>
  <c r="I4" i="81"/>
  <c r="I5" i="55"/>
  <c r="G4" i="55"/>
  <c r="G35" i="55"/>
  <c r="K12" i="41"/>
  <c r="E13" i="42"/>
  <c r="F13" i="42"/>
  <c r="B29" i="60"/>
  <c r="B33" i="60"/>
  <c r="B2" i="85"/>
  <c r="B11" i="85"/>
  <c r="G11" i="85"/>
  <c r="G40" i="85"/>
  <c r="G4" i="21"/>
  <c r="I53" i="33"/>
  <c r="H11" i="41"/>
  <c r="K11" i="41"/>
  <c r="P24" i="134"/>
  <c r="P23" i="134"/>
  <c r="P42" i="134"/>
  <c r="B27" i="111"/>
  <c r="B37" i="111"/>
  <c r="K5" i="41"/>
  <c r="I37" i="86"/>
  <c r="G35" i="86"/>
  <c r="E5" i="42"/>
  <c r="F5" i="42"/>
  <c r="G26" i="55"/>
  <c r="B23" i="55"/>
  <c r="G23" i="55"/>
  <c r="G20" i="55"/>
  <c r="C24" i="147"/>
  <c r="B6" i="111"/>
  <c r="I18" i="48"/>
  <c r="B3" i="102"/>
  <c r="H12" i="41"/>
  <c r="I28" i="68"/>
  <c r="G25" i="68"/>
  <c r="I25" i="68"/>
  <c r="I31" i="68"/>
  <c r="C37" i="111"/>
  <c r="B13" i="87"/>
  <c r="G14" i="87"/>
  <c r="G13" i="87"/>
  <c r="G21" i="77"/>
  <c r="G12" i="77"/>
  <c r="I4" i="42"/>
  <c r="H4" i="42"/>
  <c r="H55" i="48"/>
  <c r="G55" i="48"/>
  <c r="E55" i="48"/>
  <c r="G12" i="26"/>
  <c r="G26" i="26"/>
  <c r="B12" i="84"/>
  <c r="G13" i="84"/>
  <c r="G12" i="84"/>
  <c r="H34" i="52"/>
  <c r="G34" i="52"/>
  <c r="D2" i="23"/>
  <c r="E10" i="42"/>
  <c r="F10" i="42"/>
  <c r="I3" i="42"/>
  <c r="H3" i="42"/>
  <c r="J6" i="2"/>
  <c r="I6" i="2"/>
  <c r="L6" i="2"/>
  <c r="B7" i="46"/>
  <c r="H7" i="46"/>
  <c r="B6" i="46"/>
  <c r="H6" i="46"/>
  <c r="D2" i="51"/>
  <c r="G7" i="51"/>
  <c r="H59" i="58"/>
  <c r="I9" i="58"/>
  <c r="I59" i="58"/>
  <c r="C6" i="118"/>
  <c r="B5" i="118"/>
  <c r="B38" i="118"/>
  <c r="C39" i="118"/>
  <c r="K5" i="118"/>
  <c r="G36" i="105"/>
  <c r="I36" i="105"/>
  <c r="F3" i="42"/>
  <c r="K3" i="41"/>
  <c r="I9" i="42"/>
  <c r="H9" i="42"/>
  <c r="D68" i="118"/>
  <c r="G34" i="61"/>
  <c r="G14" i="98"/>
  <c r="G13" i="98"/>
  <c r="G5" i="105"/>
  <c r="I23" i="87"/>
  <c r="I4" i="87"/>
  <c r="G21" i="87"/>
  <c r="J18" i="48"/>
  <c r="I9" i="57"/>
  <c r="G10" i="57"/>
  <c r="G34" i="57"/>
  <c r="J13" i="41"/>
  <c r="K13" i="41"/>
  <c r="J11" i="41"/>
  <c r="E2" i="42"/>
  <c r="F2" i="42"/>
  <c r="B4" i="38"/>
  <c r="F6" i="38"/>
  <c r="B14" i="43"/>
  <c r="B12" i="43"/>
  <c r="H12" i="43"/>
  <c r="H15" i="43"/>
  <c r="B6" i="163"/>
  <c r="O5" i="146"/>
  <c r="E68" i="118"/>
  <c r="B24" i="143"/>
  <c r="B22" i="146"/>
  <c r="B13" i="99"/>
  <c r="F30" i="2"/>
  <c r="G30" i="2"/>
  <c r="B13" i="88"/>
  <c r="G14" i="88"/>
  <c r="G13" i="88"/>
  <c r="F50" i="48"/>
  <c r="E50" i="48"/>
  <c r="C2" i="20"/>
  <c r="D2" i="8"/>
  <c r="I16" i="30"/>
  <c r="E34" i="48"/>
  <c r="J9" i="2"/>
  <c r="I9" i="2"/>
  <c r="L9" i="2"/>
  <c r="O9" i="2"/>
  <c r="O5" i="140"/>
  <c r="B6" i="143"/>
  <c r="G35" i="61"/>
  <c r="D33" i="126"/>
  <c r="E40" i="126"/>
  <c r="L40" i="126"/>
  <c r="O29" i="117"/>
  <c r="D28" i="121"/>
  <c r="D38" i="121"/>
  <c r="J2" i="41"/>
  <c r="J6" i="41"/>
  <c r="K6" i="41"/>
  <c r="N6" i="41"/>
  <c r="N7" i="126"/>
  <c r="G23" i="48"/>
  <c r="J23" i="48"/>
  <c r="F11" i="42"/>
  <c r="H6" i="20"/>
  <c r="H28" i="43"/>
  <c r="G15" i="45"/>
  <c r="G14" i="45"/>
  <c r="B14" i="45"/>
  <c r="B12" i="45"/>
  <c r="G12" i="45"/>
  <c r="H29" i="48"/>
  <c r="G29" i="48"/>
  <c r="J29" i="48"/>
  <c r="F41" i="149"/>
  <c r="C24" i="143"/>
  <c r="C6" i="143"/>
  <c r="B15" i="102"/>
  <c r="G15" i="102"/>
  <c r="G46" i="102"/>
  <c r="H11" i="2"/>
  <c r="N29" i="48"/>
  <c r="I29" i="48"/>
  <c r="K39" i="124"/>
  <c r="J12" i="41"/>
  <c r="G4" i="81"/>
  <c r="H7" i="36"/>
  <c r="G7" i="36"/>
  <c r="J7" i="36"/>
  <c r="M7" i="36"/>
  <c r="L5" i="111"/>
  <c r="I7" i="60"/>
  <c r="I10" i="60"/>
  <c r="G4" i="60"/>
  <c r="G21" i="31"/>
  <c r="I7" i="42"/>
  <c r="H7" i="42"/>
  <c r="F7" i="42"/>
  <c r="K12" i="2"/>
  <c r="K2" i="2"/>
  <c r="K10" i="2"/>
  <c r="Q2" i="2"/>
  <c r="Q3" i="2"/>
  <c r="Q4" i="2"/>
  <c r="K9" i="2"/>
  <c r="K13" i="2"/>
  <c r="L13" i="2"/>
  <c r="G27" i="26"/>
  <c r="G7" i="2"/>
  <c r="H8" i="2"/>
  <c r="F7" i="2"/>
  <c r="K11" i="2"/>
  <c r="E7" i="36"/>
  <c r="F18" i="36"/>
  <c r="H45" i="52"/>
  <c r="H66" i="52"/>
  <c r="G45" i="52"/>
  <c r="I9" i="56"/>
  <c r="G10" i="56"/>
  <c r="G4" i="56"/>
  <c r="I6" i="65"/>
  <c r="I10" i="65"/>
  <c r="G4" i="65"/>
  <c r="G7" i="86"/>
  <c r="I7" i="86"/>
  <c r="T18" i="108"/>
  <c r="J8" i="41"/>
  <c r="K8" i="41"/>
  <c r="N8" i="41"/>
  <c r="B17" i="31"/>
  <c r="G17" i="31"/>
  <c r="M28" i="124"/>
  <c r="B11" i="98"/>
  <c r="G50" i="52"/>
  <c r="F13" i="27"/>
  <c r="H8" i="42"/>
  <c r="B12" i="38"/>
  <c r="F12" i="38"/>
  <c r="I4" i="88"/>
  <c r="R8" i="143"/>
  <c r="B10" i="86"/>
  <c r="I6" i="86"/>
  <c r="I4" i="86"/>
  <c r="G4" i="86"/>
  <c r="M40" i="118"/>
  <c r="M38" i="118"/>
  <c r="M44" i="118"/>
  <c r="E42" i="118"/>
  <c r="K42" i="118"/>
  <c r="K38" i="118"/>
  <c r="B12" i="90"/>
  <c r="B2" i="90"/>
  <c r="G13" i="90"/>
  <c r="G12" i="90"/>
  <c r="H7" i="41"/>
  <c r="K7" i="41"/>
  <c r="N7" i="41"/>
  <c r="F6" i="42"/>
  <c r="I6" i="42"/>
  <c r="H6" i="42"/>
  <c r="F34" i="36"/>
  <c r="I8" i="98"/>
  <c r="I4" i="98"/>
  <c r="G4" i="98"/>
  <c r="E29" i="48"/>
  <c r="F34" i="48"/>
  <c r="H8" i="50"/>
  <c r="G20" i="63"/>
  <c r="I5" i="42"/>
  <c r="H5" i="42"/>
  <c r="E2" i="51"/>
  <c r="M38" i="123"/>
  <c r="O38" i="123"/>
  <c r="O35" i="123"/>
  <c r="D35" i="123"/>
  <c r="D45" i="123"/>
  <c r="G18" i="99"/>
  <c r="L18" i="126"/>
  <c r="N18" i="126"/>
  <c r="G4" i="136"/>
  <c r="B24" i="155"/>
  <c r="B6" i="155"/>
  <c r="D31" i="155"/>
  <c r="F42" i="155"/>
  <c r="Q42" i="155"/>
  <c r="G5" i="47"/>
  <c r="F2" i="90"/>
  <c r="Q33" i="153"/>
  <c r="M5" i="121"/>
  <c r="G33" i="105"/>
  <c r="H11" i="42"/>
  <c r="B28" i="25"/>
  <c r="L8" i="132"/>
  <c r="K3" i="132"/>
  <c r="D5" i="138"/>
  <c r="C24" i="155"/>
  <c r="N23" i="136"/>
  <c r="P23" i="136"/>
  <c r="J4" i="157"/>
  <c r="O6" i="157"/>
  <c r="G4" i="84"/>
  <c r="B55" i="99"/>
  <c r="B57" i="99"/>
  <c r="B59" i="99"/>
  <c r="B61" i="99"/>
  <c r="I5" i="134"/>
  <c r="G4" i="61"/>
  <c r="B12" i="79"/>
  <c r="C21" i="140"/>
  <c r="B6" i="140"/>
  <c r="B21" i="140"/>
  <c r="H14" i="43"/>
  <c r="C16" i="1"/>
  <c r="D28" i="124"/>
  <c r="D39" i="124"/>
  <c r="Q32" i="155"/>
  <c r="P34" i="143"/>
  <c r="R34" i="143"/>
  <c r="B4" i="147"/>
  <c r="Q5" i="159"/>
  <c r="Q40" i="164"/>
  <c r="R13" i="143"/>
  <c r="P13" i="143"/>
  <c r="Q22" i="146"/>
  <c r="Q21" i="146"/>
  <c r="O7" i="143"/>
  <c r="J4" i="147"/>
  <c r="O7" i="148"/>
  <c r="Q7" i="148"/>
  <c r="O7" i="155"/>
  <c r="Q7" i="155"/>
  <c r="O7" i="147"/>
  <c r="Q7" i="147"/>
  <c r="O43" i="153"/>
  <c r="O4" i="156"/>
  <c r="Q23" i="155"/>
  <c r="Q24" i="155"/>
  <c r="O31" i="156"/>
  <c r="B24" i="156"/>
  <c r="C24" i="156"/>
  <c r="B6" i="156"/>
  <c r="J4" i="148"/>
  <c r="O32" i="148"/>
  <c r="B4" i="157"/>
  <c r="G7" i="90"/>
  <c r="O7" i="138"/>
  <c r="O25" i="138"/>
  <c r="Q25" i="138"/>
  <c r="R17" i="143"/>
  <c r="O7" i="144"/>
  <c r="Q7" i="144"/>
  <c r="O33" i="150"/>
  <c r="O15" i="153"/>
  <c r="Q15" i="153"/>
  <c r="Q23" i="156"/>
  <c r="Q24" i="156"/>
  <c r="D5" i="145"/>
  <c r="O8" i="145"/>
  <c r="Q43" i="150"/>
  <c r="O43" i="150"/>
  <c r="Q6" i="153"/>
  <c r="Q5" i="153"/>
  <c r="O5" i="153"/>
  <c r="E45" i="153"/>
  <c r="E46" i="153"/>
  <c r="B22" i="155"/>
  <c r="N5" i="136"/>
  <c r="I47" i="138"/>
  <c r="I48" i="138"/>
  <c r="I49" i="138"/>
  <c r="P26" i="143"/>
  <c r="R26" i="143"/>
  <c r="R24" i="143"/>
  <c r="O8" i="141"/>
  <c r="Q8" i="141"/>
  <c r="D5" i="156"/>
  <c r="B4" i="156"/>
  <c r="O7" i="156"/>
  <c r="Q7" i="156"/>
  <c r="O34" i="157"/>
  <c r="Q34" i="157"/>
  <c r="O37" i="163"/>
  <c r="Q37" i="163"/>
  <c r="O38" i="143"/>
  <c r="O35" i="149"/>
  <c r="O13" i="153"/>
  <c r="D23" i="156"/>
  <c r="B22" i="156"/>
  <c r="O4" i="157"/>
  <c r="O36" i="164"/>
  <c r="L26" i="132"/>
  <c r="N26" i="132"/>
  <c r="N23" i="132"/>
  <c r="P20" i="143"/>
  <c r="R20" i="143"/>
  <c r="O33" i="143"/>
  <c r="B24" i="145"/>
  <c r="B6" i="145"/>
  <c r="D5" i="147"/>
  <c r="H4" i="148"/>
  <c r="O6" i="148"/>
  <c r="H4" i="150"/>
  <c r="O4" i="150"/>
  <c r="O6" i="168"/>
  <c r="D20" i="138"/>
  <c r="O16" i="140"/>
  <c r="Q16" i="140"/>
  <c r="Q5" i="140"/>
  <c r="D5" i="140"/>
  <c r="O6" i="141"/>
  <c r="H4" i="141"/>
  <c r="D5" i="153"/>
  <c r="O37" i="155"/>
  <c r="P27" i="143"/>
  <c r="R27" i="143"/>
  <c r="J4" i="153"/>
  <c r="O4" i="153"/>
  <c r="Q6" i="155"/>
  <c r="O8" i="158"/>
  <c r="O35" i="159"/>
  <c r="O6" i="156"/>
  <c r="O37" i="164"/>
  <c r="Q37" i="164"/>
  <c r="O37" i="169"/>
  <c r="Q37" i="169"/>
  <c r="H4" i="175"/>
  <c r="F2" i="175"/>
  <c r="E2" i="175"/>
  <c r="Q24" i="180"/>
  <c r="O4" i="179"/>
  <c r="S4" i="179"/>
  <c r="S5" i="179"/>
  <c r="O42" i="155"/>
  <c r="D5" i="159"/>
  <c r="O37" i="167"/>
  <c r="Q37" i="167"/>
  <c r="O19" i="163"/>
  <c r="H4" i="164"/>
  <c r="O6" i="164"/>
  <c r="O9" i="164"/>
  <c r="Q9" i="164"/>
  <c r="Q6" i="180"/>
  <c r="O27" i="181"/>
  <c r="Q27" i="181"/>
  <c r="Q24" i="181"/>
  <c r="J4" i="181"/>
  <c r="O39" i="157"/>
  <c r="Q39" i="157"/>
  <c r="D5" i="162"/>
  <c r="O35" i="163"/>
  <c r="Q35" i="163"/>
  <c r="O41" i="153"/>
  <c r="Q41" i="153"/>
  <c r="O18" i="156"/>
  <c r="Q18" i="156"/>
  <c r="D23" i="163"/>
  <c r="D31" i="163"/>
  <c r="O33" i="162"/>
  <c r="Q24" i="164"/>
  <c r="O12" i="166"/>
  <c r="D5" i="166"/>
  <c r="B4" i="166"/>
  <c r="O40" i="167"/>
  <c r="O6" i="147"/>
  <c r="R3" i="155"/>
  <c r="R4" i="155"/>
  <c r="O12" i="157"/>
  <c r="B22" i="157"/>
  <c r="O33" i="157"/>
  <c r="Q33" i="157"/>
  <c r="J4" i="160"/>
  <c r="B4" i="167"/>
  <c r="K50" i="167"/>
  <c r="J50" i="167"/>
  <c r="J4" i="176"/>
  <c r="D5" i="155"/>
  <c r="B4" i="155"/>
  <c r="B22" i="163"/>
  <c r="O32" i="164"/>
  <c r="O34" i="166"/>
  <c r="Q24" i="179"/>
  <c r="Q24" i="153"/>
  <c r="Q43" i="155"/>
  <c r="R32" i="155"/>
  <c r="J4" i="166"/>
  <c r="L4" i="166"/>
  <c r="N4" i="180"/>
  <c r="O7" i="180"/>
  <c r="Q7" i="180"/>
  <c r="O32" i="157"/>
  <c r="E40" i="157"/>
  <c r="E41" i="157"/>
  <c r="O26" i="159"/>
  <c r="Q26" i="159"/>
  <c r="Q17" i="178"/>
  <c r="Q5" i="178"/>
  <c r="M50" i="178"/>
  <c r="D23" i="148"/>
  <c r="D31" i="148"/>
  <c r="O15" i="158"/>
  <c r="Q15" i="158"/>
  <c r="O37" i="159"/>
  <c r="Q37" i="159"/>
  <c r="Q24" i="166"/>
  <c r="E42" i="180"/>
  <c r="D32" i="194"/>
  <c r="B25" i="194"/>
  <c r="Q5" i="199"/>
  <c r="D5" i="164"/>
  <c r="L4" i="178"/>
  <c r="H4" i="183"/>
  <c r="O4" i="183"/>
  <c r="Q4" i="183"/>
  <c r="O31" i="195"/>
  <c r="O21" i="193"/>
  <c r="Q21" i="193"/>
  <c r="E36" i="195"/>
  <c r="D34" i="199"/>
  <c r="B6" i="199"/>
  <c r="H4" i="181"/>
  <c r="J4" i="184"/>
  <c r="O4" i="184"/>
  <c r="K69" i="193"/>
  <c r="Q34" i="195"/>
  <c r="O35" i="180"/>
  <c r="O37" i="202"/>
  <c r="F27" i="202"/>
  <c r="D26" i="202"/>
  <c r="B25" i="202"/>
  <c r="D5" i="193"/>
  <c r="E10" i="202"/>
  <c r="H4" i="185"/>
  <c r="O4" i="185"/>
  <c r="Q4" i="185"/>
  <c r="O19" i="195"/>
  <c r="Q19" i="195"/>
  <c r="O6" i="195"/>
  <c r="H4" i="195"/>
  <c r="G4" i="195"/>
  <c r="I74" i="217"/>
  <c r="I75" i="217"/>
  <c r="I76" i="217"/>
  <c r="J71" i="217"/>
  <c r="Q40" i="180"/>
  <c r="O8" i="188"/>
  <c r="Q8" i="188"/>
  <c r="C29" i="204"/>
  <c r="N4" i="178"/>
  <c r="L4" i="183"/>
  <c r="E38" i="193"/>
  <c r="B23" i="193"/>
  <c r="L4" i="179"/>
  <c r="O7" i="183"/>
  <c r="D5" i="183"/>
  <c r="O6" i="188"/>
  <c r="H4" i="188"/>
  <c r="S26" i="200"/>
  <c r="R25" i="200"/>
  <c r="O8" i="185"/>
  <c r="Q8" i="185"/>
  <c r="O28" i="193"/>
  <c r="O35" i="200"/>
  <c r="D5" i="202"/>
  <c r="H4" i="205"/>
  <c r="O12" i="179"/>
  <c r="Q12" i="179"/>
  <c r="Q5" i="179"/>
  <c r="O6" i="182"/>
  <c r="O6" i="185"/>
  <c r="L4" i="195"/>
  <c r="O10" i="170"/>
  <c r="Q10" i="170"/>
  <c r="K63" i="176"/>
  <c r="L4" i="182"/>
  <c r="E37" i="183"/>
  <c r="O33" i="184"/>
  <c r="H4" i="194"/>
  <c r="O4" i="194"/>
  <c r="Q4" i="194"/>
  <c r="Q35" i="194"/>
  <c r="G2" i="197"/>
  <c r="L4" i="199"/>
  <c r="D5" i="180"/>
  <c r="N4" i="183"/>
  <c r="Q31" i="185"/>
  <c r="Q35" i="193"/>
  <c r="O35" i="193"/>
  <c r="D5" i="195"/>
  <c r="H4" i="200"/>
  <c r="O4" i="200"/>
  <c r="Q4" i="200"/>
  <c r="O15" i="169"/>
  <c r="Q15" i="169"/>
  <c r="Q5" i="169"/>
  <c r="B26" i="227"/>
  <c r="C26" i="227"/>
  <c r="H90" i="275"/>
  <c r="H91" i="275"/>
  <c r="E96" i="252"/>
  <c r="E98" i="252"/>
  <c r="E102" i="252"/>
  <c r="J102" i="261"/>
  <c r="O9" i="202"/>
  <c r="E87" i="207"/>
  <c r="E10" i="209"/>
  <c r="I82" i="213"/>
  <c r="H82" i="213"/>
  <c r="H83" i="213"/>
  <c r="H84" i="213"/>
  <c r="H85" i="213"/>
  <c r="H86" i="213"/>
  <c r="O7" i="195"/>
  <c r="Q7" i="195"/>
  <c r="H4" i="231"/>
  <c r="O4" i="253"/>
  <c r="J4" i="208"/>
  <c r="O43" i="216"/>
  <c r="M48" i="216"/>
  <c r="Q43" i="216"/>
  <c r="G25" i="239"/>
  <c r="H25" i="239"/>
  <c r="Q5" i="252"/>
  <c r="D5" i="226"/>
  <c r="L67" i="234"/>
  <c r="H55" i="275"/>
  <c r="O6" i="193"/>
  <c r="O15" i="207"/>
  <c r="O29" i="209"/>
  <c r="F27" i="209"/>
  <c r="D26" i="209"/>
  <c r="B25" i="209"/>
  <c r="D5" i="217"/>
  <c r="D40" i="226"/>
  <c r="F26" i="227"/>
  <c r="D25" i="227"/>
  <c r="O33" i="227"/>
  <c r="I52" i="250"/>
  <c r="J52" i="250"/>
  <c r="E30" i="249"/>
  <c r="H88" i="205"/>
  <c r="E10" i="227"/>
  <c r="N66" i="205"/>
  <c r="M68" i="205"/>
  <c r="G88" i="205"/>
  <c r="H4" i="213"/>
  <c r="M67" i="205"/>
  <c r="H89" i="205"/>
  <c r="H4" i="208"/>
  <c r="Q5" i="226"/>
  <c r="O33" i="234"/>
  <c r="J4" i="203"/>
  <c r="O4" i="203"/>
  <c r="Q4" i="203"/>
  <c r="O36" i="208"/>
  <c r="O6" i="216"/>
  <c r="H4" i="216"/>
  <c r="D5" i="228"/>
  <c r="F27" i="243"/>
  <c r="D26" i="243"/>
  <c r="B25" i="243"/>
  <c r="Q41" i="243"/>
  <c r="E9" i="261"/>
  <c r="S8" i="275"/>
  <c r="U8" i="275"/>
  <c r="I4" i="275"/>
  <c r="S7" i="275"/>
  <c r="U7" i="275"/>
  <c r="K54" i="276"/>
  <c r="K57" i="276"/>
  <c r="M52" i="276"/>
  <c r="L4" i="237"/>
  <c r="M4" i="237"/>
  <c r="L4" i="243"/>
  <c r="J79" i="261"/>
  <c r="J96" i="261"/>
  <c r="H53" i="276"/>
  <c r="K62" i="276"/>
  <c r="H50" i="276"/>
  <c r="G73" i="208"/>
  <c r="E10" i="228"/>
  <c r="E9" i="243"/>
  <c r="S23" i="275"/>
  <c r="U23" i="275"/>
  <c r="B57" i="287"/>
  <c r="C58" i="287"/>
  <c r="C61" i="287"/>
  <c r="C69" i="287"/>
  <c r="B30" i="249"/>
  <c r="E8" i="249"/>
  <c r="C5" i="251"/>
  <c r="C16" i="251"/>
  <c r="F2" i="251"/>
  <c r="O22" i="234"/>
  <c r="Q22" i="234"/>
  <c r="Q46" i="238"/>
  <c r="F28" i="252"/>
  <c r="D27" i="252"/>
  <c r="B26" i="252"/>
  <c r="O34" i="252"/>
  <c r="O15" i="227"/>
  <c r="G26" i="239"/>
  <c r="H26" i="239"/>
  <c r="D5" i="247"/>
  <c r="O41" i="243"/>
  <c r="O41" i="253"/>
  <c r="O40" i="253"/>
  <c r="O21" i="252"/>
  <c r="I52" i="261"/>
  <c r="I54" i="261"/>
  <c r="S45" i="275"/>
  <c r="Q42" i="227"/>
  <c r="O46" i="238"/>
  <c r="B29" i="239"/>
  <c r="B30" i="239"/>
  <c r="L4" i="238"/>
  <c r="B20" i="265"/>
  <c r="E20" i="265"/>
  <c r="E45" i="261"/>
  <c r="S6" i="275"/>
  <c r="D5" i="275"/>
  <c r="D5" i="243"/>
  <c r="B13" i="264"/>
  <c r="H51" i="276"/>
  <c r="K56" i="276"/>
  <c r="E38" i="281"/>
  <c r="B24" i="265"/>
  <c r="B13" i="273"/>
  <c r="O7" i="231"/>
  <c r="B111" i="251"/>
  <c r="O5" i="252"/>
  <c r="J4" i="252"/>
  <c r="K8" i="271"/>
  <c r="L8" i="271" s="1"/>
  <c r="H49" i="276"/>
  <c r="K55" i="276"/>
  <c r="E40" i="281"/>
  <c r="O40" i="281"/>
  <c r="E42" i="281"/>
  <c r="O42" i="281"/>
  <c r="E45" i="252"/>
  <c r="E12" i="265"/>
  <c r="B50" i="287"/>
  <c r="C51" i="287"/>
  <c r="O5" i="282"/>
  <c r="Q7" i="282"/>
  <c r="S7" i="282"/>
  <c r="E52" i="289"/>
  <c r="E55" i="289" s="1"/>
  <c r="E57" i="289" s="1"/>
  <c r="F53" i="282"/>
  <c r="O4" i="282"/>
  <c r="G74" i="129"/>
  <c r="K4" i="42"/>
  <c r="I12" i="77"/>
  <c r="I13" i="77"/>
  <c r="I21" i="77"/>
  <c r="G50" i="77"/>
  <c r="G51" i="77"/>
  <c r="B30" i="163"/>
  <c r="F38" i="163"/>
  <c r="B24" i="157"/>
  <c r="C24" i="157"/>
  <c r="B6" i="157"/>
  <c r="D31" i="157"/>
  <c r="B5" i="157"/>
  <c r="B31" i="157"/>
  <c r="C6" i="157"/>
  <c r="N14" i="41"/>
  <c r="H34" i="48"/>
  <c r="G34" i="48"/>
  <c r="N34" i="48"/>
  <c r="B10" i="68"/>
  <c r="G10" i="68"/>
  <c r="G38" i="68"/>
  <c r="G35" i="56"/>
  <c r="G34" i="56"/>
  <c r="J8" i="2"/>
  <c r="I8" i="2"/>
  <c r="R4" i="184"/>
  <c r="R3" i="184"/>
  <c r="B30" i="148"/>
  <c r="F39" i="148"/>
  <c r="K5" i="205"/>
  <c r="O4" i="205"/>
  <c r="R4" i="209"/>
  <c r="Q4" i="209"/>
  <c r="S6" i="183"/>
  <c r="R4" i="183"/>
  <c r="T3" i="275"/>
  <c r="S4" i="275"/>
  <c r="E41" i="276"/>
  <c r="O41" i="276"/>
  <c r="B4" i="193"/>
  <c r="B5" i="193"/>
  <c r="B32" i="193"/>
  <c r="C6" i="193"/>
  <c r="B4" i="228"/>
  <c r="B5" i="228"/>
  <c r="B40" i="228"/>
  <c r="D40" i="228"/>
  <c r="C6" i="228"/>
  <c r="F34" i="194"/>
  <c r="B31" i="194"/>
  <c r="Q6" i="216"/>
  <c r="Q5" i="216"/>
  <c r="O5" i="216"/>
  <c r="F41" i="226"/>
  <c r="B39" i="226"/>
  <c r="B4" i="195"/>
  <c r="C6" i="195"/>
  <c r="B5" i="195"/>
  <c r="B31" i="195"/>
  <c r="Q6" i="188"/>
  <c r="Q5" i="188"/>
  <c r="O5" i="188"/>
  <c r="F2" i="181"/>
  <c r="E2" i="181"/>
  <c r="O4" i="181"/>
  <c r="D33" i="180"/>
  <c r="B25" i="180"/>
  <c r="B6" i="180"/>
  <c r="C25" i="180"/>
  <c r="Q5" i="155"/>
  <c r="S4" i="150"/>
  <c r="S5" i="150"/>
  <c r="P1" i="150"/>
  <c r="O3" i="150"/>
  <c r="Q33" i="150"/>
  <c r="Q31" i="150"/>
  <c r="Q45" i="150"/>
  <c r="O24" i="150"/>
  <c r="O23" i="150"/>
  <c r="O31" i="150"/>
  <c r="H50" i="48"/>
  <c r="G50" i="48"/>
  <c r="J37" i="84"/>
  <c r="K37" i="84"/>
  <c r="F43" i="213"/>
  <c r="B41" i="213"/>
  <c r="B28" i="146"/>
  <c r="F37" i="146"/>
  <c r="N24" i="134"/>
  <c r="N23" i="134"/>
  <c r="N42" i="134"/>
  <c r="J11" i="2"/>
  <c r="I11" i="2"/>
  <c r="L11" i="2"/>
  <c r="O11" i="2"/>
  <c r="M4" i="243"/>
  <c r="O4" i="243"/>
  <c r="N58" i="213"/>
  <c r="O4" i="213"/>
  <c r="B5" i="217"/>
  <c r="B39" i="217"/>
  <c r="C6" i="217"/>
  <c r="B4" i="217"/>
  <c r="Q9" i="202"/>
  <c r="Q5" i="202"/>
  <c r="O5" i="202"/>
  <c r="L37" i="195"/>
  <c r="K4" i="195"/>
  <c r="M4" i="195"/>
  <c r="M5" i="195"/>
  <c r="B22" i="148"/>
  <c r="Q19" i="163"/>
  <c r="Q5" i="163"/>
  <c r="O5" i="163"/>
  <c r="O5" i="155"/>
  <c r="O5" i="148"/>
  <c r="Q6" i="148"/>
  <c r="Q5" i="148"/>
  <c r="Q35" i="149"/>
  <c r="Q31" i="149"/>
  <c r="Q45" i="149"/>
  <c r="O24" i="149"/>
  <c r="O23" i="149"/>
  <c r="O31" i="149"/>
  <c r="O45" i="149"/>
  <c r="B5" i="138"/>
  <c r="B30" i="138"/>
  <c r="C6" i="138"/>
  <c r="H34" i="36"/>
  <c r="G34" i="36"/>
  <c r="G10" i="86"/>
  <c r="G40" i="86"/>
  <c r="K8" i="2"/>
  <c r="L8" i="2"/>
  <c r="O8" i="2"/>
  <c r="B10" i="60"/>
  <c r="G10" i="60"/>
  <c r="G34" i="60"/>
  <c r="O5" i="179"/>
  <c r="O31" i="163"/>
  <c r="Q5" i="234"/>
  <c r="O41" i="172"/>
  <c r="O39" i="253"/>
  <c r="Q39" i="253"/>
  <c r="Q38" i="253"/>
  <c r="Q48" i="253"/>
  <c r="O30" i="253"/>
  <c r="O27" i="253"/>
  <c r="O26" i="253"/>
  <c r="B39" i="208"/>
  <c r="F41" i="208"/>
  <c r="E27" i="111"/>
  <c r="E29" i="111"/>
  <c r="K29" i="111"/>
  <c r="L29" i="111"/>
  <c r="Q7" i="231"/>
  <c r="Q5" i="231"/>
  <c r="O5" i="231"/>
  <c r="M4" i="238"/>
  <c r="O4" i="238"/>
  <c r="N78" i="237"/>
  <c r="C6" i="247"/>
  <c r="B4" i="247"/>
  <c r="E80" i="243" a="1"/>
  <c r="E80" i="243"/>
  <c r="E81" i="243"/>
  <c r="G80" i="243"/>
  <c r="B5" i="247"/>
  <c r="B38" i="247"/>
  <c r="Q6" i="185"/>
  <c r="Q5" i="185"/>
  <c r="O5" i="185"/>
  <c r="B5" i="183"/>
  <c r="B32" i="183"/>
  <c r="C6" i="183"/>
  <c r="B4" i="183"/>
  <c r="Q6" i="195"/>
  <c r="Q5" i="195"/>
  <c r="O5" i="195"/>
  <c r="F36" i="199"/>
  <c r="B33" i="199"/>
  <c r="R38" i="143"/>
  <c r="P38" i="143"/>
  <c r="B24" i="153"/>
  <c r="B6" i="153"/>
  <c r="D31" i="153"/>
  <c r="C24" i="153"/>
  <c r="B2" i="79"/>
  <c r="B9" i="79"/>
  <c r="G9" i="79"/>
  <c r="B10" i="65"/>
  <c r="G10" i="65"/>
  <c r="G37" i="65"/>
  <c r="B10" i="88"/>
  <c r="G10" i="88"/>
  <c r="G41" i="88"/>
  <c r="B2" i="88"/>
  <c r="J4" i="42"/>
  <c r="J2" i="42"/>
  <c r="J9" i="42"/>
  <c r="K9" i="42"/>
  <c r="J12" i="42"/>
  <c r="K12" i="42"/>
  <c r="J5" i="42"/>
  <c r="K5" i="42"/>
  <c r="J7" i="42"/>
  <c r="K7" i="42"/>
  <c r="J13" i="42"/>
  <c r="J3" i="42"/>
  <c r="J10" i="42"/>
  <c r="J8" i="42"/>
  <c r="K8" i="42"/>
  <c r="J6" i="42"/>
  <c r="K6" i="42"/>
  <c r="J11" i="42"/>
  <c r="B31" i="169"/>
  <c r="F38" i="169"/>
  <c r="B4" i="25"/>
  <c r="B2" i="25"/>
  <c r="H6" i="25"/>
  <c r="O39" i="181"/>
  <c r="F33" i="181"/>
  <c r="Q39" i="181"/>
  <c r="Q33" i="181"/>
  <c r="Q42" i="181"/>
  <c r="O25" i="181"/>
  <c r="O24" i="181"/>
  <c r="D39" i="217"/>
  <c r="O41" i="229"/>
  <c r="F40" i="229"/>
  <c r="Q41" i="229"/>
  <c r="Q40" i="229"/>
  <c r="Q44" i="229"/>
  <c r="O29" i="229"/>
  <c r="O26" i="229"/>
  <c r="O25" i="229"/>
  <c r="B4" i="180"/>
  <c r="B5" i="180"/>
  <c r="B33" i="180"/>
  <c r="C6" i="180"/>
  <c r="I7" i="90"/>
  <c r="I4" i="90"/>
  <c r="G4" i="90"/>
  <c r="F40" i="179"/>
  <c r="B33" i="179"/>
  <c r="B27" i="248"/>
  <c r="F30" i="248"/>
  <c r="Q37" i="155"/>
  <c r="O31" i="155"/>
  <c r="B4" i="243"/>
  <c r="B5" i="243"/>
  <c r="B39" i="243"/>
  <c r="C6" i="243"/>
  <c r="D39" i="243"/>
  <c r="B69" i="287"/>
  <c r="C70" i="287"/>
  <c r="C73" i="287"/>
  <c r="Q6" i="182"/>
  <c r="Q5" i="182"/>
  <c r="O5" i="182"/>
  <c r="Q7" i="183"/>
  <c r="Q5" i="183"/>
  <c r="O5" i="183"/>
  <c r="B24" i="195"/>
  <c r="D31" i="195"/>
  <c r="C24" i="195"/>
  <c r="B6" i="195"/>
  <c r="P1" i="153"/>
  <c r="O3" i="153"/>
  <c r="S4" i="153"/>
  <c r="B5" i="147"/>
  <c r="B31" i="147"/>
  <c r="D31" i="147"/>
  <c r="C6" i="147"/>
  <c r="Q21" i="138"/>
  <c r="Q20" i="138"/>
  <c r="P1" i="156"/>
  <c r="O3" i="156"/>
  <c r="S4" i="156"/>
  <c r="N8" i="132"/>
  <c r="N5" i="132"/>
  <c r="L24" i="132"/>
  <c r="L5" i="132"/>
  <c r="I18" i="99"/>
  <c r="I5" i="99"/>
  <c r="B11" i="99"/>
  <c r="G11" i="99"/>
  <c r="G48" i="99"/>
  <c r="G14" i="99"/>
  <c r="G13" i="99"/>
  <c r="B2" i="84"/>
  <c r="B9" i="84"/>
  <c r="G9" i="84"/>
  <c r="G45" i="84"/>
  <c r="B14" i="23"/>
  <c r="H14" i="23"/>
  <c r="G9" i="82"/>
  <c r="G44" i="82"/>
  <c r="O41" i="176"/>
  <c r="D3" i="176"/>
  <c r="F32" i="160"/>
  <c r="O38" i="160"/>
  <c r="Q38" i="160"/>
  <c r="Q32" i="160"/>
  <c r="Q42" i="160"/>
  <c r="O25" i="160"/>
  <c r="O24" i="160"/>
  <c r="O42" i="160"/>
  <c r="E51" i="233"/>
  <c r="M51" i="252"/>
  <c r="K51" i="252"/>
  <c r="K52" i="252"/>
  <c r="B5" i="275"/>
  <c r="B41" i="275"/>
  <c r="B4" i="275"/>
  <c r="C6" i="275"/>
  <c r="Q15" i="227"/>
  <c r="Q5" i="227"/>
  <c r="O5" i="227"/>
  <c r="O4" i="252"/>
  <c r="C6" i="162"/>
  <c r="B5" i="162"/>
  <c r="B31" i="162"/>
  <c r="B4" i="162"/>
  <c r="D31" i="162"/>
  <c r="B5" i="159"/>
  <c r="B32" i="159"/>
  <c r="B4" i="159"/>
  <c r="C6" i="159"/>
  <c r="Q7" i="138"/>
  <c r="Q5" i="138"/>
  <c r="O5" i="138"/>
  <c r="O37" i="153"/>
  <c r="H54" i="153"/>
  <c r="F31" i="155"/>
  <c r="B12" i="25"/>
  <c r="H12" i="25"/>
  <c r="J12" i="25"/>
  <c r="E49" i="123"/>
  <c r="M49" i="123"/>
  <c r="H13" i="42"/>
  <c r="K13" i="42"/>
  <c r="F37" i="175"/>
  <c r="B31" i="175"/>
  <c r="O32" i="169"/>
  <c r="Q44" i="178"/>
  <c r="O25" i="178"/>
  <c r="O24" i="178"/>
  <c r="Q33" i="185"/>
  <c r="O25" i="185"/>
  <c r="B42" i="238"/>
  <c r="F44" i="238"/>
  <c r="F40" i="203"/>
  <c r="B38" i="203"/>
  <c r="B39" i="231"/>
  <c r="F41" i="231"/>
  <c r="O42" i="234"/>
  <c r="F41" i="234"/>
  <c r="Q42" i="234"/>
  <c r="Q41" i="234"/>
  <c r="G66" i="52"/>
  <c r="D32" i="159"/>
  <c r="H18" i="36"/>
  <c r="G18" i="36"/>
  <c r="N18" i="36"/>
  <c r="N5" i="126"/>
  <c r="N43" i="126"/>
  <c r="K3" i="42"/>
  <c r="B4" i="46"/>
  <c r="H10" i="270"/>
  <c r="G11" i="270"/>
  <c r="Q44" i="236"/>
  <c r="Q43" i="236"/>
  <c r="Q47" i="236"/>
  <c r="O31" i="236"/>
  <c r="O28" i="236"/>
  <c r="O27" i="236"/>
  <c r="F43" i="236"/>
  <c r="O44" i="236"/>
  <c r="Q32" i="148"/>
  <c r="O31" i="148"/>
  <c r="Q31" i="155"/>
  <c r="Q46" i="155"/>
  <c r="O24" i="155"/>
  <c r="O23" i="155"/>
  <c r="G11" i="98"/>
  <c r="G39" i="98"/>
  <c r="K7" i="2"/>
  <c r="J7" i="2"/>
  <c r="I7" i="2"/>
  <c r="L7" i="2"/>
  <c r="O7" i="2"/>
  <c r="L5" i="126"/>
  <c r="L43" i="126"/>
  <c r="Q42" i="144"/>
  <c r="O24" i="144"/>
  <c r="O23" i="144"/>
  <c r="O42" i="144"/>
  <c r="N23" i="52"/>
  <c r="I18" i="52"/>
  <c r="J18" i="52"/>
  <c r="M36" i="122"/>
  <c r="O40" i="122"/>
  <c r="O36" i="122"/>
  <c r="O43" i="122"/>
  <c r="S53" i="229"/>
  <c r="T52" i="229"/>
  <c r="H4" i="46"/>
  <c r="G9" i="81"/>
  <c r="B27" i="187"/>
  <c r="F30" i="187"/>
  <c r="O37" i="184"/>
  <c r="D3" i="184"/>
  <c r="F38" i="168"/>
  <c r="B31" i="168"/>
  <c r="O4" i="237"/>
  <c r="D3" i="247"/>
  <c r="B3" i="99"/>
  <c r="O5" i="193"/>
  <c r="Q6" i="193"/>
  <c r="Q5" i="193"/>
  <c r="B4" i="164"/>
  <c r="B5" i="164"/>
  <c r="B32" i="164"/>
  <c r="D32" i="164"/>
  <c r="C6" i="164"/>
  <c r="O4" i="231"/>
  <c r="I4" i="231"/>
  <c r="B5" i="155"/>
  <c r="B31" i="155"/>
  <c r="C6" i="155"/>
  <c r="Q12" i="166"/>
  <c r="Q5" i="166"/>
  <c r="O5" i="166"/>
  <c r="Q5" i="180"/>
  <c r="Q6" i="141"/>
  <c r="Q5" i="141"/>
  <c r="O5" i="141"/>
  <c r="Q8" i="145"/>
  <c r="Q5" i="145"/>
  <c r="O5" i="145"/>
  <c r="P7" i="143"/>
  <c r="R7" i="143"/>
  <c r="R5" i="143"/>
  <c r="Q6" i="157"/>
  <c r="Q5" i="157"/>
  <c r="O5" i="157"/>
  <c r="J8" i="50"/>
  <c r="J11" i="50"/>
  <c r="H4" i="50"/>
  <c r="F31" i="149"/>
  <c r="O41" i="149"/>
  <c r="Q41" i="149"/>
  <c r="K44" i="118"/>
  <c r="G45" i="81"/>
  <c r="O32" i="167"/>
  <c r="D30" i="138"/>
  <c r="F36" i="138"/>
  <c r="B10" i="46"/>
  <c r="H10" i="46"/>
  <c r="H28" i="46"/>
  <c r="F40" i="201"/>
  <c r="B38" i="201"/>
  <c r="O36" i="200"/>
  <c r="F34" i="200"/>
  <c r="Q36" i="200"/>
  <c r="O5" i="234"/>
  <c r="D38" i="247"/>
  <c r="D42" i="209"/>
  <c r="U6" i="275"/>
  <c r="U5" i="275"/>
  <c r="S5" i="275"/>
  <c r="O41" i="173"/>
  <c r="D3" i="173"/>
  <c r="B31" i="276"/>
  <c r="F33" i="276"/>
  <c r="B4" i="202"/>
  <c r="B5" i="202"/>
  <c r="B40" i="202"/>
  <c r="C6" i="202"/>
  <c r="D40" i="202"/>
  <c r="Q34" i="166"/>
  <c r="O32" i="166"/>
  <c r="P33" i="143"/>
  <c r="R33" i="143"/>
  <c r="O31" i="143"/>
  <c r="G32" i="105"/>
  <c r="G16" i="105"/>
  <c r="I33" i="105"/>
  <c r="I5" i="105"/>
  <c r="Q15" i="207"/>
  <c r="Q5" i="207"/>
  <c r="Q45" i="207"/>
  <c r="O33" i="207"/>
  <c r="O28" i="207"/>
  <c r="S11" i="207"/>
  <c r="S12" i="207"/>
  <c r="O5" i="207"/>
  <c r="O34" i="200"/>
  <c r="Q35" i="200"/>
  <c r="Q34" i="200"/>
  <c r="Q39" i="200"/>
  <c r="B25" i="265"/>
  <c r="B26" i="265"/>
  <c r="B6" i="252"/>
  <c r="D39" i="252"/>
  <c r="B5" i="252"/>
  <c r="B39" i="252"/>
  <c r="C28" i="252"/>
  <c r="C6" i="252"/>
  <c r="B28" i="252"/>
  <c r="O38" i="281"/>
  <c r="E38" i="282"/>
  <c r="E43" i="281"/>
  <c r="E44" i="281"/>
  <c r="I4" i="208"/>
  <c r="O4" i="208"/>
  <c r="Q4" i="208"/>
  <c r="Q35" i="180"/>
  <c r="O33" i="180"/>
  <c r="O5" i="180"/>
  <c r="C6" i="140"/>
  <c r="B5" i="140"/>
  <c r="B30" i="140"/>
  <c r="D30" i="140"/>
  <c r="F36" i="140"/>
  <c r="B4" i="145"/>
  <c r="D33" i="145"/>
  <c r="B5" i="145"/>
  <c r="B33" i="145"/>
  <c r="C6" i="145"/>
  <c r="E43" i="124"/>
  <c r="K43" i="124"/>
  <c r="K45" i="124"/>
  <c r="G45" i="105"/>
  <c r="I10" i="42"/>
  <c r="I14" i="42"/>
  <c r="O5" i="143"/>
  <c r="Q7" i="2"/>
  <c r="Q8" i="2"/>
  <c r="Q9" i="2"/>
  <c r="Q10" i="2"/>
  <c r="Q11" i="2"/>
  <c r="Q12" i="2"/>
  <c r="Q13" i="2"/>
  <c r="Q32" i="167"/>
  <c r="Q42" i="167"/>
  <c r="O25" i="167"/>
  <c r="O24" i="167"/>
  <c r="F36" i="186"/>
  <c r="B33" i="186"/>
  <c r="Q41" i="173"/>
  <c r="O25" i="173"/>
  <c r="O24" i="173"/>
  <c r="C28" i="261"/>
  <c r="D39" i="261"/>
  <c r="B6" i="261"/>
  <c r="C6" i="261"/>
  <c r="B5" i="261"/>
  <c r="B39" i="261"/>
  <c r="B28" i="261"/>
  <c r="H48" i="179"/>
  <c r="Q4" i="179"/>
  <c r="O55" i="179"/>
  <c r="G35" i="57"/>
  <c r="C25" i="193"/>
  <c r="B6" i="193"/>
  <c r="B25" i="193"/>
  <c r="D32" i="193"/>
  <c r="Q33" i="184"/>
  <c r="Q32" i="184"/>
  <c r="Q37" i="184"/>
  <c r="O25" i="184"/>
  <c r="O24" i="184"/>
  <c r="O32" i="184"/>
  <c r="Q32" i="157"/>
  <c r="O31" i="157"/>
  <c r="K52" i="250"/>
  <c r="R52" i="250"/>
  <c r="C6" i="226"/>
  <c r="B5" i="226"/>
  <c r="B40" i="226"/>
  <c r="B4" i="226"/>
  <c r="D32" i="183"/>
  <c r="B6" i="183"/>
  <c r="B25" i="183"/>
  <c r="C25" i="183"/>
  <c r="Q33" i="162"/>
  <c r="O31" i="162"/>
  <c r="O5" i="156"/>
  <c r="Q6" i="156"/>
  <c r="Q5" i="156"/>
  <c r="P21" i="136"/>
  <c r="P20" i="136"/>
  <c r="P39" i="136"/>
  <c r="N21" i="136"/>
  <c r="N20" i="136"/>
  <c r="R20" i="136"/>
  <c r="G4" i="47"/>
  <c r="G28" i="47"/>
  <c r="G29" i="47"/>
  <c r="E42" i="121"/>
  <c r="M42" i="121"/>
  <c r="G41" i="98"/>
  <c r="B10" i="87"/>
  <c r="G10" i="87"/>
  <c r="G39" i="87"/>
  <c r="B2" i="87"/>
  <c r="B39" i="230"/>
  <c r="F41" i="230"/>
  <c r="F35" i="188"/>
  <c r="O37" i="188"/>
  <c r="Q37" i="188"/>
  <c r="Q35" i="188"/>
  <c r="Q40" i="188"/>
  <c r="O25" i="188"/>
  <c r="F41" i="216"/>
  <c r="O42" i="216"/>
  <c r="Q42" i="216"/>
  <c r="Q41" i="216"/>
  <c r="Q6" i="147"/>
  <c r="Q5" i="147"/>
  <c r="O5" i="147"/>
  <c r="B42" i="266"/>
  <c r="F44" i="266"/>
  <c r="R4" i="226"/>
  <c r="Q4" i="226"/>
  <c r="B4" i="153"/>
  <c r="B5" i="153"/>
  <c r="B31" i="153"/>
  <c r="C6" i="153"/>
  <c r="B5" i="166"/>
  <c r="B32" i="166"/>
  <c r="D32" i="166"/>
  <c r="C6" i="166"/>
  <c r="Q35" i="159"/>
  <c r="O32" i="159"/>
  <c r="O3" i="157"/>
  <c r="P1" i="157"/>
  <c r="O36" i="141"/>
  <c r="Q36" i="141"/>
  <c r="Q30" i="141"/>
  <c r="Q39" i="141"/>
  <c r="O21" i="141"/>
  <c r="O20" i="141"/>
  <c r="F30" i="141"/>
  <c r="O41" i="170"/>
  <c r="H18" i="23"/>
  <c r="O45" i="150"/>
  <c r="F41" i="233"/>
  <c r="B39" i="233"/>
  <c r="Q38" i="170"/>
  <c r="Q32" i="170"/>
  <c r="Q41" i="170"/>
  <c r="O25" i="170"/>
  <c r="O24" i="170"/>
  <c r="D3" i="170"/>
  <c r="F32" i="170"/>
  <c r="O38" i="170"/>
  <c r="C59" i="251"/>
  <c r="B71" i="251"/>
  <c r="K11" i="42"/>
  <c r="J44" i="199"/>
  <c r="L43" i="199"/>
  <c r="N47" i="199"/>
  <c r="L45" i="199"/>
  <c r="B5" i="156"/>
  <c r="B31" i="156"/>
  <c r="C6" i="156"/>
  <c r="K4" i="208"/>
  <c r="K53" i="208"/>
  <c r="Q24" i="159"/>
  <c r="Q25" i="159"/>
  <c r="D31" i="156"/>
  <c r="I4" i="216"/>
  <c r="O4" i="216"/>
  <c r="B24" i="227"/>
  <c r="D40" i="227"/>
  <c r="O52" i="188"/>
  <c r="O55" i="188"/>
  <c r="M58" i="188"/>
  <c r="N58" i="188"/>
  <c r="F2" i="188"/>
  <c r="F3" i="188"/>
  <c r="K48" i="188"/>
  <c r="G38" i="188"/>
  <c r="Q6" i="164"/>
  <c r="Q5" i="164"/>
  <c r="O5" i="164"/>
  <c r="Q8" i="158"/>
  <c r="Q5" i="158"/>
  <c r="Q42" i="158"/>
  <c r="O25" i="158"/>
  <c r="O24" i="158"/>
  <c r="O5" i="158"/>
  <c r="O5" i="168"/>
  <c r="Q6" i="168"/>
  <c r="Q5" i="168"/>
  <c r="B30" i="155"/>
  <c r="F4" i="38"/>
  <c r="F29" i="38"/>
  <c r="F28" i="38"/>
  <c r="F69" i="118"/>
  <c r="E69" i="118"/>
  <c r="D69" i="118"/>
  <c r="G34" i="55"/>
  <c r="B32" i="182"/>
  <c r="F38" i="182"/>
  <c r="J12" i="2"/>
  <c r="I12" i="2"/>
  <c r="L12" i="2"/>
  <c r="O12" i="2"/>
  <c r="H20" i="23"/>
  <c r="F44" i="237"/>
  <c r="B42" i="237"/>
  <c r="D41" i="275"/>
  <c r="O5" i="169"/>
  <c r="Q5" i="282"/>
  <c r="L23" i="132"/>
  <c r="N24" i="132"/>
  <c r="O41" i="230"/>
  <c r="G48" i="230"/>
  <c r="F40" i="230"/>
  <c r="Q41" i="230"/>
  <c r="Q40" i="230"/>
  <c r="Q44" i="230"/>
  <c r="O29" i="230"/>
  <c r="O26" i="230"/>
  <c r="O25" i="230"/>
  <c r="L64" i="208"/>
  <c r="K54" i="208"/>
  <c r="J70" i="208"/>
  <c r="B39" i="202"/>
  <c r="F41" i="202"/>
  <c r="S28" i="188"/>
  <c r="O24" i="188"/>
  <c r="L48" i="200"/>
  <c r="J55" i="200"/>
  <c r="O27" i="200"/>
  <c r="O24" i="200"/>
  <c r="Q41" i="231"/>
  <c r="Q40" i="231"/>
  <c r="Q44" i="231"/>
  <c r="O29" i="231"/>
  <c r="O26" i="231"/>
  <c r="O25" i="231"/>
  <c r="D3" i="231"/>
  <c r="O41" i="231"/>
  <c r="F40" i="231"/>
  <c r="O44" i="229"/>
  <c r="D3" i="229"/>
  <c r="G36" i="65"/>
  <c r="G37" i="68"/>
  <c r="F39" i="201"/>
  <c r="Q40" i="201"/>
  <c r="Q39" i="201"/>
  <c r="Q43" i="201"/>
  <c r="O30" i="201"/>
  <c r="O26" i="201"/>
  <c r="O40" i="201"/>
  <c r="B31" i="166"/>
  <c r="F38" i="166"/>
  <c r="O47" i="236"/>
  <c r="D3" i="236"/>
  <c r="F42" i="275"/>
  <c r="B40" i="275"/>
  <c r="N39" i="136"/>
  <c r="S52" i="250"/>
  <c r="F10" i="250"/>
  <c r="H10" i="42"/>
  <c r="K10" i="42"/>
  <c r="M27" i="122"/>
  <c r="E41" i="122"/>
  <c r="M41" i="122"/>
  <c r="Q31" i="148"/>
  <c r="Q43" i="148"/>
  <c r="O24" i="148"/>
  <c r="O23" i="148"/>
  <c r="O43" i="148"/>
  <c r="N23" i="36"/>
  <c r="I18" i="36"/>
  <c r="J18" i="36"/>
  <c r="M18" i="36"/>
  <c r="M45" i="123"/>
  <c r="O49" i="123"/>
  <c r="O45" i="123"/>
  <c r="O52" i="123"/>
  <c r="Q29" i="248"/>
  <c r="Q28" i="248"/>
  <c r="Q33" i="248"/>
  <c r="O29" i="248"/>
  <c r="G50" i="79"/>
  <c r="G49" i="79"/>
  <c r="I54" i="231"/>
  <c r="Q4" i="213"/>
  <c r="R4" i="213"/>
  <c r="N39" i="48"/>
  <c r="I34" i="48"/>
  <c r="J34" i="48"/>
  <c r="O40" i="179"/>
  <c r="F34" i="179"/>
  <c r="Q40" i="179"/>
  <c r="Q34" i="179"/>
  <c r="Q43" i="179"/>
  <c r="O25" i="179"/>
  <c r="O24" i="179"/>
  <c r="O43" i="179"/>
  <c r="Q36" i="138"/>
  <c r="Q30" i="138"/>
  <c r="Q39" i="138"/>
  <c r="O21" i="138"/>
  <c r="O20" i="138"/>
  <c r="O36" i="138"/>
  <c r="O44" i="266"/>
  <c r="Q44" i="266"/>
  <c r="Q43" i="266"/>
  <c r="Q49" i="266"/>
  <c r="O31" i="266"/>
  <c r="O29" i="266"/>
  <c r="O28" i="266"/>
  <c r="F41" i="227"/>
  <c r="B39" i="227"/>
  <c r="O41" i="233"/>
  <c r="F40" i="233"/>
  <c r="Q41" i="233"/>
  <c r="Q40" i="233"/>
  <c r="Q44" i="233"/>
  <c r="O29" i="233"/>
  <c r="O26" i="233"/>
  <c r="O25" i="233"/>
  <c r="D3" i="207"/>
  <c r="O45" i="207"/>
  <c r="R40" i="122"/>
  <c r="H28" i="25"/>
  <c r="F33" i="195"/>
  <c r="B30" i="195"/>
  <c r="B38" i="243"/>
  <c r="F40" i="243"/>
  <c r="D3" i="185"/>
  <c r="D3" i="179"/>
  <c r="N57" i="213"/>
  <c r="N56" i="213"/>
  <c r="N59" i="213"/>
  <c r="Q37" i="146"/>
  <c r="Q29" i="146"/>
  <c r="Q40" i="146"/>
  <c r="O22" i="146"/>
  <c r="O21" i="146"/>
  <c r="O40" i="146"/>
  <c r="F29" i="146"/>
  <c r="O37" i="146"/>
  <c r="Q41" i="226"/>
  <c r="Q40" i="226"/>
  <c r="Q44" i="226"/>
  <c r="O29" i="226"/>
  <c r="O26" i="226"/>
  <c r="O25" i="226"/>
  <c r="O41" i="226"/>
  <c r="F40" i="226"/>
  <c r="O38" i="163"/>
  <c r="Q38" i="163"/>
  <c r="Q31" i="163"/>
  <c r="Q42" i="163"/>
  <c r="O24" i="163"/>
  <c r="O23" i="163"/>
  <c r="F31" i="163"/>
  <c r="G33" i="60"/>
  <c r="O46" i="155"/>
  <c r="D3" i="216"/>
  <c r="O45" i="216"/>
  <c r="J17" i="2"/>
  <c r="C6" i="281"/>
  <c r="B5" i="281"/>
  <c r="B32" i="281"/>
  <c r="C28" i="281"/>
  <c r="B6" i="281"/>
  <c r="F31" i="281"/>
  <c r="B28" i="281"/>
  <c r="F40" i="217"/>
  <c r="B38" i="217"/>
  <c r="F40" i="208"/>
  <c r="O41" i="208"/>
  <c r="Q41" i="208"/>
  <c r="Q40" i="208"/>
  <c r="Q45" i="208"/>
  <c r="O33" i="208"/>
  <c r="O28" i="208"/>
  <c r="G36" i="90"/>
  <c r="O42" i="181"/>
  <c r="D3" i="181"/>
  <c r="Q33" i="276"/>
  <c r="Q32" i="276"/>
  <c r="Q44" i="276"/>
  <c r="O29" i="276"/>
  <c r="O33" i="276"/>
  <c r="F39" i="203"/>
  <c r="O40" i="203"/>
  <c r="Q40" i="203"/>
  <c r="Q39" i="203"/>
  <c r="Q44" i="203"/>
  <c r="O32" i="203"/>
  <c r="O27" i="203"/>
  <c r="Q38" i="168"/>
  <c r="Q32" i="168"/>
  <c r="Q42" i="168"/>
  <c r="O25" i="168"/>
  <c r="O24" i="168"/>
  <c r="D3" i="168"/>
  <c r="F32" i="168"/>
  <c r="O38" i="168"/>
  <c r="E47" i="282"/>
  <c r="E48" i="282"/>
  <c r="Q37" i="153"/>
  <c r="O31" i="153"/>
  <c r="F39" i="180"/>
  <c r="B32" i="180"/>
  <c r="Q34" i="194"/>
  <c r="Q32" i="194"/>
  <c r="Q37" i="194"/>
  <c r="O25" i="194"/>
  <c r="O24" i="194"/>
  <c r="O34" i="194"/>
  <c r="F32" i="194"/>
  <c r="F42" i="213"/>
  <c r="O43" i="213"/>
  <c r="E54" i="213"/>
  <c r="E55" i="213"/>
  <c r="E56" i="213"/>
  <c r="E57" i="213"/>
  <c r="E58" i="213"/>
  <c r="E59" i="213"/>
  <c r="E60" i="213"/>
  <c r="Q43" i="213"/>
  <c r="Q42" i="213"/>
  <c r="Q46" i="213"/>
  <c r="O30" i="213"/>
  <c r="O27" i="213"/>
  <c r="O26" i="213"/>
  <c r="O39" i="138"/>
  <c r="B30" i="147"/>
  <c r="F39" i="147"/>
  <c r="D3" i="253"/>
  <c r="O48" i="253"/>
  <c r="O49" i="253"/>
  <c r="O49" i="181"/>
  <c r="O50" i="181"/>
  <c r="Q4" i="181"/>
  <c r="O44" i="237"/>
  <c r="F43" i="237"/>
  <c r="Q44" i="237"/>
  <c r="Q43" i="237"/>
  <c r="Q47" i="237"/>
  <c r="O31" i="237"/>
  <c r="O28" i="237"/>
  <c r="O27" i="237"/>
  <c r="R4" i="227"/>
  <c r="D26" i="111"/>
  <c r="D36" i="111"/>
  <c r="K27" i="111"/>
  <c r="B31" i="164"/>
  <c r="F38" i="164"/>
  <c r="F38" i="159"/>
  <c r="B31" i="159"/>
  <c r="E43" i="121"/>
  <c r="M43" i="121"/>
  <c r="B39" i="228"/>
  <c r="F41" i="228"/>
  <c r="Q4" i="205"/>
  <c r="D3" i="205"/>
  <c r="O45" i="205"/>
  <c r="O42" i="167"/>
  <c r="D3" i="167"/>
  <c r="E52" i="185"/>
  <c r="O24" i="185"/>
  <c r="O33" i="185"/>
  <c r="B32" i="145"/>
  <c r="F40" i="145"/>
  <c r="B73" i="251"/>
  <c r="C71" i="251"/>
  <c r="H4" i="25"/>
  <c r="J6" i="25"/>
  <c r="J4" i="25"/>
  <c r="H29" i="25"/>
  <c r="F38" i="156"/>
  <c r="B30" i="156"/>
  <c r="G10" i="90"/>
  <c r="F40" i="252"/>
  <c r="B38" i="252"/>
  <c r="F32" i="175"/>
  <c r="Q37" i="175"/>
  <c r="Q32" i="175"/>
  <c r="Q40" i="175"/>
  <c r="O25" i="175"/>
  <c r="O24" i="175"/>
  <c r="O37" i="175"/>
  <c r="Q36" i="199"/>
  <c r="Q34" i="199"/>
  <c r="Q39" i="199"/>
  <c r="O27" i="199"/>
  <c r="O24" i="199"/>
  <c r="O23" i="199"/>
  <c r="O36" i="199"/>
  <c r="F34" i="199"/>
  <c r="F37" i="157"/>
  <c r="B30" i="157"/>
  <c r="F33" i="182"/>
  <c r="O38" i="182"/>
  <c r="Q38" i="182"/>
  <c r="Q33" i="182"/>
  <c r="Q41" i="182"/>
  <c r="O25" i="182"/>
  <c r="O24" i="182"/>
  <c r="D3" i="182"/>
  <c r="O42" i="121"/>
  <c r="O38" i="121"/>
  <c r="O45" i="121"/>
  <c r="M29" i="121"/>
  <c r="M38" i="121"/>
  <c r="R31" i="143"/>
  <c r="R42" i="143"/>
  <c r="O24" i="143"/>
  <c r="O39" i="141"/>
  <c r="O36" i="140"/>
  <c r="Q36" i="140"/>
  <c r="Q30" i="140"/>
  <c r="Q39" i="140"/>
  <c r="O21" i="140"/>
  <c r="O20" i="140"/>
  <c r="B41" i="209"/>
  <c r="F43" i="209"/>
  <c r="H26" i="46"/>
  <c r="F70" i="118"/>
  <c r="D70" i="118"/>
  <c r="E70" i="118"/>
  <c r="Q36" i="186"/>
  <c r="Q34" i="186"/>
  <c r="Q39" i="186"/>
  <c r="O25" i="186"/>
  <c r="O24" i="186"/>
  <c r="F34" i="186"/>
  <c r="O36" i="186"/>
  <c r="B37" i="247"/>
  <c r="F39" i="247"/>
  <c r="Q46" i="234"/>
  <c r="O29" i="234"/>
  <c r="O26" i="234"/>
  <c r="O25" i="234"/>
  <c r="O38" i="169"/>
  <c r="F32" i="169"/>
  <c r="Q38" i="169"/>
  <c r="Q32" i="169"/>
  <c r="Q41" i="169"/>
  <c r="O25" i="169"/>
  <c r="O24" i="169"/>
  <c r="O41" i="169"/>
  <c r="F31" i="148"/>
  <c r="Q39" i="148"/>
  <c r="O39" i="148"/>
  <c r="I23" i="52"/>
  <c r="J23" i="52"/>
  <c r="N29" i="52"/>
  <c r="O44" i="238"/>
  <c r="F43" i="238"/>
  <c r="Q44" i="238"/>
  <c r="Q43" i="238"/>
  <c r="Q48" i="238"/>
  <c r="O31" i="238"/>
  <c r="O28" i="238"/>
  <c r="O27" i="238"/>
  <c r="F42" i="153"/>
  <c r="B30" i="153"/>
  <c r="O42" i="163"/>
  <c r="O42" i="158"/>
  <c r="G12" i="270"/>
  <c r="H11" i="270"/>
  <c r="R4" i="216"/>
  <c r="I51" i="216"/>
  <c r="I58" i="216"/>
  <c r="I59" i="216"/>
  <c r="I60" i="216"/>
  <c r="I61" i="216"/>
  <c r="I62" i="216"/>
  <c r="Q4" i="216"/>
  <c r="B38" i="261"/>
  <c r="F40" i="261"/>
  <c r="O30" i="187"/>
  <c r="F28" i="187"/>
  <c r="Q30" i="187"/>
  <c r="Q28" i="187"/>
  <c r="Q33" i="187"/>
  <c r="O25" i="187"/>
  <c r="O24" i="187"/>
  <c r="D3" i="178"/>
  <c r="O44" i="178"/>
  <c r="Q45" i="216"/>
  <c r="O29" i="216"/>
  <c r="O26" i="216"/>
  <c r="F34" i="183"/>
  <c r="B31" i="183"/>
  <c r="B31" i="193"/>
  <c r="F34" i="193"/>
  <c r="Q38" i="188"/>
  <c r="O38" i="188"/>
  <c r="D3" i="188"/>
  <c r="D3" i="234"/>
  <c r="O46" i="234"/>
  <c r="M56" i="234"/>
  <c r="M57" i="234"/>
  <c r="M58" i="234"/>
  <c r="M59" i="234"/>
  <c r="M60" i="234"/>
  <c r="B30" i="162"/>
  <c r="F37" i="162"/>
  <c r="C74" i="287"/>
  <c r="D5" i="250"/>
  <c r="E9" i="250"/>
  <c r="O10" i="250"/>
  <c r="O43" i="201"/>
  <c r="D3" i="201"/>
  <c r="C78" i="287"/>
  <c r="B74" i="287"/>
  <c r="C75" i="287"/>
  <c r="O47" i="237"/>
  <c r="L51" i="237"/>
  <c r="D3" i="237"/>
  <c r="O46" i="213"/>
  <c r="E53" i="213"/>
  <c r="F53" i="213"/>
  <c r="D3" i="213"/>
  <c r="O41" i="182"/>
  <c r="D3" i="248"/>
  <c r="O33" i="248"/>
  <c r="O34" i="248"/>
  <c r="P34" i="248"/>
  <c r="S53" i="250"/>
  <c r="T52" i="250"/>
  <c r="D3" i="230"/>
  <c r="O44" i="230"/>
  <c r="O37" i="162"/>
  <c r="Q37" i="162"/>
  <c r="Q31" i="162"/>
  <c r="Q41" i="162"/>
  <c r="O24" i="162"/>
  <c r="O23" i="162"/>
  <c r="O41" i="162"/>
  <c r="F31" i="162"/>
  <c r="D3" i="186"/>
  <c r="O39" i="186"/>
  <c r="O23" i="143"/>
  <c r="O42" i="143"/>
  <c r="P24" i="143"/>
  <c r="O49" i="143"/>
  <c r="C29" i="282"/>
  <c r="B29" i="282"/>
  <c r="B6" i="282"/>
  <c r="B5" i="282"/>
  <c r="B33" i="282"/>
  <c r="C6" i="282"/>
  <c r="F32" i="282"/>
  <c r="D3" i="233"/>
  <c r="O44" i="233"/>
  <c r="M36" i="123"/>
  <c r="E50" i="123"/>
  <c r="M50" i="123"/>
  <c r="G49" i="230"/>
  <c r="G50" i="230"/>
  <c r="G51" i="230"/>
  <c r="G52" i="230"/>
  <c r="G13" i="270"/>
  <c r="H12" i="270"/>
  <c r="F40" i="228"/>
  <c r="O41" i="228"/>
  <c r="Q41" i="228"/>
  <c r="Q40" i="228"/>
  <c r="Q44" i="228"/>
  <c r="O29" i="228"/>
  <c r="O26" i="228"/>
  <c r="O25" i="228"/>
  <c r="O39" i="199"/>
  <c r="D3" i="199"/>
  <c r="O45" i="208"/>
  <c r="D3" i="208"/>
  <c r="R49" i="123"/>
  <c r="K55" i="275"/>
  <c r="U42" i="275"/>
  <c r="U41" i="275"/>
  <c r="U50" i="275"/>
  <c r="S31" i="275"/>
  <c r="S29" i="275"/>
  <c r="S28" i="275"/>
  <c r="S42" i="275"/>
  <c r="D71" i="118"/>
  <c r="E71" i="118"/>
  <c r="F71" i="118"/>
  <c r="M28" i="121"/>
  <c r="M45" i="121"/>
  <c r="O29" i="121"/>
  <c r="D3" i="175"/>
  <c r="O40" i="175"/>
  <c r="N55" i="253"/>
  <c r="M55" i="253"/>
  <c r="P49" i="253"/>
  <c r="O37" i="194"/>
  <c r="D3" i="194"/>
  <c r="N29" i="36"/>
  <c r="I23" i="36"/>
  <c r="J23" i="36"/>
  <c r="F39" i="217"/>
  <c r="O40" i="217"/>
  <c r="Q40" i="217"/>
  <c r="Q39" i="217"/>
  <c r="Q43" i="217"/>
  <c r="O28" i="217"/>
  <c r="O25" i="217"/>
  <c r="Q41" i="227"/>
  <c r="Q40" i="227"/>
  <c r="Q44" i="227"/>
  <c r="O29" i="227"/>
  <c r="O26" i="227"/>
  <c r="O25" i="227"/>
  <c r="O41" i="227"/>
  <c r="F40" i="227"/>
  <c r="N45" i="48"/>
  <c r="I39" i="48"/>
  <c r="J39" i="48"/>
  <c r="R42" i="121"/>
  <c r="Q40" i="145"/>
  <c r="Q33" i="145"/>
  <c r="Q43" i="145"/>
  <c r="O24" i="145"/>
  <c r="O23" i="145"/>
  <c r="O43" i="145"/>
  <c r="F33" i="145"/>
  <c r="O40" i="145"/>
  <c r="F32" i="164"/>
  <c r="O38" i="164"/>
  <c r="Q38" i="164"/>
  <c r="Q32" i="164"/>
  <c r="Q42" i="164"/>
  <c r="O25" i="164"/>
  <c r="O24" i="164"/>
  <c r="O42" i="164"/>
  <c r="Q39" i="180"/>
  <c r="Q33" i="180"/>
  <c r="Q42" i="180"/>
  <c r="O25" i="180"/>
  <c r="O24" i="180"/>
  <c r="O39" i="180"/>
  <c r="F33" i="180"/>
  <c r="D3" i="203"/>
  <c r="O44" i="203"/>
  <c r="F39" i="243"/>
  <c r="Q40" i="243"/>
  <c r="Q39" i="243"/>
  <c r="Q43" i="243"/>
  <c r="O30" i="243"/>
  <c r="O27" i="243"/>
  <c r="O26" i="243"/>
  <c r="O40" i="243"/>
  <c r="D3" i="169"/>
  <c r="G70" i="236"/>
  <c r="J54" i="236"/>
  <c r="M56" i="236"/>
  <c r="B83" i="251"/>
  <c r="C73" i="251"/>
  <c r="Q42" i="153"/>
  <c r="O42" i="153"/>
  <c r="F31" i="153"/>
  <c r="Q38" i="159"/>
  <c r="Q32" i="159"/>
  <c r="Q42" i="159"/>
  <c r="O25" i="159"/>
  <c r="O24" i="159"/>
  <c r="O42" i="159"/>
  <c r="O38" i="159"/>
  <c r="F32" i="159"/>
  <c r="M26" i="122"/>
  <c r="M43" i="122"/>
  <c r="O27" i="122"/>
  <c r="Q41" i="202"/>
  <c r="Q40" i="202"/>
  <c r="Q44" i="202"/>
  <c r="O31" i="202"/>
  <c r="O27" i="202"/>
  <c r="O41" i="202"/>
  <c r="F40" i="202"/>
  <c r="D3" i="187"/>
  <c r="O33" i="187"/>
  <c r="O48" i="238"/>
  <c r="D3" i="238"/>
  <c r="O40" i="252"/>
  <c r="Q40" i="252"/>
  <c r="Q39" i="252"/>
  <c r="Q45" i="252"/>
  <c r="O31" i="252"/>
  <c r="O28" i="252"/>
  <c r="O27" i="252"/>
  <c r="O46" i="153"/>
  <c r="F33" i="281"/>
  <c r="B31" i="281"/>
  <c r="F32" i="193"/>
  <c r="Q34" i="193"/>
  <c r="Q32" i="193"/>
  <c r="Q38" i="193"/>
  <c r="O25" i="193"/>
  <c r="O24" i="193"/>
  <c r="O34" i="193"/>
  <c r="L27" i="111"/>
  <c r="L26" i="111"/>
  <c r="K26" i="111"/>
  <c r="F31" i="147"/>
  <c r="O39" i="147"/>
  <c r="Q39" i="147"/>
  <c r="Q31" i="147"/>
  <c r="Q43" i="147"/>
  <c r="O24" i="147"/>
  <c r="O23" i="147"/>
  <c r="O43" i="147"/>
  <c r="Q31" i="153"/>
  <c r="Q46" i="153"/>
  <c r="O24" i="153"/>
  <c r="O23" i="153"/>
  <c r="D3" i="266"/>
  <c r="O49" i="266"/>
  <c r="O50" i="266"/>
  <c r="P50" i="266"/>
  <c r="O44" i="231"/>
  <c r="O42" i="168"/>
  <c r="O52" i="148"/>
  <c r="N34" i="52"/>
  <c r="I29" i="52"/>
  <c r="Q43" i="209"/>
  <c r="Q42" i="209"/>
  <c r="Q46" i="209"/>
  <c r="O30" i="209"/>
  <c r="O27" i="209"/>
  <c r="F42" i="209"/>
  <c r="O43" i="209"/>
  <c r="O37" i="157"/>
  <c r="Q37" i="157"/>
  <c r="Q31" i="157"/>
  <c r="Q41" i="157"/>
  <c r="O24" i="157"/>
  <c r="O23" i="157"/>
  <c r="O41" i="157"/>
  <c r="F31" i="157"/>
  <c r="E40" i="111"/>
  <c r="K40" i="111"/>
  <c r="L40" i="111"/>
  <c r="L36" i="111"/>
  <c r="L43" i="111"/>
  <c r="N30" i="111"/>
  <c r="K63" i="276"/>
  <c r="O28" i="276"/>
  <c r="O27" i="276"/>
  <c r="H52" i="276"/>
  <c r="H54" i="276"/>
  <c r="O44" i="226"/>
  <c r="D3" i="226"/>
  <c r="Q33" i="195"/>
  <c r="Q31" i="195"/>
  <c r="Q36" i="195"/>
  <c r="O24" i="195"/>
  <c r="F31" i="195"/>
  <c r="O33" i="195"/>
  <c r="O23" i="200"/>
  <c r="J56" i="200"/>
  <c r="J57" i="200"/>
  <c r="J58" i="200"/>
  <c r="O40" i="261"/>
  <c r="Q40" i="261"/>
  <c r="Q39" i="261"/>
  <c r="Q45" i="261"/>
  <c r="O31" i="261"/>
  <c r="O28" i="261"/>
  <c r="O27" i="261"/>
  <c r="Q38" i="156"/>
  <c r="Q31" i="156"/>
  <c r="Q42" i="156"/>
  <c r="O24" i="156"/>
  <c r="O23" i="156"/>
  <c r="F31" i="156"/>
  <c r="O38" i="156"/>
  <c r="I55" i="231"/>
  <c r="I56" i="231"/>
  <c r="Q38" i="166"/>
  <c r="Q32" i="166"/>
  <c r="Q42" i="166"/>
  <c r="O25" i="166"/>
  <c r="O24" i="166"/>
  <c r="O42" i="166"/>
  <c r="F32" i="166"/>
  <c r="O38" i="166"/>
  <c r="G90" i="243"/>
  <c r="O39" i="247"/>
  <c r="O43" i="247"/>
  <c r="O40" i="188"/>
  <c r="Q34" i="183"/>
  <c r="Q32" i="183"/>
  <c r="Q37" i="183"/>
  <c r="O25" i="183"/>
  <c r="O24" i="183"/>
  <c r="O34" i="183"/>
  <c r="F32" i="183"/>
  <c r="O39" i="140"/>
  <c r="M61" i="188"/>
  <c r="M62" i="188"/>
  <c r="O48" i="188"/>
  <c r="Q33" i="281"/>
  <c r="Q32" i="281"/>
  <c r="Q44" i="281"/>
  <c r="O29" i="281"/>
  <c r="O28" i="281"/>
  <c r="O27" i="281"/>
  <c r="O33" i="281"/>
  <c r="I45" i="48"/>
  <c r="J45" i="48"/>
  <c r="N50" i="48"/>
  <c r="O44" i="228"/>
  <c r="L48" i="228"/>
  <c r="D3" i="228"/>
  <c r="O42" i="156"/>
  <c r="E41" i="111"/>
  <c r="K41" i="111"/>
  <c r="K36" i="111"/>
  <c r="K43" i="111"/>
  <c r="D3" i="252"/>
  <c r="O45" i="252"/>
  <c r="P44" i="233"/>
  <c r="K57" i="233"/>
  <c r="K58" i="233"/>
  <c r="I62" i="233"/>
  <c r="E52" i="233"/>
  <c r="E53" i="233"/>
  <c r="E54" i="233"/>
  <c r="R29" i="183"/>
  <c r="S29" i="183"/>
  <c r="O37" i="183"/>
  <c r="D3" i="183"/>
  <c r="L52" i="238"/>
  <c r="O49" i="238"/>
  <c r="O58" i="238"/>
  <c r="D72" i="118"/>
  <c r="F72" i="118"/>
  <c r="E72" i="118"/>
  <c r="B78" i="287"/>
  <c r="C79" i="287"/>
  <c r="O44" i="227"/>
  <c r="D3" i="227"/>
  <c r="O42" i="180"/>
  <c r="D3" i="180"/>
  <c r="B32" i="282"/>
  <c r="J29" i="52"/>
  <c r="M23" i="36"/>
  <c r="S50" i="275"/>
  <c r="D3" i="275"/>
  <c r="O36" i="123"/>
  <c r="M35" i="123"/>
  <c r="M52" i="123"/>
  <c r="O44" i="247"/>
  <c r="P44" i="247"/>
  <c r="L47" i="247"/>
  <c r="I29" i="36"/>
  <c r="N34" i="36"/>
  <c r="I34" i="36"/>
  <c r="J34" i="36"/>
  <c r="M52" i="230"/>
  <c r="J52" i="230"/>
  <c r="J61" i="230"/>
  <c r="J62" i="230"/>
  <c r="O44" i="276"/>
  <c r="D3" i="276"/>
  <c r="D3" i="217"/>
  <c r="O43" i="217"/>
  <c r="M51" i="217"/>
  <c r="O46" i="209"/>
  <c r="D3" i="209"/>
  <c r="R20" i="195"/>
  <c r="S30" i="195"/>
  <c r="S31" i="195"/>
  <c r="S32" i="195"/>
  <c r="S33" i="195"/>
  <c r="S34" i="195"/>
  <c r="S35" i="195"/>
  <c r="S36" i="195"/>
  <c r="S37" i="195"/>
  <c r="O23" i="195"/>
  <c r="O44" i="202"/>
  <c r="D3" i="202"/>
  <c r="H14" i="270"/>
  <c r="H13" i="270"/>
  <c r="Q10" i="250"/>
  <c r="Q5" i="250"/>
  <c r="O5" i="250"/>
  <c r="D3" i="200"/>
  <c r="O39" i="200"/>
  <c r="B85" i="251"/>
  <c r="C83" i="251"/>
  <c r="I34" i="52"/>
  <c r="N39" i="52"/>
  <c r="O43" i="243"/>
  <c r="O44" i="243"/>
  <c r="P44" i="243"/>
  <c r="D3" i="243"/>
  <c r="O45" i="261"/>
  <c r="O46" i="261"/>
  <c r="P46" i="261"/>
  <c r="D3" i="261"/>
  <c r="D3" i="193"/>
  <c r="O38" i="193"/>
  <c r="B5" i="250"/>
  <c r="B40" i="250"/>
  <c r="B4" i="250"/>
  <c r="D40" i="250"/>
  <c r="C6" i="250"/>
  <c r="R4" i="250"/>
  <c r="W38" i="275"/>
  <c r="S51" i="275"/>
  <c r="T51" i="275"/>
  <c r="L55" i="252"/>
  <c r="O46" i="252"/>
  <c r="P46" i="252"/>
  <c r="N52" i="252"/>
  <c r="L49" i="252"/>
  <c r="S8" i="282"/>
  <c r="S9" i="282"/>
  <c r="M55" i="276"/>
  <c r="H48" i="276"/>
  <c r="H55" i="276"/>
  <c r="K49" i="276"/>
  <c r="K50" i="276"/>
  <c r="K51" i="276"/>
  <c r="K52" i="276"/>
  <c r="O45" i="276"/>
  <c r="P45" i="276"/>
  <c r="K58" i="276"/>
  <c r="K59" i="276"/>
  <c r="K60" i="276"/>
  <c r="J29" i="36"/>
  <c r="D3" i="195"/>
  <c r="O36" i="195"/>
  <c r="B39" i="250"/>
  <c r="F41" i="250"/>
  <c r="N45" i="52"/>
  <c r="I39" i="52"/>
  <c r="J39" i="52"/>
  <c r="I50" i="48"/>
  <c r="N55" i="48"/>
  <c r="B81" i="287"/>
  <c r="C81" i="287"/>
  <c r="D3" i="281"/>
  <c r="O44" i="281"/>
  <c r="O45" i="281"/>
  <c r="P45" i="281"/>
  <c r="B93" i="251"/>
  <c r="C85" i="251"/>
  <c r="M29" i="36"/>
  <c r="J34" i="52"/>
  <c r="J50" i="48"/>
  <c r="I45" i="52"/>
  <c r="J45" i="52"/>
  <c r="N50" i="52"/>
  <c r="Q41" i="250"/>
  <c r="Q40" i="250"/>
  <c r="Q44" i="250"/>
  <c r="O29" i="250"/>
  <c r="O26" i="250"/>
  <c r="O25" i="250"/>
  <c r="O41" i="250"/>
  <c r="F40" i="250"/>
  <c r="C93" i="251"/>
  <c r="B95" i="251"/>
  <c r="I55" i="48"/>
  <c r="J55" i="48"/>
  <c r="N61" i="48"/>
  <c r="I61" i="48"/>
  <c r="J61" i="48"/>
  <c r="N55" i="52"/>
  <c r="I50" i="52"/>
  <c r="J50" i="52"/>
  <c r="C95" i="251"/>
  <c r="B108" i="251"/>
  <c r="C108" i="251"/>
  <c r="O44" i="250"/>
  <c r="D3" i="250"/>
  <c r="I55" i="52"/>
  <c r="J55" i="52"/>
  <c r="N61" i="52"/>
  <c r="I61" i="52"/>
  <c r="J61" i="52"/>
  <c r="J66" i="52"/>
  <c r="I66" i="52"/>
  <c r="F10" i="271"/>
  <c r="I9" i="271"/>
  <c r="G8" i="271"/>
  <c r="E9" i="271"/>
  <c r="H8" i="271"/>
  <c r="G10" i="271"/>
  <c r="H10" i="271"/>
  <c r="C1" i="35"/>
  <c r="B46" i="101"/>
  <c r="B9" i="32"/>
  <c r="F2" i="36"/>
  <c r="B7" i="32"/>
  <c r="B10" i="32"/>
  <c r="A3" i="48"/>
  <c r="B2" i="32"/>
  <c r="F2" i="48"/>
  <c r="H2" i="2"/>
  <c r="O35" i="291" l="1"/>
  <c r="F60" i="294"/>
  <c r="F61" i="294" s="1"/>
  <c r="C6" i="300"/>
  <c r="C29" i="300"/>
  <c r="B6" i="300"/>
  <c r="B29" i="300"/>
  <c r="B5" i="300"/>
  <c r="B33" i="300" s="1"/>
  <c r="F4" i="300"/>
  <c r="B4" i="300" s="1"/>
  <c r="O17" i="300"/>
  <c r="E46" i="296"/>
  <c r="B5" i="296" s="1"/>
  <c r="B33" i="296" s="1"/>
  <c r="I4" i="129"/>
  <c r="R19" i="129"/>
  <c r="S19" i="129" s="1"/>
  <c r="F3" i="129"/>
  <c r="F20" i="129"/>
  <c r="D37" i="129"/>
  <c r="L37" i="129"/>
  <c r="L38" i="129" s="1"/>
  <c r="B107" i="129"/>
  <c r="D106" i="129" s="1"/>
  <c r="L20" i="129"/>
  <c r="B15" i="299"/>
  <c r="M65" i="291"/>
  <c r="E58" i="291"/>
  <c r="B27" i="296"/>
  <c r="B29" i="296"/>
  <c r="B6" i="296"/>
  <c r="C29" i="296"/>
  <c r="O36" i="296"/>
  <c r="F4" i="296"/>
  <c r="F32" i="296" s="1"/>
  <c r="E11" i="296"/>
  <c r="Q6" i="296"/>
  <c r="O14" i="296"/>
  <c r="Q14" i="296" s="1"/>
  <c r="O44" i="296"/>
  <c r="C6" i="296"/>
  <c r="U101" i="74"/>
  <c r="K88" i="74"/>
  <c r="L3" i="74"/>
  <c r="L14" i="74" s="1"/>
  <c r="L21" i="74" s="1"/>
  <c r="L32" i="74" s="1"/>
  <c r="L37" i="74" s="1"/>
  <c r="L47" i="74" s="1"/>
  <c r="L56" i="74" s="1"/>
  <c r="L63" i="74" s="1"/>
  <c r="L70" i="74" s="1"/>
  <c r="L79" i="74" s="1"/>
  <c r="L88" i="74" s="1"/>
  <c r="L92" i="74" s="1"/>
  <c r="F106" i="74"/>
  <c r="M90" i="129"/>
  <c r="M111" i="129"/>
  <c r="M61" i="129"/>
  <c r="M105" i="74"/>
  <c r="N105" i="74" s="1"/>
  <c r="G9" i="271"/>
  <c r="B20" i="295"/>
  <c r="B16" i="295"/>
  <c r="J15" i="242"/>
  <c r="D15" i="242"/>
  <c r="O38" i="294"/>
  <c r="O4" i="294"/>
  <c r="O46" i="294"/>
  <c r="O19" i="294"/>
  <c r="Q19" i="294" s="1"/>
  <c r="E48" i="294"/>
  <c r="B5" i="294" s="1"/>
  <c r="B33" i="294" s="1"/>
  <c r="O8" i="294"/>
  <c r="Q8" i="294" s="1"/>
  <c r="O25" i="294"/>
  <c r="Q25" i="294" s="1"/>
  <c r="O20" i="294"/>
  <c r="Q20" i="294" s="1"/>
  <c r="B27" i="294"/>
  <c r="E11" i="294"/>
  <c r="O6" i="294"/>
  <c r="O22" i="294"/>
  <c r="Q22" i="294" s="1"/>
  <c r="F4" i="294"/>
  <c r="B4" i="294" s="1"/>
  <c r="R21" i="129"/>
  <c r="S21" i="129" s="1"/>
  <c r="S22" i="129" s="1"/>
  <c r="S20" i="129"/>
  <c r="G3" i="129"/>
  <c r="J37" i="129"/>
  <c r="B85" i="129"/>
  <c r="C85" i="129" s="1"/>
  <c r="J3" i="129"/>
  <c r="J4" i="129" s="1"/>
  <c r="F37" i="129"/>
  <c r="B56" i="129"/>
  <c r="N3" i="129"/>
  <c r="M37" i="129"/>
  <c r="B21" i="129"/>
  <c r="C56" i="129"/>
  <c r="L3" i="129"/>
  <c r="L4" i="129" s="1"/>
  <c r="M3" i="129"/>
  <c r="K3" i="129"/>
  <c r="E3" i="129"/>
  <c r="E4" i="129" s="1"/>
  <c r="F4" i="129" s="1"/>
  <c r="G37" i="129"/>
  <c r="G38" i="129" s="1"/>
  <c r="C3" i="129"/>
  <c r="C4" i="129" s="1"/>
  <c r="K37" i="129"/>
  <c r="H20" i="129"/>
  <c r="H21" i="129" s="1"/>
  <c r="I21" i="129" s="1"/>
  <c r="N37" i="129"/>
  <c r="I38" i="129"/>
  <c r="J3" i="242"/>
  <c r="K3" i="242" s="1"/>
  <c r="O6" i="291"/>
  <c r="Q6" i="291" s="1"/>
  <c r="O7" i="291"/>
  <c r="O16" i="291"/>
  <c r="Q16" i="291" s="1"/>
  <c r="J4" i="291"/>
  <c r="O22" i="291"/>
  <c r="Q22" i="291" s="1"/>
  <c r="O19" i="291"/>
  <c r="Q19" i="291" s="1"/>
  <c r="O36" i="291"/>
  <c r="O25" i="291"/>
  <c r="Q25" i="291" s="1"/>
  <c r="O14" i="291"/>
  <c r="Q14" i="291" s="1"/>
  <c r="O20" i="291"/>
  <c r="Q20" i="291" s="1"/>
  <c r="B27" i="291"/>
  <c r="O8" i="291"/>
  <c r="Q8" i="291" s="1"/>
  <c r="F4" i="291"/>
  <c r="B4" i="291" s="1"/>
  <c r="E11" i="291"/>
  <c r="Q48" i="291"/>
  <c r="J4" i="289"/>
  <c r="E57" i="291" s="1"/>
  <c r="O44" i="289"/>
  <c r="E11" i="289"/>
  <c r="Q44" i="289"/>
  <c r="B27" i="289"/>
  <c r="E47" i="289"/>
  <c r="B5" i="289" s="1"/>
  <c r="B33" i="289" s="1"/>
  <c r="O38" i="289"/>
  <c r="H4" i="289"/>
  <c r="D55" i="129"/>
  <c r="N106" i="129"/>
  <c r="I106" i="129"/>
  <c r="K20" i="129"/>
  <c r="N20" i="129"/>
  <c r="D20" i="129"/>
  <c r="C20" i="129"/>
  <c r="C21" i="129" s="1"/>
  <c r="M20" i="129"/>
  <c r="M21" i="129" s="1"/>
  <c r="E20" i="129"/>
  <c r="G20" i="129"/>
  <c r="J20" i="129"/>
  <c r="O42" i="289"/>
  <c r="H69" i="129" s="1"/>
  <c r="F32" i="289"/>
  <c r="O5" i="289"/>
  <c r="Q5" i="289"/>
  <c r="F53" i="289"/>
  <c r="B6" i="289"/>
  <c r="B29" i="289"/>
  <c r="C6" i="289"/>
  <c r="C29" i="289"/>
  <c r="L10" i="271"/>
  <c r="M8" i="271"/>
  <c r="L9" i="271"/>
  <c r="K9" i="271"/>
  <c r="K10" i="271"/>
  <c r="J9" i="271"/>
  <c r="K2" i="242"/>
  <c r="B23" i="54"/>
  <c r="B2" i="54" s="1"/>
  <c r="H18" i="50"/>
  <c r="H13" i="50" s="1"/>
  <c r="H29" i="50" s="1"/>
  <c r="G24" i="54"/>
  <c r="G23" i="54" s="1"/>
  <c r="J63" i="74"/>
  <c r="E40" i="132"/>
  <c r="L40" i="132" s="1"/>
  <c r="L43" i="132" s="1"/>
  <c r="G29" i="278"/>
  <c r="B33" i="278" s="1"/>
  <c r="B34" i="278" s="1"/>
  <c r="J21" i="74"/>
  <c r="G30" i="278"/>
  <c r="H30" i="278" s="1"/>
  <c r="H29" i="278"/>
  <c r="J32" i="74"/>
  <c r="J14" i="74"/>
  <c r="M14" i="74" s="1"/>
  <c r="J56" i="74"/>
  <c r="J88" i="74"/>
  <c r="H27" i="278"/>
  <c r="A4" i="48"/>
  <c r="A5" i="48" s="1"/>
  <c r="A6" i="48" s="1"/>
  <c r="A8" i="48" s="1"/>
  <c r="A9" i="48" s="1"/>
  <c r="A10" i="48" s="1"/>
  <c r="A11" i="48" s="1"/>
  <c r="A12" i="48" s="1"/>
  <c r="A14" i="48" s="1"/>
  <c r="A15" i="48" s="1"/>
  <c r="A16" i="48" s="1"/>
  <c r="A17" i="48" s="1"/>
  <c r="A19" i="48" s="1"/>
  <c r="A20" i="48" s="1"/>
  <c r="A21" i="48" s="1"/>
  <c r="A22" i="48" s="1"/>
  <c r="A24" i="48" s="1"/>
  <c r="A25" i="48" s="1"/>
  <c r="A26" i="48" s="1"/>
  <c r="A27" i="48" s="1"/>
  <c r="A28" i="48" s="1"/>
  <c r="A30" i="48" s="1"/>
  <c r="A31" i="48" s="1"/>
  <c r="A32" i="48" s="1"/>
  <c r="A33" i="48" s="1"/>
  <c r="A35" i="48" s="1"/>
  <c r="A36" i="48" s="1"/>
  <c r="A37" i="48" s="1"/>
  <c r="A38" i="48" s="1"/>
  <c r="A40" i="48" s="1"/>
  <c r="A41" i="48" s="1"/>
  <c r="A42" i="48" s="1"/>
  <c r="A43" i="48" s="1"/>
  <c r="A44" i="48" s="1"/>
  <c r="A46" i="48" s="1"/>
  <c r="A47" i="48" s="1"/>
  <c r="A48" i="48" s="1"/>
  <c r="A49" i="48" s="1"/>
  <c r="A51" i="48" s="1"/>
  <c r="A52" i="48" s="1"/>
  <c r="A53" i="48" s="1"/>
  <c r="A54" i="48" s="1"/>
  <c r="A56" i="48" s="1"/>
  <c r="A57" i="48" s="1"/>
  <c r="A58" i="48" s="1"/>
  <c r="A59" i="48" s="1"/>
  <c r="A60" i="48" s="1"/>
  <c r="A62" i="48" s="1"/>
  <c r="A63" i="48" s="1"/>
  <c r="A64" i="48" s="1"/>
  <c r="A65" i="48" s="1"/>
  <c r="D1" i="35"/>
  <c r="E1" i="35" s="1"/>
  <c r="F1" i="35" s="1"/>
  <c r="G1" i="35" s="1"/>
  <c r="H2" i="36"/>
  <c r="H39" i="36" s="1"/>
  <c r="H2" i="48"/>
  <c r="H66" i="48" s="1"/>
  <c r="J2" i="2"/>
  <c r="I2" i="2" s="1"/>
  <c r="L2" i="2" s="1"/>
  <c r="L17" i="2" s="1"/>
  <c r="J92" i="74"/>
  <c r="J47" i="74"/>
  <c r="J37" i="74"/>
  <c r="M37" i="74" s="1"/>
  <c r="J3" i="74"/>
  <c r="J70" i="74"/>
  <c r="J79" i="74"/>
  <c r="G23" i="51"/>
  <c r="B23" i="51"/>
  <c r="B11" i="51" s="1"/>
  <c r="G11" i="51" s="1"/>
  <c r="H2" i="41"/>
  <c r="K2" i="41" s="1"/>
  <c r="K14" i="41" s="1"/>
  <c r="H2" i="42"/>
  <c r="K2" i="42" s="1"/>
  <c r="K14" i="42" s="1"/>
  <c r="B44" i="102"/>
  <c r="B3" i="32"/>
  <c r="B8" i="32"/>
  <c r="N2" i="48"/>
  <c r="N2" i="36"/>
  <c r="B45" i="101"/>
  <c r="Q7" i="291" l="1"/>
  <c r="Q5" i="291" s="1"/>
  <c r="O5" i="291"/>
  <c r="E53" i="294"/>
  <c r="F53" i="294" s="1"/>
  <c r="E51" i="300"/>
  <c r="F51" i="300" s="1"/>
  <c r="E52" i="296"/>
  <c r="F52" i="296" s="1"/>
  <c r="E52" i="300"/>
  <c r="F52" i="300" s="1"/>
  <c r="F32" i="300"/>
  <c r="Q17" i="300"/>
  <c r="Q5" i="300" s="1"/>
  <c r="O5" i="300"/>
  <c r="F106" i="129"/>
  <c r="H106" i="129"/>
  <c r="J106" i="129"/>
  <c r="K106" i="129"/>
  <c r="M106" i="129"/>
  <c r="C106" i="129"/>
  <c r="C107" i="129" s="1"/>
  <c r="D107" i="129" s="1"/>
  <c r="E107" i="129" s="1"/>
  <c r="F107" i="129" s="1"/>
  <c r="G107" i="129" s="1"/>
  <c r="H107" i="129" s="1"/>
  <c r="I107" i="129" s="1"/>
  <c r="J107" i="129" s="1"/>
  <c r="K107" i="129" s="1"/>
  <c r="G106" i="129"/>
  <c r="M38" i="129"/>
  <c r="N38" i="129" s="1"/>
  <c r="E106" i="129"/>
  <c r="D56" i="129"/>
  <c r="L106" i="129"/>
  <c r="J84" i="129"/>
  <c r="E55" i="129"/>
  <c r="I55" i="129"/>
  <c r="F38" i="282"/>
  <c r="F34" i="282" s="1"/>
  <c r="F56" i="291"/>
  <c r="E51" i="296"/>
  <c r="F51" i="296" s="1"/>
  <c r="F60" i="291"/>
  <c r="F61" i="291" s="1"/>
  <c r="F62" i="291" s="1"/>
  <c r="B4" i="296"/>
  <c r="B32" i="296"/>
  <c r="Q5" i="296"/>
  <c r="O5" i="296"/>
  <c r="Q34" i="296"/>
  <c r="Q33" i="296" s="1"/>
  <c r="O34" i="296"/>
  <c r="T36" i="296" s="1"/>
  <c r="K101" i="74"/>
  <c r="L90" i="129"/>
  <c r="L111" i="129"/>
  <c r="L61" i="129"/>
  <c r="C29" i="294"/>
  <c r="C6" i="294"/>
  <c r="B6" i="294"/>
  <c r="G84" i="129"/>
  <c r="F57" i="291"/>
  <c r="E54" i="294"/>
  <c r="F54" i="294" s="1"/>
  <c r="O4" i="291"/>
  <c r="I84" i="129"/>
  <c r="D84" i="129"/>
  <c r="D85" i="129" s="1"/>
  <c r="H84" i="129"/>
  <c r="L84" i="129"/>
  <c r="B29" i="294"/>
  <c r="Q6" i="294"/>
  <c r="Q5" i="294" s="1"/>
  <c r="O5" i="294"/>
  <c r="F32" i="294"/>
  <c r="F34" i="294" s="1"/>
  <c r="K15" i="242"/>
  <c r="M15" i="242" s="1"/>
  <c r="B23" i="242" s="1"/>
  <c r="C23" i="242" s="1"/>
  <c r="G55" i="129"/>
  <c r="F35" i="289"/>
  <c r="H55" i="129" s="1"/>
  <c r="F84" i="129"/>
  <c r="K84" i="129"/>
  <c r="E69" i="291"/>
  <c r="F55" i="129"/>
  <c r="N84" i="129"/>
  <c r="J21" i="129"/>
  <c r="K21" i="129" s="1"/>
  <c r="M84" i="129"/>
  <c r="E84" i="129"/>
  <c r="M4" i="129"/>
  <c r="N4" i="129" s="1"/>
  <c r="F52" i="289"/>
  <c r="I4" i="289"/>
  <c r="O4" i="289"/>
  <c r="N21" i="129"/>
  <c r="C37" i="129" s="1"/>
  <c r="D21" i="129"/>
  <c r="E21" i="129" s="1"/>
  <c r="B32" i="289"/>
  <c r="K7" i="242"/>
  <c r="M9" i="271"/>
  <c r="M10" i="271"/>
  <c r="N8" i="271"/>
  <c r="B12" i="54"/>
  <c r="G12" i="54" s="1"/>
  <c r="G35" i="54" s="1"/>
  <c r="M21" i="74"/>
  <c r="N7" i="48"/>
  <c r="I2" i="48"/>
  <c r="N7" i="36"/>
  <c r="I2" i="36"/>
  <c r="B14" i="101"/>
  <c r="G14" i="101"/>
  <c r="I45" i="101"/>
  <c r="I5" i="101" s="1"/>
  <c r="J101" i="74"/>
  <c r="M103" i="74"/>
  <c r="G33" i="51"/>
  <c r="G34" i="51"/>
  <c r="G4" i="51"/>
  <c r="M47" i="74"/>
  <c r="M56" i="74" s="1"/>
  <c r="M63" i="74" s="1"/>
  <c r="M70" i="74" s="1"/>
  <c r="M79" i="74" s="1"/>
  <c r="M88" i="74" s="1"/>
  <c r="M92" i="74" s="1"/>
  <c r="G2" i="48"/>
  <c r="G2" i="36"/>
  <c r="B14" i="35"/>
  <c r="H14" i="35" s="1"/>
  <c r="B3" i="35"/>
  <c r="G45" i="101"/>
  <c r="B45" i="108"/>
  <c r="B4" i="32"/>
  <c r="B32" i="300" l="1"/>
  <c r="F34" i="300"/>
  <c r="E56" i="129"/>
  <c r="O38" i="282"/>
  <c r="G56" i="129" s="1"/>
  <c r="H56" i="129" s="1"/>
  <c r="Q46" i="296"/>
  <c r="O30" i="296" s="1"/>
  <c r="L107" i="129"/>
  <c r="M107" i="129" s="1"/>
  <c r="N107" i="129" s="1"/>
  <c r="E85" i="129"/>
  <c r="F85" i="129" s="1"/>
  <c r="G85" i="129" s="1"/>
  <c r="H85" i="129" s="1"/>
  <c r="I85" i="129" s="1"/>
  <c r="J85" i="129" s="1"/>
  <c r="K85" i="129" s="1"/>
  <c r="L85" i="129" s="1"/>
  <c r="M85" i="129" s="1"/>
  <c r="N85" i="129" s="1"/>
  <c r="B32" i="294"/>
  <c r="F34" i="289"/>
  <c r="O34" i="289" s="1"/>
  <c r="S40" i="289" s="1"/>
  <c r="E68" i="291" s="1"/>
  <c r="O35" i="289"/>
  <c r="R35" i="289" s="1"/>
  <c r="F63" i="291"/>
  <c r="F64" i="291" s="1"/>
  <c r="F65" i="291" s="1"/>
  <c r="F66" i="291" s="1"/>
  <c r="O34" i="282"/>
  <c r="Q34" i="282"/>
  <c r="Q33" i="282" s="1"/>
  <c r="Q48" i="282" s="1"/>
  <c r="O30" i="282" s="1"/>
  <c r="O8" i="271"/>
  <c r="N9" i="271"/>
  <c r="N10" i="271"/>
  <c r="G36" i="54"/>
  <c r="G4" i="54"/>
  <c r="G39" i="36"/>
  <c r="J2" i="36"/>
  <c r="G66" i="48"/>
  <c r="J2" i="48"/>
  <c r="J66" i="48" s="1"/>
  <c r="N13" i="36"/>
  <c r="I13" i="36" s="1"/>
  <c r="I7" i="36"/>
  <c r="B17" i="35"/>
  <c r="H17" i="35" s="1"/>
  <c r="H3" i="35"/>
  <c r="B3" i="101"/>
  <c r="B12" i="101"/>
  <c r="G12" i="101" s="1"/>
  <c r="K74" i="101" s="1"/>
  <c r="I7" i="48"/>
  <c r="N13" i="48"/>
  <c r="I13" i="48" s="1"/>
  <c r="B5" i="32"/>
  <c r="Q34" i="300" l="1"/>
  <c r="Q33" i="300" s="1"/>
  <c r="Q46" i="300" s="1"/>
  <c r="O30" i="300" s="1"/>
  <c r="O34" i="300"/>
  <c r="T36" i="300" s="1"/>
  <c r="J56" i="129"/>
  <c r="K56" i="129" s="1"/>
  <c r="L56" i="129" s="1"/>
  <c r="M56" i="129" s="1"/>
  <c r="N56" i="129" s="1"/>
  <c r="O29" i="296"/>
  <c r="O28" i="296" s="1"/>
  <c r="S30" i="296"/>
  <c r="F47" i="291"/>
  <c r="O47" i="291" s="1"/>
  <c r="O34" i="294"/>
  <c r="T38" i="294" s="1"/>
  <c r="Q34" i="294"/>
  <c r="Q33" i="294" s="1"/>
  <c r="Q48" i="294" s="1"/>
  <c r="O30" i="294" s="1"/>
  <c r="Q34" i="289"/>
  <c r="Q33" i="289" s="1"/>
  <c r="Q47" i="289" s="1"/>
  <c r="O30" i="289" s="1"/>
  <c r="O29" i="289" s="1"/>
  <c r="O28" i="289" s="1"/>
  <c r="O47" i="289" s="1"/>
  <c r="O48" i="289" s="1"/>
  <c r="P48" i="289" s="1"/>
  <c r="R36" i="289"/>
  <c r="R37" i="289"/>
  <c r="O29" i="282"/>
  <c r="O28" i="282" s="1"/>
  <c r="S30" i="282"/>
  <c r="O37" i="291"/>
  <c r="E50" i="291"/>
  <c r="E51" i="291" s="1"/>
  <c r="O9" i="271"/>
  <c r="P8" i="271"/>
  <c r="O10" i="271"/>
  <c r="G48" i="101"/>
  <c r="I66" i="48"/>
  <c r="I39" i="36"/>
  <c r="H21" i="35"/>
  <c r="H22" i="35"/>
  <c r="M2" i="36"/>
  <c r="J39" i="36"/>
  <c r="O29" i="300" l="1"/>
  <c r="O28" i="300" s="1"/>
  <c r="S30" i="300"/>
  <c r="S37" i="289"/>
  <c r="O47" i="296"/>
  <c r="P47" i="296" s="1"/>
  <c r="D3" i="296"/>
  <c r="O29" i="294"/>
  <c r="O28" i="294" s="1"/>
  <c r="O48" i="294" s="1"/>
  <c r="S30" i="294"/>
  <c r="D3" i="289"/>
  <c r="F32" i="291"/>
  <c r="B5" i="291"/>
  <c r="B33" i="291" s="1"/>
  <c r="C6" i="291"/>
  <c r="B29" i="291"/>
  <c r="B6" i="291"/>
  <c r="C29" i="291"/>
  <c r="D3" i="282"/>
  <c r="O48" i="282"/>
  <c r="E15" i="271"/>
  <c r="P9" i="271"/>
  <c r="P10" i="271"/>
  <c r="F34" i="291" l="1"/>
  <c r="O34" i="291" s="1"/>
  <c r="O47" i="300"/>
  <c r="P47" i="300" s="1"/>
  <c r="D3" i="300"/>
  <c r="D3" i="294"/>
  <c r="O49" i="294"/>
  <c r="P49" i="294" s="1"/>
  <c r="L52" i="282"/>
  <c r="O49" i="282"/>
  <c r="P49" i="282" s="1"/>
  <c r="B32" i="291"/>
  <c r="E16" i="271"/>
  <c r="E17" i="271"/>
  <c r="F15" i="271"/>
  <c r="Q34" i="291" l="1"/>
  <c r="Q33" i="291" s="1"/>
  <c r="Q51" i="291" s="1"/>
  <c r="O30" i="291" s="1"/>
  <c r="G15" i="271"/>
  <c r="F16" i="271"/>
  <c r="F17" i="271"/>
  <c r="O29" i="291" l="1"/>
  <c r="O28" i="291" s="1"/>
  <c r="O51" i="291" s="1"/>
  <c r="G17" i="271"/>
  <c r="H15" i="271"/>
  <c r="G16" i="271"/>
  <c r="O52" i="291" l="1"/>
  <c r="P52" i="291" s="1"/>
  <c r="D3" i="291"/>
  <c r="H16" i="271"/>
  <c r="I15" i="271"/>
  <c r="H17" i="271"/>
  <c r="J15" i="271" l="1"/>
  <c r="I16" i="271"/>
  <c r="I17" i="271"/>
  <c r="J17" i="271" l="1"/>
  <c r="K15" i="271"/>
  <c r="J16" i="271"/>
  <c r="K16" i="271" l="1"/>
  <c r="L15" i="271"/>
  <c r="K17" i="271"/>
  <c r="M15" i="271" l="1"/>
  <c r="L17" i="271"/>
  <c r="L16" i="271"/>
  <c r="M17" i="271" l="1"/>
  <c r="N15" i="271"/>
  <c r="M16" i="271"/>
  <c r="O15" i="271" l="1"/>
  <c r="N17" i="271"/>
  <c r="N16" i="271"/>
  <c r="P15" i="271" l="1"/>
  <c r="O17" i="271"/>
  <c r="O16" i="271"/>
  <c r="P16" i="271" l="1"/>
  <c r="P17" i="271"/>
  <c r="F67" i="291"/>
  <c r="F68" i="291" s="1"/>
  <c r="F69" i="291" s="1"/>
  <c r="F70" i="291" s="1"/>
  <c r="H71" i="291" s="1"/>
  <c r="H72" i="291" s="1"/>
  <c r="K4" i="291" l="1"/>
  <c r="F71" i="291"/>
  <c r="F73" i="291" s="1"/>
  <c r="F74" i="29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tc={7E3B4159-1226-46C5-A519-FBEAC4B27DCA}</author>
    <author>tc={F234984F-75D9-4897-B4EA-945DE3676EA8}</author>
    <author>tc={BF845909-C70C-4F0C-8FB3-87828D92FD8B}</author>
    <author>tc={72042173-F23A-420D-B688-FE875F24CCA0}</author>
    <author>tc={06EE3BFF-8F7C-794A-A7D2-D5F89F2E5DE6}</author>
    <author>tc={1DF49D30-226E-4FE8-B596-F7ADB0B753CA}</author>
    <author>tc={65FF405B-F9A5-45C4-8C58-26E6A3E86388}</author>
    <author>tc={C8E0EE2A-7A49-4CAF-9A16-B1863559633E}</author>
    <author>tc={B622030C-915A-41BD-B8E0-D104FCAACE20}</author>
  </authors>
  <commentList>
    <comment ref="L2" authorId="0" shapeId="0" xr:uid="{7E3B4159-1226-46C5-A519-FBEAC4B27DCA}">
      <text>
        <t>[Threaded comment]
Your version of Excel allows you to read this threaded comment; however, any edits to it will get removed if the file is opened in a newer version of Excel. Learn more: https://go.microsoft.com/fwlink/?linkid=870924
Comment:
    Column showing what savings SHOULD be coming out of the month</t>
      </text>
    </comment>
    <comment ref="R5" authorId="1" shapeId="0" xr:uid="{F234984F-75D9-4897-B4EA-945DE3676EA8}">
      <text>
        <t>[Threaded comment]
Your version of Excel allows you to read this threaded comment; however, any edits to it will get removed if the file is opened in a newer version of Excel. Learn more: https://go.microsoft.com/fwlink/?linkid=870924
Comment:
    Tania / babu / kristas NYE</t>
      </text>
    </comment>
    <comment ref="N32" authorId="2" shapeId="0" xr:uid="{BF845909-C70C-4F0C-8FB3-87828D92FD8B}">
      <text>
        <t>[Threaded comment]
Your version of Excel allows you to read this threaded comment; however, any edits to it will get removed if the file is opened in a newer version of Excel. Learn more: https://go.microsoft.com/fwlink/?linkid=870924
Comment:
    Increasing payments from 250 to 263 to account for shortfall</t>
      </text>
    </comment>
    <comment ref="L92" authorId="3" shapeId="0" xr:uid="{72042173-F23A-420D-B688-FE875F24CCA0}">
      <text>
        <t>[Threaded comment]
Your version of Excel allows you to read this threaded comment; however, any edits to it will get removed if the file is opened in a newer version of Excel. Learn more: https://go.microsoft.com/fwlink/?linkid=870924
Comment:
    Novembers wage, minus all outgoings</t>
      </text>
    </comment>
    <comment ref="E110" authorId="4" shapeId="0" xr:uid="{06EE3BFF-8F7C-794A-A7D2-D5F89F2E5DE6}">
      <text>
        <t>[Threaded comment]
Your version of Excel allows you to read this threaded comment; however, any edits to it will get removed if the file is opened in a newer version of Excel. Learn more: https://go.microsoft.com/fwlink/?linkid=870924
Comment:
    Starting post farm
Dads addresses</t>
      </text>
    </comment>
    <comment ref="G119" authorId="5" shapeId="0" xr:uid="{1DF49D30-226E-4FE8-B596-F7ADB0B753CA}">
      <text>
        <t>[Threaded comment]
Your version of Excel allows you to read this threaded comment; however, any edits to it will get removed if the file is opened in a newer version of Excel. Learn more: https://go.microsoft.com/fwlink/?linkid=870924
Comment:
    https://www.amazon.co.uk/dp/B019DWWU4O/ref=br_dsk_vv_itemdt_dp?colid=2G7O0WB7RE3ZE&amp;coliid=I2SADZCAFER4D4&amp;th=1</t>
      </text>
    </comment>
    <comment ref="G130" authorId="6" shapeId="0" xr:uid="{65FF405B-F9A5-45C4-8C58-26E6A3E86388}">
      <text>
        <t>[Threaded comment]
Your version of Excel allows you to read this threaded comment; however, any edits to it will get removed if the file is opened in a newer version of Excel. Learn more: https://go.microsoft.com/fwlink/?linkid=870924
Comment:
    https://www.boots.com/peppa-pig-christmas-mesh-dress-10365514?traffic=paid.shopping&amp;gclsrc=aw.ds&amp;gad_source=1&amp;gad_campaignid=23225013094&amp;gbraid=0AAAAA-AdmwR5EjwnVSvxv_-XbFZWU6yOG&amp;gclid=CjwKCAiAuIDJBhBoEiwAxhgyFgejZXD4pu6XEM6BgXfDL-oYzs7zH3wiM9RgKlJ25pa76rIgIKZn3xoCgHoQAvD_BwE
https://www.argos.co.uk/product/tuc146413211?&amp;utm_custom6=PLA&amp;deeplink=true&amp;gclsrc=aw.ds&amp;&amp;cmpid=GS001&amp;_$ja=tsid:59157%7Cacid:286-838-5542%7Ccid:20331952296%7Cagid:%7Ctid:%7Ccrid:%7Cnw:x%7Crnd:12070907030145352097%7Cdvc:c%7Cadp:%7Cmt:%7Cloc:9046697&amp;utm_source=Google&amp;utm_medium=cpc&amp;utm_campaign=20331952296&amp;utm_term=&amp;utm_content=shopping&amp;utm_custom1=&amp;utm_custom2=286-838-5542&amp;GPDP=true&amp;gad_source=1&amp;gad_campaignid=20331955620&amp;gbraid=0AAAAAp5MJVdHNKMM8LYFOFULQMMKdPlak&amp;gclid=CjwKCAiAuIDJBhBoEiwAxhgyFlch2W9OZcaX2C5ibrHhbVzAqMFGHPOenqMjZF59chmCVleSoA3sphoCEioQAvD_BwE
https://direct.asda.com/george/kids/nightwear-slippers/peppa-pig-pink-long-sleeve-frill-hem-pyjamas/GEM1333034,default,pd.html?cgid=D25M2G1C11</t>
      </text>
    </comment>
    <comment ref="G137" authorId="7" shapeId="0" xr:uid="{C8E0EE2A-7A49-4CAF-9A16-B1863559633E}">
      <text>
        <t>[Threaded comment]
Your version of Excel allows you to read this threaded comment; however, any edits to it will get removed if the file is opened in a newer version of Excel. Learn more: https://go.microsoft.com/fwlink/?linkid=870924
Comment:
    https://www.amazon.co.uk/gp/product/B0DNGBHK93/ref=ox_sc_act_title_5?smid=A3P5ROKL5A1OLE&amp;psc=1</t>
      </text>
    </comment>
    <comment ref="G138" authorId="8" shapeId="0" xr:uid="{B622030C-915A-41BD-B8E0-D104FCAACE20}">
      <text>
        <t>[Threaded comment]
Your version of Excel allows you to read this threaded comment; however, any edits to it will get removed if the file is opened in a newer version of Excel. Learn more: https://go.microsoft.com/fwlink/?linkid=870924
Comment:
    https://www.marksandspencer.com/knitted-bear-jumper-0-3-yrs-/p/clp60761157?color=GREY#intid=carousel_FUNH_AT_PHOENIX-SIMILAR_END_PDP_16_14:10b4ec13-0ae2-48e3-ba6a-3b2cdf7f646d
Reply:
    https://www.marksandspencer.com/knitted-joggers-0-3-yrs-/p/clp60760598?color=BROWN&amp;extid=ps_ps-pla-pmax_ggl_kw_ch__-_UK_-_-_bau&amp;cq_src=google_ads&amp;cq_cmp=20189587561&amp;cq_con=&amp;cq_term=&amp;cq_med=pla&amp;cq_plac=&amp;cq_net=x&amp;cq_plt=gp&amp;gclsrc=aw.ds&amp;gad_source=1&amp;gad_campaignid=19965637887&amp;gbraid=0AAAAAD7g6bTU35bDs3vWwwTjtsSkIa8gq&amp;gclid=CjwKCAiAuIDJBhBoEiwAxhgyFiKFz0kePvdRzZhylU_9_ew6UJqrXnO_LOU06UbWF67NaTKpbQKARxoCmyMQAvD_Bw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G2" authorId="0" shapeId="0" xr:uid="{00000000-0006-0000-0200-000001000000}">
      <text>
        <r>
          <rPr>
            <b/>
            <sz val="10"/>
            <color indexed="81"/>
            <rFont val="Calibri"/>
            <family val="2"/>
          </rPr>
          <t>Microsoft Office User:</t>
        </r>
        <r>
          <rPr>
            <sz val="10"/>
            <color indexed="81"/>
            <rFont val="Calibri"/>
            <family val="2"/>
          </rPr>
          <t xml:space="preserve">
Refers to last years Wages sheet to get a reference to the bonus that was earned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G2" authorId="0" shapeId="0" xr:uid="{00000000-0006-0000-0300-000001000000}">
      <text>
        <r>
          <rPr>
            <b/>
            <sz val="10"/>
            <color indexed="81"/>
            <rFont val="Calibri"/>
            <family val="2"/>
          </rPr>
          <t>Microsoft Office User:</t>
        </r>
        <r>
          <rPr>
            <sz val="10"/>
            <color indexed="81"/>
            <rFont val="Calibri"/>
            <family val="2"/>
          </rPr>
          <t xml:space="preserve">
Refers to last years Wages sheet to get a reference to the bonus that was earned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H2" authorId="0" shapeId="0" xr:uid="{00000000-0006-0000-0400-000001000000}">
      <text>
        <r>
          <rPr>
            <b/>
            <sz val="10"/>
            <color indexed="81"/>
            <rFont val="Calibri"/>
            <family val="2"/>
          </rPr>
          <t>Microsoft Office User:</t>
        </r>
        <r>
          <rPr>
            <sz val="10"/>
            <color indexed="81"/>
            <rFont val="Calibri"/>
            <family val="2"/>
          </rPr>
          <t xml:space="preserve">
Refers to last years Wages sheet to get a reference to the bonus that was earned</t>
        </r>
      </text>
    </comment>
    <comment ref="E10" authorId="0" shapeId="0" xr:uid="{00000000-0006-0000-0400-000002000000}">
      <text>
        <r>
          <rPr>
            <b/>
            <sz val="10"/>
            <color indexed="81"/>
            <rFont val="Calibri"/>
            <family val="2"/>
          </rPr>
          <t>Microsoft Office User:</t>
        </r>
        <r>
          <rPr>
            <sz val="10"/>
            <color indexed="81"/>
            <rFont val="Calibri"/>
            <family val="2"/>
          </rPr>
          <t xml:space="preserve">
Sat 24th worked 9 hours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2" authorId="0" shapeId="0" xr:uid="{00000000-0006-0000-0500-000001000000}">
      <text>
        <r>
          <rPr>
            <b/>
            <sz val="10"/>
            <color indexed="81"/>
            <rFont val="Calibri"/>
            <family val="2"/>
          </rPr>
          <t>Microsoft Office User:</t>
        </r>
        <r>
          <rPr>
            <sz val="10"/>
            <color indexed="81"/>
            <rFont val="Calibri"/>
            <family val="2"/>
          </rPr>
          <t xml:space="preserve">
Refers to last years Wages sheet to get a reference to the bonus that was earned</t>
        </r>
      </text>
    </comment>
    <comment ref="C10" authorId="0" shapeId="0" xr:uid="{00000000-0006-0000-0500-000002000000}">
      <text>
        <r>
          <rPr>
            <b/>
            <sz val="10"/>
            <color indexed="81"/>
            <rFont val="Calibri"/>
            <family val="2"/>
          </rPr>
          <t>Microsoft Office User:</t>
        </r>
        <r>
          <rPr>
            <sz val="10"/>
            <color indexed="81"/>
            <rFont val="Calibri"/>
            <family val="2"/>
          </rPr>
          <t xml:space="preserve">
Missing from January</t>
        </r>
      </text>
    </comment>
    <comment ref="B21" authorId="0" shapeId="0" xr:uid="{00000000-0006-0000-0500-000003000000}">
      <text>
        <r>
          <rPr>
            <b/>
            <sz val="10"/>
            <color indexed="81"/>
            <rFont val="Calibri"/>
            <family val="2"/>
          </rPr>
          <t>Microsoft Office User:</t>
        </r>
        <r>
          <rPr>
            <sz val="10"/>
            <color indexed="81"/>
            <rFont val="Calibri"/>
            <family val="2"/>
          </rPr>
          <t xml:space="preserve">
21st paid following month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2" authorId="0" shapeId="0" xr:uid="{00000000-0006-0000-0900-000001000000}">
      <text>
        <r>
          <rPr>
            <b/>
            <sz val="10"/>
            <color indexed="81"/>
            <rFont val="Calibri"/>
            <family val="2"/>
          </rPr>
          <t>Microsoft Office User:</t>
        </r>
        <r>
          <rPr>
            <sz val="10"/>
            <color indexed="81"/>
            <rFont val="Calibri"/>
            <family val="2"/>
          </rPr>
          <t xml:space="preserve">
Refers to last years Wages sheet to get a reference to the bonus that was earned</t>
        </r>
      </text>
    </comment>
    <comment ref="C10" authorId="0" shapeId="0" xr:uid="{00000000-0006-0000-0900-000002000000}">
      <text>
        <r>
          <rPr>
            <b/>
            <sz val="10"/>
            <color indexed="81"/>
            <rFont val="Calibri"/>
            <family val="2"/>
          </rPr>
          <t>Microsoft Office User:</t>
        </r>
        <r>
          <rPr>
            <sz val="10"/>
            <color indexed="81"/>
            <rFont val="Calibri"/>
            <family val="2"/>
          </rPr>
          <t xml:space="preserve">
Missing from January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10" authorId="0" shapeId="0" xr:uid="{00000000-0006-0000-0A00-000001000000}">
      <text>
        <r>
          <rPr>
            <b/>
            <sz val="10"/>
            <color indexed="81"/>
            <rFont val="Calibri"/>
            <family val="2"/>
          </rPr>
          <t>Microsoft Office User:</t>
        </r>
        <r>
          <rPr>
            <sz val="10"/>
            <color indexed="81"/>
            <rFont val="Calibri"/>
            <family val="2"/>
          </rPr>
          <t xml:space="preserve">
Missing from January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12" authorId="0" shapeId="0" xr:uid="{00000000-0006-0000-0C00-000001000000}">
      <text>
        <r>
          <rPr>
            <b/>
            <sz val="10"/>
            <color indexed="81"/>
            <rFont val="Calibri"/>
            <family val="2"/>
          </rPr>
          <t>Microsoft Office User:</t>
        </r>
        <r>
          <rPr>
            <sz val="10"/>
            <color indexed="81"/>
            <rFont val="Calibri"/>
            <family val="2"/>
          </rPr>
          <t xml:space="preserve">
15.99 Xbox rocket league</t>
        </r>
      </text>
    </comment>
    <comment ref="D12" authorId="0" shapeId="0" xr:uid="{00000000-0006-0000-0C00-000002000000}">
      <text>
        <r>
          <rPr>
            <b/>
            <sz val="10"/>
            <color indexed="81"/>
            <rFont val="Calibri"/>
            <family val="2"/>
          </rPr>
          <t>Microsoft Office User:</t>
        </r>
        <r>
          <rPr>
            <sz val="10"/>
            <color indexed="81"/>
            <rFont val="Calibri"/>
            <family val="2"/>
          </rPr>
          <t xml:space="preserve">
£25 - boyes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4" authorId="0" shapeId="0" xr:uid="{00000000-0006-0000-1400-000001000000}">
      <text>
        <r>
          <rPr>
            <b/>
            <sz val="10"/>
            <color indexed="81"/>
            <rFont val="Calibri"/>
            <family val="2"/>
          </rPr>
          <t>Microsoft Office User:</t>
        </r>
        <r>
          <rPr>
            <sz val="10"/>
            <color indexed="81"/>
            <rFont val="Calibri"/>
            <family val="2"/>
          </rPr>
          <t xml:space="preserve">
Morrisons - 23.16
Subway - 6
Subway - 9
Tesco - 3
Tesco - 3
Pizza Hut - 17.55</t>
        </r>
      </text>
    </comment>
    <comment ref="D4" authorId="0" shapeId="0" xr:uid="{00000000-0006-0000-1400-000002000000}">
      <text>
        <r>
          <rPr>
            <sz val="11"/>
            <color theme="1"/>
            <rFont val="Calibri"/>
            <family val="2"/>
            <scheme val="minor"/>
          </rPr>
          <t>Forks - 14.15
Morrisons - 9.30
Tesco - 3.50
BRI - 3.27</t>
        </r>
      </text>
    </comment>
    <comment ref="E4" authorId="0" shapeId="0" xr:uid="{00000000-0006-0000-1400-000003000000}">
      <text>
        <r>
          <rPr>
            <b/>
            <sz val="10"/>
            <color indexed="81"/>
            <rFont val="Calibri"/>
            <family val="2"/>
          </rPr>
          <t>Microsoft Office User:</t>
        </r>
        <r>
          <rPr>
            <sz val="10"/>
            <color indexed="81"/>
            <rFont val="Calibri"/>
            <family val="2"/>
          </rPr>
          <t xml:space="preserve">
Costa - 7.45
Crawshaws - 4.40
Turtle bay - 30.05
rawshaws - 5
Morrisons - 5.45
Uni - 6.58
Asda - £15</t>
        </r>
      </text>
    </comment>
    <comment ref="F4" authorId="0" shapeId="0" xr:uid="{00000000-0006-0000-1400-000004000000}">
      <text>
        <r>
          <rPr>
            <b/>
            <sz val="10"/>
            <color indexed="81"/>
            <rFont val="Calibri"/>
            <family val="2"/>
          </rPr>
          <t>Microsoft Office User:</t>
        </r>
        <r>
          <rPr>
            <sz val="10"/>
            <color indexed="81"/>
            <rFont val="Calibri"/>
            <family val="2"/>
          </rPr>
          <t xml:space="preserve">
Asda - 9.96
Asda - 5.54
Nandos - 23.65
Fliirt - 7.90
</t>
        </r>
      </text>
    </comment>
    <comment ref="C15" authorId="0" shapeId="0" xr:uid="{00000000-0006-0000-1400-000005000000}">
      <text>
        <r>
          <rPr>
            <b/>
            <sz val="10"/>
            <color indexed="81"/>
            <rFont val="Calibri"/>
            <family val="2"/>
          </rPr>
          <t>Microsoft Office User:</t>
        </r>
        <r>
          <rPr>
            <sz val="10"/>
            <color indexed="81"/>
            <rFont val="Calibri"/>
            <family val="2"/>
          </rPr>
          <t xml:space="preserve">
Cinema - 6.40
Wildlife Book - 9</t>
        </r>
      </text>
    </comment>
    <comment ref="D15" authorId="0" shapeId="0" xr:uid="{00000000-0006-0000-1400-000006000000}">
      <text>
        <r>
          <rPr>
            <sz val="11"/>
            <color theme="1"/>
            <rFont val="Calibri"/>
            <family val="2"/>
            <scheme val="minor"/>
          </rPr>
          <t>Driving Lessons - 95
BCF2000 - 73
Waves plug-ins - 101
Logic X - 149.99
home office phone calls - 20 (to dad)</t>
        </r>
      </text>
    </comment>
    <comment ref="E15" authorId="0" shapeId="0" xr:uid="{00000000-0006-0000-1400-000007000000}">
      <text>
        <r>
          <rPr>
            <b/>
            <sz val="10"/>
            <color indexed="81"/>
            <rFont val="Calibri"/>
            <family val="2"/>
          </rPr>
          <t>Microsoft Office User:</t>
        </r>
        <r>
          <rPr>
            <sz val="10"/>
            <color indexed="81"/>
            <rFont val="Calibri"/>
            <family val="2"/>
          </rPr>
          <t xml:space="preserve">
Birthday cards - 4.50
Dad birthday torch - 4.99
Dad birthday pics - 13.65
Phone cast - 9.99
Dad wrapping paper
Dad snorkel, me shoes, dad shoes - 37.85
Bus ticket - 4.70
Amazon  - 22.97
Amazon - 2.80
Amazon- 3.98
Driving theory - 23</t>
        </r>
      </text>
    </comment>
    <comment ref="F15" authorId="0" shapeId="0" xr:uid="{00000000-0006-0000-1400-000008000000}">
      <text>
        <r>
          <rPr>
            <b/>
            <sz val="10"/>
            <color indexed="81"/>
            <rFont val="Calibri"/>
            <family val="2"/>
          </rPr>
          <t>Microsoft Office User:</t>
        </r>
        <r>
          <rPr>
            <sz val="10"/>
            <color indexed="81"/>
            <rFont val="Calibri"/>
            <family val="2"/>
          </rPr>
          <t xml:space="preserve">
Amazon - 11.99
Amazon - 12.99
Paper man - 31.50
Juicer - 15</t>
        </r>
      </text>
    </comment>
    <comment ref="C18" authorId="0" shapeId="0" xr:uid="{00000000-0006-0000-1400-000009000000}">
      <text>
        <r>
          <rPr>
            <b/>
            <sz val="10"/>
            <color indexed="81"/>
            <rFont val="Calibri"/>
            <family val="2"/>
          </rPr>
          <t>Microsoft Office User:</t>
        </r>
        <r>
          <rPr>
            <sz val="10"/>
            <color indexed="81"/>
            <rFont val="Calibri"/>
            <family val="2"/>
          </rPr>
          <t xml:space="preserve">
BRI - Wage</t>
        </r>
      </text>
    </comment>
    <comment ref="D18" authorId="0" shapeId="0" xr:uid="{00000000-0006-0000-1400-00000A000000}">
      <text>
        <r>
          <rPr>
            <b/>
            <sz val="10"/>
            <color indexed="81"/>
            <rFont val="Calibri"/>
            <family val="2"/>
          </rPr>
          <t>Microsoft Office User:</t>
        </r>
        <r>
          <rPr>
            <sz val="10"/>
            <color indexed="81"/>
            <rFont val="Calibri"/>
            <family val="2"/>
          </rPr>
          <t xml:space="preserve">
SFE</t>
        </r>
      </text>
    </comment>
    <comment ref="F18" authorId="0" shapeId="0" xr:uid="{00000000-0006-0000-1400-00000B000000}">
      <text>
        <r>
          <rPr>
            <b/>
            <sz val="10"/>
            <color indexed="81"/>
            <rFont val="Calibri"/>
            <family val="2"/>
          </rPr>
          <t>Microsoft Office User:</t>
        </r>
        <r>
          <rPr>
            <sz val="10"/>
            <color indexed="81"/>
            <rFont val="Calibri"/>
            <family val="2"/>
          </rPr>
          <t xml:space="preserve">
Amazon refund for gopro case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Microsoft Office User</author>
    <author>Matthew Varley</author>
  </authors>
  <commentList>
    <comment ref="C6" authorId="0" shapeId="0" xr:uid="{00000000-0006-0000-1500-000001000000}">
      <text>
        <r>
          <rPr>
            <b/>
            <sz val="10"/>
            <color indexed="81"/>
            <rFont val="Calibri"/>
            <family val="2"/>
          </rPr>
          <t>Microsoft Office User:</t>
        </r>
        <r>
          <rPr>
            <sz val="10"/>
            <color indexed="81"/>
            <rFont val="Calibri"/>
            <family val="2"/>
          </rPr>
          <t xml:space="preserve">
Hfax coffee - 2.90
Chinese buffet - 11
Asda - 6.60
Asda - 39.96
Just eat - 11.50
Asda - 17</t>
        </r>
      </text>
    </comment>
    <comment ref="D6" authorId="0" shapeId="0" xr:uid="{00000000-0006-0000-1500-000002000000}">
      <text>
        <r>
          <rPr>
            <b/>
            <sz val="10"/>
            <color indexed="81"/>
            <rFont val="Calibri"/>
            <family val="2"/>
          </rPr>
          <t>Microsoft Office User:</t>
        </r>
        <r>
          <rPr>
            <sz val="10"/>
            <color indexed="81"/>
            <rFont val="Calibri"/>
            <family val="2"/>
          </rPr>
          <t xml:space="preserve">
20 - Crawshaws meat
71.61 - Fazenda</t>
        </r>
      </text>
    </comment>
    <comment ref="E6" authorId="1" shapeId="0" xr:uid="{00000000-0006-0000-1500-000003000000}">
      <text>
        <r>
          <rPr>
            <sz val="11"/>
            <color theme="1"/>
            <rFont val="Calibri"/>
            <family val="2"/>
            <scheme val="minor"/>
          </rPr>
          <t>14 - Lahores</t>
        </r>
      </text>
    </comment>
    <comment ref="C15" authorId="0" shapeId="0" xr:uid="{00000000-0006-0000-1500-000004000000}">
      <text>
        <r>
          <rPr>
            <b/>
            <sz val="10"/>
            <color indexed="81"/>
            <rFont val="Calibri"/>
            <family val="2"/>
          </rPr>
          <t xml:space="preserve">Microsoft Office User:
Cam - 245
Cam case - 17.57
Cam warranty - 31.25
Bus tickets to hfax - 9.40
Sheffield train tickets - 25.10
</t>
        </r>
      </text>
    </comment>
    <comment ref="D15" authorId="0" shapeId="0" xr:uid="{00000000-0006-0000-1500-000005000000}">
      <text>
        <r>
          <rPr>
            <b/>
            <sz val="10"/>
            <color indexed="81"/>
            <rFont val="Calibri"/>
            <family val="2"/>
          </rPr>
          <t>Microsoft Office User:</t>
        </r>
        <r>
          <rPr>
            <sz val="10"/>
            <color indexed="81"/>
            <rFont val="Calibri"/>
            <family val="2"/>
          </rPr>
          <t xml:space="preserve">
40.48 - New charger</t>
        </r>
      </text>
    </comment>
    <comment ref="E15" authorId="0" shapeId="0" xr:uid="{00000000-0006-0000-1500-000006000000}">
      <text>
        <r>
          <rPr>
            <b/>
            <sz val="10"/>
            <color indexed="81"/>
            <rFont val="Calibri"/>
            <family val="2"/>
          </rPr>
          <t>Microsoft Office User:</t>
        </r>
        <r>
          <rPr>
            <sz val="10"/>
            <color indexed="81"/>
            <rFont val="Calibri"/>
            <family val="2"/>
          </rPr>
          <t xml:space="preserve">
12.98 - post office
12.39 - pub
25 - graduation
37.90 - flowers
30 - haworth
7.99 - vest
11.99 - bedside cabinet
59.96 - drawers
0.6 - asda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6" authorId="0" shapeId="0" xr:uid="{00000000-0006-0000-1600-000001000000}">
      <text>
        <r>
          <rPr>
            <b/>
            <sz val="10"/>
            <color indexed="81"/>
            <rFont val="Calibri"/>
            <family val="2"/>
          </rPr>
          <t>Microsoft Office User:
Haworth - 17.30
Haworth ice cream - 3
Asda - 4</t>
        </r>
        <r>
          <rPr>
            <sz val="10"/>
            <color indexed="81"/>
            <rFont val="Calibri"/>
            <family val="2"/>
          </rPr>
          <t xml:space="preserve">
</t>
        </r>
      </text>
    </comment>
    <comment ref="C16" authorId="0" shapeId="0" xr:uid="{00000000-0006-0000-1600-000002000000}">
      <text>
        <r>
          <rPr>
            <b/>
            <sz val="10"/>
            <color indexed="81"/>
            <rFont val="Calibri"/>
            <family val="2"/>
          </rPr>
          <t>Microsoft Office User:</t>
        </r>
        <r>
          <rPr>
            <sz val="10"/>
            <color indexed="81"/>
            <rFont val="Calibri"/>
            <family val="2"/>
          </rPr>
          <t xml:space="preserve">
Poodini funds - 20
Driving lesson - 24
Car - 695
Gym - 18
Driving Cancellations - 18
</t>
        </r>
      </text>
    </comment>
    <comment ref="D16" authorId="0" shapeId="0" xr:uid="{00000000-0006-0000-1600-000003000000}">
      <text>
        <r>
          <rPr>
            <b/>
            <sz val="10"/>
            <color indexed="81"/>
            <rFont val="Calibri"/>
            <family val="2"/>
          </rPr>
          <t>Microsoft Office User:</t>
        </r>
        <r>
          <rPr>
            <sz val="10"/>
            <color indexed="81"/>
            <rFont val="Calibri"/>
            <family val="2"/>
          </rPr>
          <t xml:space="preserve">
28
24 - driving lesson
111.37 - learners insurance
2.5 - L plates
30 - seat covers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Matthew Varley</author>
  </authors>
  <commentList>
    <comment ref="C4" authorId="0" shapeId="0" xr:uid="{00000000-0006-0000-1700-000001000000}">
      <text>
        <r>
          <rPr>
            <sz val="11"/>
            <color theme="1"/>
            <rFont val="Calibri"/>
            <family val="2"/>
            <scheme val="minor"/>
          </rPr>
          <t>Asda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Microsoft Office User</author>
    <author>Matthew Varley</author>
  </authors>
  <commentList>
    <comment ref="C3" authorId="0" shapeId="0" xr:uid="{00000000-0006-0000-1800-000001000000}">
      <text>
        <r>
          <rPr>
            <sz val="11"/>
            <color theme="1"/>
            <rFont val="Calibri"/>
            <family val="2"/>
            <scheme val="minor"/>
          </rPr>
          <t xml:space="preserve">£3.35 - BRI
£12.87 - Ginger goose
£1.32 - BRI 
£25 - Huckleberrys </t>
        </r>
      </text>
    </comment>
    <comment ref="D3" authorId="0" shapeId="0" xr:uid="{00000000-0006-0000-1800-000002000000}">
      <text>
        <r>
          <rPr>
            <b/>
            <sz val="10"/>
            <color indexed="81"/>
            <rFont val="Calibri"/>
            <family val="2"/>
          </rPr>
          <t>Microsoft Office User:</t>
        </r>
        <r>
          <rPr>
            <sz val="10"/>
            <color indexed="81"/>
            <rFont val="Calibri"/>
            <family val="2"/>
          </rPr>
          <t xml:space="preserve">
£40 - FB
£4.11 - BRI</t>
        </r>
      </text>
    </comment>
    <comment ref="E3" authorId="1" shapeId="0" xr:uid="{00000000-0006-0000-1800-000003000000}">
      <text>
        <r>
          <rPr>
            <sz val="11"/>
            <color theme="1"/>
            <rFont val="Calibri"/>
            <family val="2"/>
            <scheme val="minor"/>
          </rPr>
          <t>£40 - budget
£3.88 - Krispy Kreme 
£3.72 - BRI</t>
        </r>
      </text>
    </comment>
    <comment ref="C14" authorId="0" shapeId="0" xr:uid="{00000000-0006-0000-1800-000004000000}">
      <text>
        <r>
          <rPr>
            <sz val="11"/>
            <color theme="1"/>
            <rFont val="Calibri"/>
            <family val="2"/>
            <scheme val="minor"/>
          </rPr>
          <t xml:space="preserve">£40 - Camping Cabinet
£159 - Glasses
£22 - Goggles
£3.25 - Wilkos  (polyfilla and sharpener)
£13 - Go outdoors </t>
        </r>
      </text>
    </comment>
    <comment ref="D14" authorId="0" shapeId="0" xr:uid="{00000000-0006-0000-1800-000005000000}">
      <text>
        <r>
          <rPr>
            <b/>
            <sz val="10"/>
            <color indexed="81"/>
            <rFont val="Calibri"/>
            <family val="2"/>
          </rPr>
          <t>Microsoft Office User:</t>
        </r>
        <r>
          <rPr>
            <sz val="10"/>
            <color indexed="81"/>
            <rFont val="Calibri"/>
            <family val="2"/>
          </rPr>
          <t xml:space="preserve">
£55 - Canopy</t>
        </r>
      </text>
    </comment>
    <comment ref="E14" authorId="0" shapeId="0" xr:uid="{00000000-0006-0000-1800-000006000000}">
      <text>
        <r>
          <rPr>
            <b/>
            <sz val="10"/>
            <color indexed="81"/>
            <rFont val="Calibri"/>
            <family val="2"/>
          </rPr>
          <t>Microsoft Office User:</t>
        </r>
        <r>
          <rPr>
            <sz val="10"/>
            <color indexed="81"/>
            <rFont val="Calibri"/>
            <family val="2"/>
          </rPr>
          <t xml:space="preserve">
£59.95 - 4 Drawers
£103 - Tough Mudder </t>
        </r>
      </text>
    </comment>
    <comment ref="E18" authorId="1" shapeId="0" xr:uid="{00000000-0006-0000-1800-000007000000}">
      <text>
        <r>
          <rPr>
            <sz val="11"/>
            <color theme="1"/>
            <rFont val="Calibri"/>
            <family val="2"/>
            <scheme val="minor"/>
          </rPr>
          <t xml:space="preserve">£55 - canopy refund
£250 - savings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00000000-0006-0000-1900-000001000000}">
      <text>
        <r>
          <rPr>
            <b/>
            <sz val="10"/>
            <color indexed="81"/>
            <rFont val="Calibri"/>
            <family val="2"/>
          </rPr>
          <t>Microsoft Office User:</t>
        </r>
        <r>
          <rPr>
            <sz val="10"/>
            <color indexed="81"/>
            <rFont val="Calibri"/>
            <family val="2"/>
          </rPr>
          <t xml:space="preserve">
£18.90 - Chinese
£10.90 - Fish &amp; Chips</t>
        </r>
      </text>
    </comment>
    <comment ref="D3" authorId="0" shapeId="0" xr:uid="{00000000-0006-0000-1900-000002000000}">
      <text>
        <r>
          <rPr>
            <b/>
            <sz val="10"/>
            <color indexed="81"/>
            <rFont val="Calibri"/>
            <family val="2"/>
          </rPr>
          <t>Microsoft Office User:</t>
        </r>
        <r>
          <rPr>
            <sz val="10"/>
            <color indexed="81"/>
            <rFont val="Calibri"/>
            <family val="2"/>
          </rPr>
          <t xml:space="preserve">
£20 - Budget
£3 - BRI
£3.85 - BRI
£3.10 - BRI</t>
        </r>
      </text>
    </comment>
    <comment ref="C14" authorId="0" shapeId="0" xr:uid="{00000000-0006-0000-1900-000003000000}">
      <text>
        <r>
          <rPr>
            <b/>
            <sz val="10"/>
            <color indexed="81"/>
            <rFont val="Calibri"/>
            <family val="2"/>
          </rPr>
          <t>Microsoft Office User:</t>
        </r>
        <r>
          <rPr>
            <sz val="10"/>
            <color indexed="81"/>
            <rFont val="Calibri"/>
            <family val="2"/>
          </rPr>
          <t xml:space="preserve">
£100 - Tent
£44.94 - Mum bday
£9.39 - John Bull
£46.60 - Concert
</t>
        </r>
      </text>
    </comment>
    <comment ref="D14" authorId="0" shapeId="0" xr:uid="{00000000-0006-0000-1900-000004000000}">
      <text>
        <r>
          <rPr>
            <b/>
            <sz val="10"/>
            <color indexed="81"/>
            <rFont val="Calibri"/>
            <family val="2"/>
          </rPr>
          <t>Microsoft Office User:</t>
        </r>
        <r>
          <rPr>
            <sz val="10"/>
            <color indexed="81"/>
            <rFont val="Calibri"/>
            <family val="2"/>
          </rPr>
          <t xml:space="preserve">
£39.45 - Amazon
£21.47 - Amazon
£24.65 - Mums tickets
</t>
        </r>
      </text>
    </comment>
    <comment ref="E14" authorId="0" shapeId="0" xr:uid="{00000000-0006-0000-1900-000005000000}">
      <text>
        <r>
          <rPr>
            <b/>
            <sz val="10"/>
            <color indexed="81"/>
            <rFont val="Calibri"/>
            <family val="2"/>
          </rPr>
          <t>Microsoft Office User:</t>
        </r>
        <r>
          <rPr>
            <sz val="10"/>
            <color indexed="81"/>
            <rFont val="Calibri"/>
            <family val="2"/>
          </rPr>
          <t xml:space="preserve">
£3.50 - Sunflowers
£17.20 - Cinema
£12.48 - Amazon
£40 - MOT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5" authorId="0" shapeId="0" xr:uid="{00000000-0006-0000-1D00-000001000000}">
      <text>
        <r>
          <rPr>
            <b/>
            <sz val="10"/>
            <color indexed="81"/>
            <rFont val="Calibri"/>
            <family val="2"/>
          </rPr>
          <t>Microsoft Office User:</t>
        </r>
        <r>
          <rPr>
            <sz val="10"/>
            <color indexed="81"/>
            <rFont val="Calibri"/>
            <family val="2"/>
          </rPr>
          <t xml:space="preserve">
Filled with wallet money</t>
        </r>
      </text>
    </comment>
    <comment ref="C17" authorId="0" shapeId="0" xr:uid="{00000000-0006-0000-1D00-000002000000}">
      <text>
        <r>
          <rPr>
            <b/>
            <sz val="10"/>
            <color indexed="81"/>
            <rFont val="Calibri"/>
            <family val="2"/>
          </rPr>
          <t>Microsoft Office User:</t>
        </r>
        <r>
          <rPr>
            <sz val="10"/>
            <color indexed="81"/>
            <rFont val="Calibri"/>
            <family val="2"/>
          </rPr>
          <t xml:space="preserve">
£92.97-6 = ASDA (toothbrush, cashback)
£130 - (80 car bits, 30 for dad)</t>
        </r>
      </text>
    </comment>
    <comment ref="D17" authorId="0" shapeId="0" xr:uid="{00000000-0006-0000-1D00-000003000000}">
      <text>
        <r>
          <rPr>
            <b/>
            <sz val="10"/>
            <color indexed="81"/>
            <rFont val="Calibri"/>
            <family val="2"/>
          </rPr>
          <t>£16 - Cinema
£3.88 - KK
£11.44 - IEC adapters
£47.72 - Amazon
£1.19 - HUD shop</t>
        </r>
      </text>
    </comment>
    <comment ref="E17" authorId="0" shapeId="0" xr:uid="{00000000-0006-0000-1D00-000004000000}">
      <text>
        <r>
          <rPr>
            <b/>
            <sz val="10"/>
            <color indexed="81"/>
            <rFont val="Calibri"/>
            <family val="2"/>
          </rPr>
          <t>Microsoft Office User:</t>
        </r>
        <r>
          <rPr>
            <sz val="10"/>
            <color indexed="81"/>
            <rFont val="Calibri"/>
            <family val="2"/>
          </rPr>
          <t xml:space="preserve">
£9.15 - Amazon</t>
        </r>
      </text>
    </comment>
    <comment ref="D21" authorId="0" shapeId="0" xr:uid="{00000000-0006-0000-1D00-000005000000}">
      <text>
        <r>
          <rPr>
            <b/>
            <sz val="10"/>
            <color indexed="81"/>
            <rFont val="Calibri"/>
            <family val="2"/>
          </rPr>
          <t>Microsoft Office User:</t>
        </r>
        <r>
          <rPr>
            <sz val="10"/>
            <color indexed="81"/>
            <rFont val="Calibri"/>
            <family val="2"/>
          </rPr>
          <t xml:space="preserve">
£79 = Safety beacon
£59 = Morethan</t>
        </r>
      </text>
    </comment>
    <comment ref="C23" authorId="0" shapeId="0" xr:uid="{00000000-0006-0000-1D00-000006000000}">
      <text>
        <r>
          <rPr>
            <b/>
            <sz val="10"/>
            <color indexed="81"/>
            <rFont val="Calibri"/>
            <family val="2"/>
          </rPr>
          <t>Microsoft Office User:</t>
        </r>
        <r>
          <rPr>
            <sz val="10"/>
            <color indexed="81"/>
            <rFont val="Calibri"/>
            <family val="2"/>
          </rPr>
          <t xml:space="preserve">
£255 - Zoom H6
£48.90 - ART P16
£14.32 - XLR patch
£6.98 - 1.8m ps1 extension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14" authorId="0" shapeId="0" xr:uid="{00000000-0006-0000-1E00-000001000000}">
      <text>
        <r>
          <rPr>
            <b/>
            <sz val="10"/>
            <color indexed="81"/>
            <rFont val="Calibri"/>
            <family val="2"/>
          </rPr>
          <t>Microsoft Office User:</t>
        </r>
        <r>
          <rPr>
            <sz val="10"/>
            <color indexed="81"/>
            <rFont val="Calibri"/>
            <family val="2"/>
          </rPr>
          <t xml:space="preserve">
£27 nandos
£5.10 - uni
</t>
        </r>
      </text>
    </comment>
    <comment ref="D17" authorId="0" shapeId="0" xr:uid="{00000000-0006-0000-1E00-000002000000}">
      <text>
        <r>
          <rPr>
            <b/>
            <sz val="10"/>
            <color indexed="81"/>
            <rFont val="Calibri"/>
            <family val="2"/>
          </rPr>
          <t>Microsoft Office User:
£40 fireworks</t>
        </r>
      </text>
    </comment>
    <comment ref="F17" authorId="0" shapeId="0" xr:uid="{00000000-0006-0000-1E00-000003000000}">
      <text>
        <r>
          <rPr>
            <b/>
            <sz val="10"/>
            <color indexed="81"/>
            <rFont val="Calibri"/>
            <family val="2"/>
          </rPr>
          <t>Microsoft Office User:
PARISSSSS</t>
        </r>
      </text>
    </comment>
    <comment ref="E21" authorId="0" shapeId="0" xr:uid="{00000000-0006-0000-1E00-000004000000}">
      <text>
        <r>
          <rPr>
            <b/>
            <sz val="10"/>
            <color indexed="81"/>
            <rFont val="Calibri"/>
            <family val="2"/>
          </rPr>
          <t>Microsoft Office User:</t>
        </r>
        <r>
          <rPr>
            <sz val="10"/>
            <color indexed="81"/>
            <rFont val="Calibri"/>
            <family val="2"/>
          </rPr>
          <t xml:space="preserve">
50 - Speakers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Matthew Varley</author>
    <author>Microsoft Office User</author>
  </authors>
  <commentList>
    <comment ref="F6" authorId="0" shapeId="0" xr:uid="{00000000-0006-0000-2000-000001000000}">
      <text>
        <r>
          <rPr>
            <sz val="11"/>
            <color theme="1"/>
            <rFont val="Calibri"/>
            <family val="2"/>
            <scheme val="minor"/>
          </rPr>
          <t>£34.02 petrol in cash</t>
        </r>
      </text>
    </comment>
    <comment ref="F12" authorId="1" shapeId="0" xr:uid="{00000000-0006-0000-2000-000002000000}">
      <text>
        <r>
          <rPr>
            <b/>
            <sz val="10"/>
            <color indexed="81"/>
            <rFont val="Calibri"/>
            <family val="2"/>
          </rPr>
          <t>Microsoft Office User:</t>
        </r>
        <r>
          <rPr>
            <sz val="10"/>
            <color indexed="81"/>
            <rFont val="Calibri"/>
            <family val="2"/>
          </rPr>
          <t xml:space="preserve">
319 - bed
22.99 - crash 2
17.50 - crash 3</t>
        </r>
      </text>
    </comment>
    <comment ref="C28" authorId="1" shapeId="0" xr:uid="{00000000-0006-0000-2000-000003000000}">
      <text>
        <r>
          <rPr>
            <b/>
            <sz val="10"/>
            <color indexed="81"/>
            <rFont val="Calibri"/>
            <family val="2"/>
          </rPr>
          <t>Microsoft Office User:</t>
        </r>
        <r>
          <rPr>
            <sz val="10"/>
            <color indexed="81"/>
            <rFont val="Calibri"/>
            <family val="2"/>
          </rPr>
          <t xml:space="preserve">
wage
HDD
MoreThan
Dylans magnets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7" authorId="0" shapeId="0" xr:uid="{00000000-0006-0000-2400-000001000000}">
      <text>
        <r>
          <rPr>
            <b/>
            <sz val="10"/>
            <color indexed="81"/>
            <rFont val="Calibri"/>
            <family val="2"/>
          </rPr>
          <t>Microsoft Office User:</t>
        </r>
        <r>
          <rPr>
            <sz val="10"/>
            <color indexed="81"/>
            <rFont val="Calibri"/>
            <family val="2"/>
          </rPr>
          <t xml:space="preserve">
Transfer to K</t>
        </r>
      </text>
    </comment>
    <comment ref="C8" authorId="0" shapeId="0" xr:uid="{00000000-0006-0000-2400-000002000000}">
      <text>
        <r>
          <rPr>
            <b/>
            <sz val="10"/>
            <color indexed="81"/>
            <rFont val="Calibri"/>
            <family val="2"/>
          </rPr>
          <t>Microsoft Office User:</t>
        </r>
        <r>
          <rPr>
            <sz val="10"/>
            <color indexed="81"/>
            <rFont val="Calibri"/>
            <family val="2"/>
          </rPr>
          <t xml:space="preserve">
56 - k coats
5 - gin for k work
10 - aunty jo xmas
30 - k gifts
54.49 - amazon
6.99 - amazon
136.03 - TK Maxx
</t>
        </r>
      </text>
    </comment>
    <comment ref="D8" authorId="0" shapeId="0" xr:uid="{00000000-0006-0000-2400-000003000000}">
      <text>
        <r>
          <rPr>
            <b/>
            <sz val="10"/>
            <color indexed="81"/>
            <rFont val="Calibri"/>
            <family val="2"/>
          </rPr>
          <t>Microsoft Office User:</t>
        </r>
        <r>
          <rPr>
            <sz val="10"/>
            <color indexed="81"/>
            <rFont val="Calibri"/>
            <family val="2"/>
          </rPr>
          <t xml:space="preserve">
9.95 = andrew bowl
18.11 = k mac case + nail polish
25 = k hairdryer
56.98 = the range
22.50 = tesco (chris wine</t>
        </r>
      </text>
    </comment>
    <comment ref="C9" authorId="0" shapeId="0" xr:uid="{00000000-0006-0000-2400-000004000000}">
      <text>
        <r>
          <rPr>
            <b/>
            <sz val="10"/>
            <color indexed="81"/>
            <rFont val="Calibri"/>
            <family val="2"/>
          </rPr>
          <t>Microsoft Office User:</t>
        </r>
        <r>
          <rPr>
            <sz val="10"/>
            <color indexed="81"/>
            <rFont val="Calibri"/>
            <family val="2"/>
          </rPr>
          <t xml:space="preserve">
Removed from savings last month for Latvia in Jan; replaced</t>
        </r>
      </text>
    </comment>
    <comment ref="C10" authorId="0" shapeId="0" xr:uid="{00000000-0006-0000-2400-000005000000}">
      <text>
        <r>
          <rPr>
            <b/>
            <sz val="10"/>
            <color indexed="81"/>
            <rFont val="Calibri"/>
            <family val="2"/>
          </rPr>
          <t>Microsoft Office User:</t>
        </r>
        <r>
          <rPr>
            <sz val="10"/>
            <color indexed="81"/>
            <rFont val="Calibri"/>
            <family val="2"/>
          </rPr>
          <t xml:space="preserve">
10 - whitelys
2.75 - asda at work
32.40 - thai buffet
10 - k mug
19.04 - k gym bag</t>
        </r>
      </text>
    </comment>
    <comment ref="D10" authorId="0" shapeId="0" xr:uid="{00000000-0006-0000-2400-000006000000}">
      <text>
        <r>
          <rPr>
            <b/>
            <sz val="10"/>
            <color indexed="81"/>
            <rFont val="Calibri"/>
            <family val="2"/>
          </rPr>
          <t>Microsoft Office User:</t>
        </r>
        <r>
          <rPr>
            <sz val="10"/>
            <color indexed="81"/>
            <rFont val="Calibri"/>
            <family val="2"/>
          </rPr>
          <t xml:space="preserve">
1.08 = asda?
160 = native instruments
19.99 = monitor arm
6.85 = pub
8.89 = pub
12.50 = just eat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28" authorId="0" shapeId="0" xr:uid="{71614673-5444-1E4C-8E71-9C8BCF5D3FD2}">
      <text>
        <r>
          <rPr>
            <b/>
            <sz val="10"/>
            <color rgb="FF000000"/>
            <rFont val="Tahoma"/>
            <family val="2"/>
          </rPr>
          <t>Microsoft Office User:</t>
        </r>
        <r>
          <rPr>
            <sz val="10"/>
            <color rgb="FF000000"/>
            <rFont val="Tahoma"/>
            <family val="2"/>
          </rPr>
          <t xml:space="preserve">
</t>
        </r>
        <r>
          <rPr>
            <sz val="10"/>
            <color rgb="FF000000"/>
            <rFont val="Tahoma"/>
            <family val="2"/>
          </rPr>
          <t>+40 MOT</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tc={5D80A09C-E518-244A-B235-8A1321AE68D6}</author>
    <author>tc={89162DA7-2650-4148-922A-5683E587C303}</author>
    <author>tc={CE3B4C22-65E6-D246-8753-00627FBD99A3}</author>
    <author>tc={75BD6D19-BEA0-9342-BF5F-A9EF8C74B69F}</author>
    <author>tc={3B36C064-349C-4A4E-95B8-657BB0705C99}</author>
    <author>tc={23B75147-118F-3649-9071-4F62A5DE5474}</author>
  </authors>
  <commentList>
    <comment ref="Q7" authorId="0" shapeId="0" xr:uid="{5D80A09C-E518-244A-B235-8A1321AE68D6}">
      <text>
        <t>[Threaded comment]
Your version of Excel allows you to read this threaded comment; however, any edits to it will get removed if the file is opened in a newer version of Excel. Learn more: https://go.microsoft.com/fwlink/?linkid=870924
Comment:
    20.62 Mayday ice cream</t>
      </text>
    </comment>
    <comment ref="N12" authorId="1" shapeId="0" xr:uid="{89162DA7-2650-4148-922A-5683E587C303}">
      <text>
        <t>[Threaded comment]
Your version of Excel allows you to read this threaded comment; however, any edits to it will get removed if the file is opened in a newer version of Excel. Learn more: https://go.microsoft.com/fwlink/?linkid=870924
Comment:
    15.66????</t>
      </text>
    </comment>
    <comment ref="Q12" authorId="2" shapeId="0" xr:uid="{CE3B4C22-65E6-D246-8753-00627FBD99A3}">
      <text>
        <t>[Threaded comment]
Your version of Excel allows you to read this threaded comment; however, any edits to it will get removed if the file is opened in a newer version of Excel. Learn more: https://go.microsoft.com/fwlink/?linkid=870924
Comment:
    39 = Amazon Prime</t>
      </text>
    </comment>
    <comment ref="T12" authorId="3" shapeId="0" xr:uid="{75BD6D19-BEA0-9342-BF5F-A9EF8C74B69F}">
      <text>
        <t>[Threaded comment]
Your version of Excel allows you to read this threaded comment; however, any edits to it will get removed if the file is opened in a newer version of Excel. Learn more: https://go.microsoft.com/fwlink/?linkid=870924
Comment:
    Overspent on bills due to expenses for trip - see N17</t>
      </text>
    </comment>
    <comment ref="N15" authorId="4" shapeId="0" xr:uid="{3B36C064-349C-4A4E-95B8-657BB0705C99}">
      <text>
        <t>[Threaded comment]
Your version of Excel allows you to read this threaded comment; however, any edits to it will get removed if the file is opened in a newer version of Excel. Learn more: https://go.microsoft.com/fwlink/?linkid=870924
Comment:
    178.9 Actually Ed Sheeran Tickets</t>
      </text>
    </comment>
    <comment ref="N17" authorId="5" shapeId="0" xr:uid="{23B75147-118F-3649-9071-4F62A5DE5474}">
      <text>
        <t>[Threaded comment]
Your version of Excel allows you to read this threaded comment; however, any edits to it will get removed if the file is opened in a newer version of Excel. Learn more: https://go.microsoft.com/fwlink/?linkid=870924
Comment:
    Caused overspend on bills, will be re-imbursed</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tc={225EE615-713E-6A47-95B8-B41DD4C6B155}</author>
    <author>tc={77C7F004-0F55-AC43-8793-79F33B97B7AF}</author>
  </authors>
  <commentList>
    <comment ref="N16" authorId="0" shapeId="0" xr:uid="{225EE615-713E-6A47-95B8-B41DD4C6B155}">
      <text>
        <t>[Threaded comment]
Your version of Excel allows you to read this threaded comment; however, any edits to it will get removed if the file is opened in a newer version of Excel. Learn more: https://go.microsoft.com/fwlink/?linkid=870924
Comment:
    66.72 - BT overcharge???</t>
      </text>
    </comment>
    <comment ref="A23" authorId="1" shapeId="0" xr:uid="{77C7F004-0F55-AC43-8793-79F33B97B7AF}">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
Wallet App - £3.99</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tc={FFD35EA1-6DA9-4DF8-AD7B-338BCF8CE565}</author>
    <author>tc={A69606E8-0D34-4E6A-AD3B-65D835147A9D}</author>
    <author>tc={11922984-1ACA-4C78-A480-458061FBED96}</author>
    <author>tc={5BD2D57A-271F-4836-B359-93965DCE7CDE}</author>
  </authors>
  <commentList>
    <comment ref="F8" authorId="0" shapeId="0" xr:uid="{FFD35EA1-6DA9-4DF8-AD7B-338BCF8CE565}">
      <text>
        <t>[Threaded comment]
Your version of Excel allows you to read this threaded comment; however, any edits to it will get removed if the file is opened in a newer version of Excel. Learn more: https://go.microsoft.com/fwlink/?linkid=870924
Comment:
    TKMaxx - £64.98</t>
      </text>
    </comment>
    <comment ref="F12" authorId="1" shapeId="0" xr:uid="{A69606E8-0D34-4E6A-AD3B-65D835147A9D}">
      <text>
        <t>[Threaded comment]
Your version of Excel allows you to read this threaded comment; however, any edits to it will get removed if the file is opened in a newer version of Excel. Learn more: https://go.microsoft.com/fwlink/?linkid=870924
Comment:
    TKMaxx - £64.98</t>
      </text>
    </comment>
    <comment ref="AC19" authorId="2" shapeId="0" xr:uid="{11922984-1ACA-4C78-A480-458061FBED96}">
      <text>
        <t>[Threaded comment]
Your version of Excel allows you to read this threaded comment; however, any edits to it will get removed if the file is opened in a newer version of Excel. Learn more: https://go.microsoft.com/fwlink/?linkid=870924
Comment:
    66.72 - BT overcharge???</t>
      </text>
    </comment>
    <comment ref="A22" authorId="3" shapeId="0" xr:uid="{5BD2D57A-271F-4836-B359-93965DCE7CDE}">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
Wallet App - £3.99</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tc={5B9A5667-B4A3-4F96-97F9-30D3BC372FFA}</author>
    <author>tc={75B07F41-907F-4050-A822-7E0882AF64E5}</author>
    <author>tc={0E8D5944-BAAF-4A13-92C0-9EA6F90A9F0F}</author>
    <author>tc={FE83B78D-112A-3D43-882C-2B7FE233126D}</author>
    <author>tc={7F575756-26F0-4CFF-B1EA-B91DFD2E317A}</author>
  </authors>
  <commentList>
    <comment ref="H7" authorId="0" shapeId="0" xr:uid="{5B9A5667-B4A3-4F96-97F9-30D3BC372FFA}">
      <text>
        <t>[Threaded comment]
Your version of Excel allows you to read this threaded comment; however, any edits to it will get removed if the file is opened in a newer version of Excel. Learn more: https://go.microsoft.com/fwlink/?linkid=870924
Comment:
    9.7 = seaweed</t>
      </text>
    </comment>
    <comment ref="E12" authorId="1" shapeId="0" xr:uid="{75B07F41-907F-4050-A822-7E0882AF64E5}">
      <text>
        <t>[Threaded comment]
Your version of Excel allows you to read this threaded comment; however, any edits to it will get removed if the file is opened in a newer version of Excel. Learn more: https://go.microsoft.com/fwlink/?linkid=870924
Comment:
    £129 = Nectar from Oct / Nov 11th
£78.97 = HTB</t>
      </text>
    </comment>
    <comment ref="E28" authorId="2" shapeId="0" xr:uid="{0E8D5944-BAAF-4A13-92C0-9EA6F90A9F0F}">
      <text>
        <t>[Threaded comment]
Your version of Excel allows you to read this threaded comment; however, any edits to it will get removed if the file is opened in a newer version of Excel. Learn more: https://go.microsoft.com/fwlink/?linkid=870924
Comment:
    Barcelona</t>
      </text>
    </comment>
    <comment ref="D39" authorId="3" shapeId="0" xr:uid="{FE83B78D-112A-3D43-882C-2B7FE233126D}">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
Wallet App - £3.99</t>
      </text>
    </comment>
    <comment ref="F43" authorId="4" shapeId="0" xr:uid="{7F575756-26F0-4CFF-B1EA-B91DFD2E317A}">
      <text>
        <t>[Threaded comment]
Your version of Excel allows you to read this threaded comment; however, any edits to it will get removed if the file is opened in a newer version of Excel. Learn more: https://go.microsoft.com/fwlink/?linkid=870924
Comment:
    £2250 Matt base wage
£977 Kris reduced wage</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tc={5A437932-3AE9-4675-BA19-03ECB5377224}</author>
    <author>tc={7392B33C-E4D8-44A1-9405-8B4A5FD8689C}</author>
  </authors>
  <commentList>
    <comment ref="G2" authorId="0" shapeId="0" xr:uid="{5A437932-3AE9-4675-BA19-03ECB5377224}">
      <text>
        <t>[Threaded comment]
Your version of Excel allows you to read this threaded comment; however, any edits to it will get removed if the file is opened in a newer version of Excel. Learn more: https://go.microsoft.com/fwlink/?linkid=870924
Comment:
    Sometimes bonuses are only applied on pre-tax costs</t>
      </text>
    </comment>
    <comment ref="Q22" authorId="1" shapeId="0" xr:uid="{7392B33C-E4D8-44A1-9405-8B4A5FD8689C}">
      <text>
        <t>[Threaded comment]
Your version of Excel allows you to read this threaded comment; however, any edits to it will get removed if the file is opened in a newer version of Excel. Learn more: https://go.microsoft.com/fwlink/?linkid=870924
Comment:
    $83</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tc={DFE9BF4B-39A6-4BDD-BBFA-C1B78EC4FABE}</author>
    <author>tc={9601C305-1965-48E9-BFC9-3ED9922F8B0B}</author>
    <author>tc={5C061A58-9135-4A88-BF92-FEA1DC5E20E6}</author>
    <author>tc={223C6B0E-6995-430C-B952-574ED4DFAE35}</author>
    <author>tc={91458884-ABFC-4B88-A459-AF97E01F5208}</author>
    <author>tc={2B7844EC-2FA1-414B-99CD-64EAFA7C99F2}</author>
    <author>tc={9308EFAC-303F-4AA4-830C-C54B906BCB9C}</author>
    <author>tc={6D0674BB-A1FF-4F2D-97CA-E2CBFCFDB73E}</author>
    <author>tc={FA5504D5-8400-4602-8814-72E2E484F2BC}</author>
    <author>tc={DB70F748-7C89-4D1D-A689-829C62FDE51C}</author>
    <author>tc={46EA59A5-1C74-8746-B6E7-CFC80421F28A}</author>
    <author>tc={2DFAA394-30C9-A64E-87F1-C5974BFD6FE7}</author>
    <author>tc={9E71FF1F-0B19-3444-830D-ECF8BE3F0D83}</author>
    <author>tc={FD1587DF-F04B-B442-931C-69C89B871F61}</author>
    <author>tc={DF276ADB-45FE-AB45-BED9-EA7AD7986076}</author>
  </authors>
  <commentList>
    <comment ref="S4" authorId="0" shapeId="0" xr:uid="{DFE9BF4B-39A6-4BDD-BBFA-C1B78EC4FABE}">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H9" authorId="1" shapeId="0" xr:uid="{9601C305-1965-48E9-BFC9-3ED9922F8B0B}">
      <text>
        <t>[Threaded comment]
Your version of Excel allows you to read this threaded comment; however, any edits to it will get removed if the file is opened in a newer version of Excel. Learn more: https://go.microsoft.com/fwlink/?linkid=870924
Comment:
    9.7 = seaweed</t>
      </text>
    </comment>
    <comment ref="D13" authorId="2" shapeId="0" xr:uid="{5C061A58-9135-4A88-BF92-FEA1DC5E20E6}">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E14" authorId="3" shapeId="0" xr:uid="{223C6B0E-6995-430C-B952-574ED4DFAE35}">
      <text>
        <t>[Threaded comment]
Your version of Excel allows you to read this threaded comment; however, any edits to it will get removed if the file is opened in a newer version of Excel. Learn more: https://go.microsoft.com/fwlink/?linkid=870924
Comment:
    £129 = Nectar from Oct / Nov 11th
£78.97 = HTB</t>
      </text>
    </comment>
    <comment ref="E29" authorId="4" shapeId="0" xr:uid="{91458884-ABFC-4B88-A459-AF97E01F5208}">
      <text>
        <t>[Threaded comment]
Your version of Excel allows you to read this threaded comment; however, any edits to it will get removed if the file is opened in a newer version of Excel. Learn more: https://go.microsoft.com/fwlink/?linkid=870924
Comment:
    Less 42 for speed awareness</t>
      </text>
    </comment>
    <comment ref="F29" authorId="5" shapeId="0" xr:uid="{2B7844EC-2FA1-414B-99CD-64EAFA7C99F2}">
      <text>
        <t>[Threaded comment]
Your version of Excel allows you to read this threaded comment; however, any edits to it will get removed if the file is opened in a newer version of Excel. Learn more: https://go.microsoft.com/fwlink/?linkid=870924
Comment:
    41.5 - companion CR (LDS B) LTD ??????</t>
      </text>
    </comment>
    <comment ref="F31" authorId="6" shapeId="0" xr:uid="{9308EFAC-303F-4AA4-830C-C54B906BCB9C}">
      <text>
        <t>[Threaded comment]
Your version of Excel allows you to read this threaded comment; however, any edits to it will get removed if the file is opened in a newer version of Excel. Learn more: https://go.microsoft.com/fwlink/?linkid=870924
Comment:
    Roberts smelly</t>
      </text>
    </comment>
    <comment ref="H31" authorId="7" shapeId="0" xr:uid="{6D0674BB-A1FF-4F2D-97CA-E2CBFCFDB73E}">
      <text>
        <t>[Threaded comment]
Your version of Excel allows you to read this threaded comment; however, any edits to it will get removed if the file is opened in a newer version of Excel. Learn more: https://go.microsoft.com/fwlink/?linkid=870924
Comment:
    Unicorn gin - philippa</t>
      </text>
    </comment>
    <comment ref="E35" authorId="8" shapeId="0" xr:uid="{FA5504D5-8400-4602-8814-72E2E484F2BC}">
      <text>
        <t>[Threaded comment]
Your version of Excel allows you to read this threaded comment; however, any edits to it will get removed if the file is opened in a newer version of Excel. Learn more: https://go.microsoft.com/fwlink/?linkid=870924
Comment:
    165.34 - On call
154.28 - birthday / cashback
500.00 - holiday
154.00 - 100 for kris, 42 for speed awareness</t>
      </text>
    </comment>
    <comment ref="D41" authorId="9" shapeId="0" xr:uid="{DB70F748-7C89-4D1D-A689-829C62FDE51C}">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
Wallet App - £3.99</t>
      </text>
    </comment>
    <comment ref="C61" authorId="10" shapeId="0" xr:uid="{46EA59A5-1C74-8746-B6E7-CFC80421F28A}">
      <text>
        <t>[Threaded comment]
Your version of Excel allows you to read this threaded comment; however, any edits to it will get removed if the file is opened in a newer version of Excel. Learn more: https://go.microsoft.com/fwlink/?linkid=870924
Comment:
    Guitar</t>
      </text>
    </comment>
    <comment ref="F61" authorId="11" shapeId="0" xr:uid="{2DFAA394-30C9-A64E-87F1-C5974BFD6FE7}">
      <text>
        <t>[Threaded comment]
Your version of Excel allows you to read this threaded comment; however, any edits to it will get removed if the file is opened in a newer version of Excel. Learn more: https://go.microsoft.com/fwlink/?linkid=870924
Comment:
    Hol repayment</t>
      </text>
    </comment>
    <comment ref="C63" authorId="12" shapeId="0" xr:uid="{9E71FF1F-0B19-3444-830D-ECF8BE3F0D83}">
      <text>
        <t>[Threaded comment]
Your version of Excel allows you to read this threaded comment; however, any edits to it will get removed if the file is opened in a newer version of Excel. Learn more: https://go.microsoft.com/fwlink/?linkid=870924
Comment:
    service money</t>
      </text>
    </comment>
    <comment ref="F63" authorId="13" shapeId="0" xr:uid="{FD1587DF-F04B-B442-931C-69C89B871F61}">
      <text>
        <t>[Threaded comment]
Your version of Excel allows you to read this threaded comment; however, any edits to it will get removed if the file is opened in a newer version of Excel. Learn more: https://go.microsoft.com/fwlink/?linkid=870924
Comment:
    Holiday fund</t>
      </text>
    </comment>
    <comment ref="C64" authorId="14" shapeId="0" xr:uid="{DF276ADB-45FE-AB45-BED9-EA7AD7986076}">
      <text>
        <t>[Threaded comment]
Your version of Excel allows you to read this threaded comment; however, any edits to it will get removed if the file is opened in a newer version of Excel. Learn more: https://go.microsoft.com/fwlink/?linkid=870924
Comment:
    service money</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tc={3D895512-FA18-9549-ACFE-B32D5CEB6636}</author>
    <author>tc={0A152736-19FE-1541-A1E9-5B7929FCF6E4}</author>
    <author>tc={9F92C1E4-94BE-6048-B179-2924D0CB3890}</author>
    <author>tc={02AAE0A5-001D-9042-A7DA-CB31C0B39676}</author>
    <author>tc={F70D60AB-A796-494F-A8D1-31FB001A94C8}</author>
    <author>tc={E6F147C4-2996-0544-80DE-070D105E2B8A}</author>
    <author>tc={E8E0CCA3-0628-8C43-BF23-F9AA18478B11}</author>
    <author>tc={E84677DB-227F-5349-9071-DFD40CBF6FFA}</author>
    <author>tc={26677364-F7F9-EA48-951B-EB2B4EC58B9C}</author>
    <author>tc={E356F6A4-AE3A-7F4F-8C34-83C16C110490}</author>
    <author>tc={B629C627-9114-C648-8A93-8634B6D4F877}</author>
    <author>tc={D63C984D-C69F-4540-9263-32E4B0DA1C6C}</author>
    <author>tc={ABF8466D-31B9-6A40-AE92-26C306FCA143}</author>
    <author>tc={3C3B1BEC-F8EC-8246-A515-F4C42864F60B}</author>
    <author>tc={3716189A-3C58-8C45-B4FC-7BE2980E7E90}</author>
  </authors>
  <commentList>
    <comment ref="S4" authorId="0" shapeId="0" xr:uid="{3D895512-FA18-9549-ACFE-B32D5CEB6636}">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H9" authorId="1" shapeId="0" xr:uid="{0A152736-19FE-1541-A1E9-5B7929FCF6E4}">
      <text>
        <t>[Threaded comment]
Your version of Excel allows you to read this threaded comment; however, any edits to it will get removed if the file is opened in a newer version of Excel. Learn more: https://go.microsoft.com/fwlink/?linkid=870924
Comment:
    9.7 = seaweed</t>
      </text>
    </comment>
    <comment ref="D13" authorId="2" shapeId="0" xr:uid="{9F92C1E4-94BE-6048-B179-2924D0CB3890}">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E14" authorId="3" shapeId="0" xr:uid="{02AAE0A5-001D-9042-A7DA-CB31C0B39676}">
      <text>
        <t>[Threaded comment]
Your version of Excel allows you to read this threaded comment; however, any edits to it will get removed if the file is opened in a newer version of Excel. Learn more: https://go.microsoft.com/fwlink/?linkid=870924
Comment:
    £129 = Nectar from Oct / Nov 11th
£78.97 = HTB</t>
      </text>
    </comment>
    <comment ref="E29" authorId="4" shapeId="0" xr:uid="{F70D60AB-A796-494F-A8D1-31FB001A94C8}">
      <text>
        <t>[Threaded comment]
Your version of Excel allows you to read this threaded comment; however, any edits to it will get removed if the file is opened in a newer version of Excel. Learn more: https://go.microsoft.com/fwlink/?linkid=870924
Comment:
    Less 42 for speed awareness</t>
      </text>
    </comment>
    <comment ref="F29" authorId="5" shapeId="0" xr:uid="{E6F147C4-2996-0544-80DE-070D105E2B8A}">
      <text>
        <t>[Threaded comment]
Your version of Excel allows you to read this threaded comment; however, any edits to it will get removed if the file is opened in a newer version of Excel. Learn more: https://go.microsoft.com/fwlink/?linkid=870924
Comment:
    41.5 - companion CR (LDS B) LTD ??????</t>
      </text>
    </comment>
    <comment ref="F31" authorId="6" shapeId="0" xr:uid="{E8E0CCA3-0628-8C43-BF23-F9AA18478B11}">
      <text>
        <t>[Threaded comment]
Your version of Excel allows you to read this threaded comment; however, any edits to it will get removed if the file is opened in a newer version of Excel. Learn more: https://go.microsoft.com/fwlink/?linkid=870924
Comment:
    Roberts smelly</t>
      </text>
    </comment>
    <comment ref="H31" authorId="7" shapeId="0" xr:uid="{E84677DB-227F-5349-9071-DFD40CBF6FFA}">
      <text>
        <t>[Threaded comment]
Your version of Excel allows you to read this threaded comment; however, any edits to it will get removed if the file is opened in a newer version of Excel. Learn more: https://go.microsoft.com/fwlink/?linkid=870924
Comment:
    Unicorn gin - philippa</t>
      </text>
    </comment>
    <comment ref="E35" authorId="8" shapeId="0" xr:uid="{26677364-F7F9-EA48-951B-EB2B4EC58B9C}">
      <text>
        <t>[Threaded comment]
Your version of Excel allows you to read this threaded comment; however, any edits to it will get removed if the file is opened in a newer version of Excel. Learn more: https://go.microsoft.com/fwlink/?linkid=870924
Comment:
    165.34 - On call
154.28 - birthday / cashback
500.00 - holiday
154.00 - 100 for kris, 42 for speed awareness</t>
      </text>
    </comment>
    <comment ref="D41" authorId="9" shapeId="0" xr:uid="{E356F6A4-AE3A-7F4F-8C34-83C16C110490}">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
Wallet App - £3.99</t>
      </text>
    </comment>
    <comment ref="C61" authorId="10" shapeId="0" xr:uid="{B629C627-9114-C648-8A93-8634B6D4F877}">
      <text>
        <t>[Threaded comment]
Your version of Excel allows you to read this threaded comment; however, any edits to it will get removed if the file is opened in a newer version of Excel. Learn more: https://go.microsoft.com/fwlink/?linkid=870924
Comment:
    Guitar</t>
      </text>
    </comment>
    <comment ref="F61" authorId="11" shapeId="0" xr:uid="{D63C984D-C69F-4540-9263-32E4B0DA1C6C}">
      <text>
        <t>[Threaded comment]
Your version of Excel allows you to read this threaded comment; however, any edits to it will get removed if the file is opened in a newer version of Excel. Learn more: https://go.microsoft.com/fwlink/?linkid=870924
Comment:
    Hol repayment</t>
      </text>
    </comment>
    <comment ref="C63" authorId="12" shapeId="0" xr:uid="{ABF8466D-31B9-6A40-AE92-26C306FCA143}">
      <text>
        <t>[Threaded comment]
Your version of Excel allows you to read this threaded comment; however, any edits to it will get removed if the file is opened in a newer version of Excel. Learn more: https://go.microsoft.com/fwlink/?linkid=870924
Comment:
    service money</t>
      </text>
    </comment>
    <comment ref="F63" authorId="13" shapeId="0" xr:uid="{3C3B1BEC-F8EC-8246-A515-F4C42864F60B}">
      <text>
        <t>[Threaded comment]
Your version of Excel allows you to read this threaded comment; however, any edits to it will get removed if the file is opened in a newer version of Excel. Learn more: https://go.microsoft.com/fwlink/?linkid=870924
Comment:
    Holiday fund</t>
      </text>
    </comment>
    <comment ref="C64" authorId="14" shapeId="0" xr:uid="{3716189A-3C58-8C45-B4FC-7BE2980E7E90}">
      <text>
        <t>[Threaded comment]
Your version of Excel allows you to read this threaded comment; however, any edits to it will get removed if the file is opened in a newer version of Excel. Learn more: https://go.microsoft.com/fwlink/?linkid=870924
Comment:
    service money</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tc={6AFB0C54-9ADF-48DF-9FE5-FC46578FC568}</author>
    <author>tc={2ADD1736-3D51-4ACC-81B6-C616096258A9}</author>
    <author>tc={600851FF-60D0-4EC0-AFCF-DFCD1731B0DC}</author>
    <author>tc={8C2DAAA6-1753-4FA2-90F4-562B954B1042}</author>
    <author>tc={477E89A9-932B-4370-A043-A604E9251A68}</author>
    <author>tc={07E29D52-2AED-4881-A82D-163EC0C80B48}</author>
    <author>tc={08276577-4843-402B-A5D7-3611B1902B3B}</author>
    <author>tc={EF0D55DD-F88B-4E07-9208-5F966CEB0271}</author>
    <author>tc={238BB087-590C-4312-A33D-6BB8F42C4A61}</author>
    <author>tc={690B7874-566F-4082-9904-D46822526C95}</author>
    <author>tc={ECD31809-C20E-4CCC-A161-FA7751AB55A2}</author>
    <author>tc={BDABB738-E817-4C9D-8B95-0B9867BB0D5A}</author>
    <author>tc={B915D49B-38C0-43C5-B35A-AA6D007D306C}</author>
    <author>tc={7FE7E8D4-8C8C-4AB9-B763-E83E4FE0230D}</author>
    <author>tc={AD6E5BFA-63A1-4E34-9A24-D78525C5D5AE}</author>
  </authors>
  <commentList>
    <comment ref="S4" authorId="0" shapeId="0" xr:uid="{6AFB0C54-9ADF-48DF-9FE5-FC46578FC568}">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H7" authorId="1" shapeId="0" xr:uid="{2ADD1736-3D51-4ACC-81B6-C616096258A9}">
      <text>
        <t>[Threaded comment]
Your version of Excel allows you to read this threaded comment; however, any edits to it will get removed if the file is opened in a newer version of Excel. Learn more: https://go.microsoft.com/fwlink/?linkid=870924
Comment:
    9.7 = seaweed</t>
      </text>
    </comment>
    <comment ref="D11" authorId="2" shapeId="0" xr:uid="{600851FF-60D0-4EC0-AFCF-DFCD1731B0DC}">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E12" authorId="3" shapeId="0" xr:uid="{8C2DAAA6-1753-4FA2-90F4-562B954B1042}">
      <text>
        <t>[Threaded comment]
Your version of Excel allows you to read this threaded comment; however, any edits to it will get removed if the file is opened in a newer version of Excel. Learn more: https://go.microsoft.com/fwlink/?linkid=870924
Comment:
    £129 = Nectar from Oct / Nov 11th
£78.97 = HTB</t>
      </text>
    </comment>
    <comment ref="E27" authorId="4" shapeId="0" xr:uid="{477E89A9-932B-4370-A043-A604E9251A68}">
      <text>
        <t>[Threaded comment]
Your version of Excel allows you to read this threaded comment; however, any edits to it will get removed if the file is opened in a newer version of Excel. Learn more: https://go.microsoft.com/fwlink/?linkid=870924
Comment:
    Less 42 for speed awareness</t>
      </text>
    </comment>
    <comment ref="F27" authorId="5" shapeId="0" xr:uid="{07E29D52-2AED-4881-A82D-163EC0C80B48}">
      <text>
        <t>[Threaded comment]
Your version of Excel allows you to read this threaded comment; however, any edits to it will get removed if the file is opened in a newer version of Excel. Learn more: https://go.microsoft.com/fwlink/?linkid=870924
Comment:
    41.5 - companion CR (LDS B) LTD ??????</t>
      </text>
    </comment>
    <comment ref="F29" authorId="6" shapeId="0" xr:uid="{08276577-4843-402B-A5D7-3611B1902B3B}">
      <text>
        <t>[Threaded comment]
Your version of Excel allows you to read this threaded comment; however, any edits to it will get removed if the file is opened in a newer version of Excel. Learn more: https://go.microsoft.com/fwlink/?linkid=870924
Comment:
    Roberts smelly</t>
      </text>
    </comment>
    <comment ref="H29" authorId="7" shapeId="0" xr:uid="{EF0D55DD-F88B-4E07-9208-5F966CEB0271}">
      <text>
        <t>[Threaded comment]
Your version of Excel allows you to read this threaded comment; however, any edits to it will get removed if the file is opened in a newer version of Excel. Learn more: https://go.microsoft.com/fwlink/?linkid=870924
Comment:
    Unicorn gin - philippa</t>
      </text>
    </comment>
    <comment ref="E33" authorId="8" shapeId="0" xr:uid="{238BB087-590C-4312-A33D-6BB8F42C4A61}">
      <text>
        <t>[Threaded comment]
Your version of Excel allows you to read this threaded comment; however, any edits to it will get removed if the file is opened in a newer version of Excel. Learn more: https://go.microsoft.com/fwlink/?linkid=870924
Comment:
    165.34 - On call
154.28 - birthday / cashback
500.00 - holiday
154.00 - 100 for kris, 42 for speed awareness</t>
      </text>
    </comment>
    <comment ref="D39" authorId="9" shapeId="0" xr:uid="{690B7874-566F-4082-9904-D46822526C95}">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
Wallet App - £3.99</t>
      </text>
    </comment>
    <comment ref="C59" authorId="10" shapeId="0" xr:uid="{ECD31809-C20E-4CCC-A161-FA7751AB55A2}">
      <text>
        <t>[Threaded comment]
Your version of Excel allows you to read this threaded comment; however, any edits to it will get removed if the file is opened in a newer version of Excel. Learn more: https://go.microsoft.com/fwlink/?linkid=870924
Comment:
    Guitar</t>
      </text>
    </comment>
    <comment ref="F59" authorId="11" shapeId="0" xr:uid="{BDABB738-E817-4C9D-8B95-0B9867BB0D5A}">
      <text>
        <t>[Threaded comment]
Your version of Excel allows you to read this threaded comment; however, any edits to it will get removed if the file is opened in a newer version of Excel. Learn more: https://go.microsoft.com/fwlink/?linkid=870924
Comment:
    Hol repayment</t>
      </text>
    </comment>
    <comment ref="C61" authorId="12" shapeId="0" xr:uid="{B915D49B-38C0-43C5-B35A-AA6D007D306C}">
      <text>
        <t>[Threaded comment]
Your version of Excel allows you to read this threaded comment; however, any edits to it will get removed if the file is opened in a newer version of Excel. Learn more: https://go.microsoft.com/fwlink/?linkid=870924
Comment:
    service money</t>
      </text>
    </comment>
    <comment ref="F61" authorId="13" shapeId="0" xr:uid="{7FE7E8D4-8C8C-4AB9-B763-E83E4FE0230D}">
      <text>
        <t>[Threaded comment]
Your version of Excel allows you to read this threaded comment; however, any edits to it will get removed if the file is opened in a newer version of Excel. Learn more: https://go.microsoft.com/fwlink/?linkid=870924
Comment:
    Holiday fund</t>
      </text>
    </comment>
    <comment ref="C62" authorId="14" shapeId="0" xr:uid="{AD6E5BFA-63A1-4E34-9A24-D78525C5D5AE}">
      <text>
        <t>[Threaded comment]
Your version of Excel allows you to read this threaded comment; however, any edits to it will get removed if the file is opened in a newer version of Excel. Learn more: https://go.microsoft.com/fwlink/?linkid=870924
Comment:
    service money</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tc={53A94762-F818-4427-9286-ABB56EA05A79}</author>
    <author>tc={46957039-8D01-48F1-BFE6-49B3A60F6BB9}</author>
    <author>tc={BFB5D4E7-938F-494D-93A9-C7FB67887A95}</author>
    <author>tc={EFEFC7D8-FA19-4B29-8B0D-A45E6305E5E0}</author>
    <author>tc={34C564DD-F5FF-421A-8B4A-CC7B32DE37E0}</author>
    <author>tc={534FE0E4-1CB1-4474-BB98-C253FB80CB80}</author>
    <author>tc={445200E0-B6EA-4214-97AB-2A154872B092}</author>
    <author>tc={9B5DEC6E-43C6-4CB0-A01F-4B2FDD173177}</author>
    <author>tc={FC353AF8-23CE-4FA9-96DC-F557B1137FFC}</author>
    <author>tc={B8068CF6-1CBB-47A7-A2EA-083E9B662FA5}</author>
    <author>tc={412D62E0-9D88-4F7F-BF51-7B89F8223E9F}</author>
    <author>tc={CCBFF5CD-3285-473B-A982-400ACFF15B39}</author>
    <author>tc={19ABF7B4-9A1F-47D3-85B3-A120539631DB}</author>
    <author>tc={F2E6B1DC-5EED-4609-ADC1-3101123AC050}</author>
    <author>tc={57959BDF-7346-400D-9C0B-E24145FBAF12}</author>
  </authors>
  <commentList>
    <comment ref="S4" authorId="0" shapeId="0" xr:uid="{53A94762-F818-4427-9286-ABB56EA05A79}">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H7" authorId="1" shapeId="0" xr:uid="{46957039-8D01-48F1-BFE6-49B3A60F6BB9}">
      <text>
        <t>[Threaded comment]
Your version of Excel allows you to read this threaded comment; however, any edits to it will get removed if the file is opened in a newer version of Excel. Learn more: https://go.microsoft.com/fwlink/?linkid=870924
Comment:
    9.7 = seaweed</t>
      </text>
    </comment>
    <comment ref="D16" authorId="2" shapeId="0" xr:uid="{BFB5D4E7-938F-494D-93A9-C7FB67887A95}">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E21" authorId="3" shapeId="0" xr:uid="{EFEFC7D8-FA19-4B29-8B0D-A45E6305E5E0}">
      <text>
        <t>[Threaded comment]
Your version of Excel allows you to read this threaded comment; however, any edits to it will get removed if the file is opened in a newer version of Excel. Learn more: https://go.microsoft.com/fwlink/?linkid=870924
Comment:
    £129 = Nectar from Oct / Nov 11th
£78.97 = HTB</t>
      </text>
    </comment>
    <comment ref="E36" authorId="4" shapeId="0" xr:uid="{34C564DD-F5FF-421A-8B4A-CC7B32DE37E0}">
      <text>
        <t>[Threaded comment]
Your version of Excel allows you to read this threaded comment; however, any edits to it will get removed if the file is opened in a newer version of Excel. Learn more: https://go.microsoft.com/fwlink/?linkid=870924
Comment:
    Less 42 for speed awareness</t>
      </text>
    </comment>
    <comment ref="F36" authorId="5" shapeId="0" xr:uid="{534FE0E4-1CB1-4474-BB98-C253FB80CB80}">
      <text>
        <t>[Threaded comment]
Your version of Excel allows you to read this threaded comment; however, any edits to it will get removed if the file is opened in a newer version of Excel. Learn more: https://go.microsoft.com/fwlink/?linkid=870924
Comment:
    41.5 - companion CR (LDS B) LTD ??????</t>
      </text>
    </comment>
    <comment ref="F38" authorId="6" shapeId="0" xr:uid="{445200E0-B6EA-4214-97AB-2A154872B092}">
      <text>
        <t>[Threaded comment]
Your version of Excel allows you to read this threaded comment; however, any edits to it will get removed if the file is opened in a newer version of Excel. Learn more: https://go.microsoft.com/fwlink/?linkid=870924
Comment:
    Roberts smelly</t>
      </text>
    </comment>
    <comment ref="H38" authorId="7" shapeId="0" xr:uid="{9B5DEC6E-43C6-4CB0-A01F-4B2FDD173177}">
      <text>
        <t>[Threaded comment]
Your version of Excel allows you to read this threaded comment; however, any edits to it will get removed if the file is opened in a newer version of Excel. Learn more: https://go.microsoft.com/fwlink/?linkid=870924
Comment:
    Unicorn gin - philippa</t>
      </text>
    </comment>
    <comment ref="E42" authorId="8" shapeId="0" xr:uid="{FC353AF8-23CE-4FA9-96DC-F557B1137FFC}">
      <text>
        <t>[Threaded comment]
Your version of Excel allows you to read this threaded comment; however, any edits to it will get removed if the file is opened in a newer version of Excel. Learn more: https://go.microsoft.com/fwlink/?linkid=870924
Comment:
    165.34 - On call
154.28 - birthday / cashback
500.00 - holiday
154.00 - 100 for kris, 42 for speed awareness</t>
      </text>
    </comment>
    <comment ref="D48" authorId="9" shapeId="0" xr:uid="{B8068CF6-1CBB-47A7-A2EA-083E9B662FA5}">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
Wallet App - £3.99</t>
      </text>
    </comment>
    <comment ref="C68" authorId="10" shapeId="0" xr:uid="{412D62E0-9D88-4F7F-BF51-7B89F8223E9F}">
      <text>
        <t>[Threaded comment]
Your version of Excel allows you to read this threaded comment; however, any edits to it will get removed if the file is opened in a newer version of Excel. Learn more: https://go.microsoft.com/fwlink/?linkid=870924
Comment:
    Guitar</t>
      </text>
    </comment>
    <comment ref="F68" authorId="11" shapeId="0" xr:uid="{CCBFF5CD-3285-473B-A982-400ACFF15B39}">
      <text>
        <t>[Threaded comment]
Your version of Excel allows you to read this threaded comment; however, any edits to it will get removed if the file is opened in a newer version of Excel. Learn more: https://go.microsoft.com/fwlink/?linkid=870924
Comment:
    Hol repayment</t>
      </text>
    </comment>
    <comment ref="C70" authorId="12" shapeId="0" xr:uid="{19ABF7B4-9A1F-47D3-85B3-A120539631DB}">
      <text>
        <t>[Threaded comment]
Your version of Excel allows you to read this threaded comment; however, any edits to it will get removed if the file is opened in a newer version of Excel. Learn more: https://go.microsoft.com/fwlink/?linkid=870924
Comment:
    service money</t>
      </text>
    </comment>
    <comment ref="F70" authorId="13" shapeId="0" xr:uid="{F2E6B1DC-5EED-4609-ADC1-3101123AC050}">
      <text>
        <t>[Threaded comment]
Your version of Excel allows you to read this threaded comment; however, any edits to it will get removed if the file is opened in a newer version of Excel. Learn more: https://go.microsoft.com/fwlink/?linkid=870924
Comment:
    Holiday fund</t>
      </text>
    </comment>
    <comment ref="C71" authorId="14" shapeId="0" xr:uid="{57959BDF-7346-400D-9C0B-E24145FBAF12}">
      <text>
        <t>[Threaded comment]
Your version of Excel allows you to read this threaded comment; however, any edits to it will get removed if the file is opened in a newer version of Excel. Learn more: https://go.microsoft.com/fwlink/?linkid=870924
Comment:
    service money</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tc={D602C9F4-8D20-3E4A-9680-03DDBF0AC771}</author>
    <author>tc={9267D37A-0FBA-4451-A04A-09E0D9DA6DD9}</author>
    <author>tc={256AEA84-DEB8-1C4A-B766-B11F269EE685}</author>
    <author>tc={D81586D8-8094-B94A-A262-E46D7310445C}</author>
  </authors>
  <commentList>
    <comment ref="Q4" authorId="0" shapeId="0" xr:uid="{D602C9F4-8D20-3E4A-9680-03DDBF0AC771}">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I6" authorId="1" shapeId="0" xr:uid="{9267D37A-0FBA-4451-A04A-09E0D9DA6DD9}">
      <text>
        <t>[Threaded comment]
Your version of Excel allows you to read this threaded comment; however, any edits to it will get removed if the file is opened in a newer version of Excel. Learn more: https://go.microsoft.com/fwlink/?linkid=870924
Comment:
    13.2 = carry over from 26.58 fuel spend</t>
      </text>
    </comment>
    <comment ref="D12" authorId="2" shapeId="0" xr:uid="{256AEA84-DEB8-1C4A-B766-B11F269EE685}">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40" authorId="3" shapeId="0" xr:uid="{D81586D8-8094-B94A-A262-E46D7310445C}">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
Gym - 18pm</t>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tc={D0760E23-2DBD-0840-842F-0E51BABD0CA2}</author>
    <author>tc={E2152354-43DB-4E40-AD10-F93F19903173}</author>
  </authors>
  <commentList>
    <comment ref="D14" authorId="0" shapeId="0" xr:uid="{D0760E23-2DBD-0840-842F-0E51BABD0CA2}">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41" authorId="1" shapeId="0" xr:uid="{E2152354-43DB-4E40-AD10-F93F19903173}">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tc={37A594E8-EE7D-4AAF-A26D-993FC56E310C}</author>
    <author>tc={F5A31AFC-5325-44DD-9D25-E3F02DEA7E3D}</author>
    <author>tc={FB81928D-5B11-4B48-90F3-CC6F4CB93CB5}</author>
  </authors>
  <commentList>
    <comment ref="R4" authorId="0" shapeId="0" xr:uid="{37A594E8-EE7D-4AAF-A26D-993FC56E310C}">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2" authorId="1" shapeId="0" xr:uid="{F5A31AFC-5325-44DD-9D25-E3F02DEA7E3D}">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38" authorId="2" shapeId="0" xr:uid="{FB81928D-5B11-4B48-90F3-CC6F4CB93CB5}">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tc={323969F2-73E1-3745-8DEF-2157C5B197DA}</author>
    <author>tc={80B306F9-AB91-F647-BDEA-D9D505DFC6AB}</author>
    <author>tc={1E1F2F17-9D1E-7A4D-8B45-3178463C0D6E}</author>
  </authors>
  <commentList>
    <comment ref="R4" authorId="0" shapeId="0" xr:uid="{323969F2-73E1-3745-8DEF-2157C5B197DA}">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2" authorId="1" shapeId="0" xr:uid="{80B306F9-AB91-F647-BDEA-D9D505DFC6AB}">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39" authorId="2" shapeId="0" xr:uid="{1E1F2F17-9D1E-7A4D-8B45-3178463C0D6E}">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tc={81B43E24-1639-FF49-A320-8A297AEF4503}</author>
    <author>tc={06798CF8-2512-5744-BBC7-0A7FA7DAF2FD}</author>
    <author>tc={0F1358FC-BCCD-0F4A-8A9D-4F052AA495B2}</author>
  </authors>
  <commentList>
    <comment ref="T4" authorId="0" shapeId="0" xr:uid="{81B43E24-1639-FF49-A320-8A297AEF4503}">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2" authorId="1" shapeId="0" xr:uid="{06798CF8-2512-5744-BBC7-0A7FA7DAF2FD}">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38" authorId="2" shapeId="0" xr:uid="{0F1358FC-BCCD-0F4A-8A9D-4F052AA495B2}">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tc={214566C0-87BC-49FE-ACC1-E97CF5CA5B86}</author>
    <author>tc={F1FF561A-B92F-4251-A32D-41D872C96BD3}</author>
    <author>tc={35CF106E-941A-4735-B2A7-70F191D0B4C6}</author>
  </authors>
  <commentList>
    <comment ref="T4" authorId="0" shapeId="0" xr:uid="{214566C0-87BC-49FE-ACC1-E97CF5CA5B86}">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2" authorId="1" shapeId="0" xr:uid="{F1FF561A-B92F-4251-A32D-41D872C96BD3}">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35" authorId="2" shapeId="0" xr:uid="{35CF106E-941A-4735-B2A7-70F191D0B4C6}">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tc={9E4D2E7F-4BCD-4669-8C9D-1E1C44647851}</author>
    <author>tc={89F87802-C58A-449D-8B1B-3CDBD3DFCB58}</author>
    <author>tc={04AC358F-2A80-4B9A-A240-879319B441AF}</author>
  </authors>
  <commentList>
    <comment ref="U4" authorId="0" shapeId="0" xr:uid="{9E4D2E7F-4BCD-4669-8C9D-1E1C44647851}">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2" authorId="1" shapeId="0" xr:uid="{89F87802-C58A-449D-8B1B-3CDBD3DFCB58}">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35" authorId="2" shapeId="0" xr:uid="{04AC358F-2A80-4B9A-A240-879319B441AF}">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tc={16B54120-5A9A-4D80-9CF3-108907D12406}</author>
    <author>tc={4860B701-A3EF-491E-9F28-EBA0FADB626C}</author>
    <author>tc={2314B7E0-0BCF-42CE-937C-2F063623EA20}</author>
  </authors>
  <commentList>
    <comment ref="U4" authorId="0" shapeId="0" xr:uid="{16B54120-5A9A-4D80-9CF3-108907D12406}">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2" authorId="1" shapeId="0" xr:uid="{4860B701-A3EF-491E-9F28-EBA0FADB626C}">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35" authorId="2" shapeId="0" xr:uid="{2314B7E0-0BCF-42CE-937C-2F063623EA20}">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tc={5D8F1292-B49C-BD49-9B61-AE32FA71530E}</author>
    <author>tc={6E3DB9DE-1220-C046-916F-DC7258598C19}</author>
    <author>tc={981FD38C-0506-6C40-8428-F777BB0A250F}</author>
    <author>tc={3C34D179-2199-624E-9B0E-14247BFD1FE6}</author>
    <author>tc={460851EE-A230-463A-9E30-D45584561414}</author>
    <author>tc={A14B929A-B5CF-7641-8632-B84973BF0A0B}</author>
    <author>tc={E7D8CFDB-83D3-BA4C-BF4D-6D3AAEBAEB8A}</author>
    <author>tc={414EAAA7-9367-8B4E-B1A3-0ECFDBED6588}</author>
  </authors>
  <commentList>
    <comment ref="U4" authorId="0" shapeId="0" xr:uid="{5D8F1292-B49C-BD49-9B61-AE32FA71530E}">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2" authorId="1" shapeId="0" xr:uid="{6E3DB9DE-1220-C046-916F-DC7258598C19}">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F22" authorId="2" shapeId="0" xr:uid="{981FD38C-0506-6C40-8428-F777BB0A250F}">
      <text>
        <t>[Threaded comment]
Your version of Excel allows you to read this threaded comment; however, any edits to it will get removed if the file is opened in a newer version of Excel. Learn more: https://go.microsoft.com/fwlink/?linkid=870924
Comment:
    AMEX CB</t>
      </text>
    </comment>
    <comment ref="K22" authorId="3" shapeId="0" xr:uid="{3C34D179-2199-624E-9B0E-14247BFD1FE6}">
      <text>
        <t>[Threaded comment]
Your version of Excel allows you to read this threaded comment; however, any edits to it will get removed if the file is opened in a newer version of Excel. Learn more: https://go.microsoft.com/fwlink/?linkid=870924
Comment:
    Wedding photographer</t>
      </text>
    </comment>
    <comment ref="L22" authorId="4" shapeId="0" xr:uid="{460851EE-A230-463A-9E30-D45584561414}">
      <text>
        <t>[Threaded comment]
Your version of Excel allows you to read this threaded comment; however, any edits to it will get removed if the file is opened in a newer version of Excel. Learn more: https://go.microsoft.com/fwlink/?linkid=870924
Comment:
    Remaining hutch money / printer</t>
      </text>
    </comment>
    <comment ref="M22" authorId="5" shapeId="0" xr:uid="{A14B929A-B5CF-7641-8632-B84973BF0A0B}">
      <text>
        <t>[Threaded comment]
Your version of Excel allows you to read this threaded comment; however, any edits to it will get removed if the file is opened in a newer version of Excel. Learn more: https://go.microsoft.com/fwlink/?linkid=870924
Comment:
    Standing order</t>
      </text>
    </comment>
    <comment ref="N22" authorId="6" shapeId="0" xr:uid="{E7D8CFDB-83D3-BA4C-BF4D-6D3AAEBAEB8A}">
      <text>
        <t>[Threaded comment]
Your version of Excel allows you to read this threaded comment; however, any edits to it will get removed if the file is opened in a newer version of Excel. Learn more: https://go.microsoft.com/fwlink/?linkid=870924
Comment:
    Printer + officiant</t>
      </text>
    </comment>
    <comment ref="D35" authorId="7" shapeId="0" xr:uid="{414EAAA7-9367-8B4E-B1A3-0ECFDBED6588}">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tc={88329178-3AB2-4CC1-BD0A-68B932E6A4A1}</author>
    <author>tc={07A57857-250D-402A-B305-C6668FE2F3A5}</author>
    <author>tc={765B11A5-DC2A-4916-8797-BC003BB8E954}</author>
    <author>tc={C3B40A6F-9CC7-49E7-A94A-68FC949CFBDC}</author>
    <author>tc={7E498EF2-9000-4A6E-9E2D-2906D03F3A58}</author>
  </authors>
  <commentList>
    <comment ref="V4" authorId="0" shapeId="0" xr:uid="{88329178-3AB2-4CC1-BD0A-68B932E6A4A1}">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3" authorId="1" shapeId="0" xr:uid="{07A57857-250D-402A-B305-C6668FE2F3A5}">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F32" authorId="2" shapeId="0" xr:uid="{765B11A5-DC2A-4916-8797-BC003BB8E954}">
      <text>
        <t>[Threaded comment]
Your version of Excel allows you to read this threaded comment; however, any edits to it will get removed if the file is opened in a newer version of Excel. Learn more: https://go.microsoft.com/fwlink/?linkid=870924
Comment:
    £100 Hutch CC
£85 Printer
£42.67 Officiant
£478.98 Photographer</t>
      </text>
    </comment>
    <comment ref="L32" authorId="3" shapeId="0" xr:uid="{C3B40A6F-9CC7-49E7-A94A-68FC949CFBDC}">
      <text>
        <t>[Threaded comment]
Your version of Excel allows you to read this threaded comment; however, any edits to it will get removed if the file is opened in a newer version of Excel. Learn more: https://go.microsoft.com/fwlink/?linkid=870924
Comment:
    Remaining hutch money / printer</t>
      </text>
    </comment>
    <comment ref="D38" authorId="4" shapeId="0" xr:uid="{7E498EF2-9000-4A6E-9E2D-2906D03F3A58}">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tc={4067693F-093B-4F2A-AB85-32C276AD41CD}</author>
    <author>tc={DC1BF3CD-3C9F-4FEC-873A-58945F5DF3BB}</author>
    <author>tc={3E035F85-99A8-9145-B31A-CC026B437A61}</author>
    <author>tc={9528DFFD-E1E8-4793-A344-6BF27D27D757}</author>
  </authors>
  <commentList>
    <comment ref="U4" authorId="0" shapeId="0" xr:uid="{4067693F-093B-4F2A-AB85-32C276AD41CD}">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4" authorId="1" shapeId="0" xr:uid="{DC1BF3CD-3C9F-4FEC-873A-58945F5DF3BB}">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F32" authorId="2" shapeId="0" xr:uid="{3E035F85-99A8-9145-B31A-CC026B437A61}">
      <text>
        <t>[Threaded comment]
Your version of Excel allows you to read this threaded comment; however, any edits to it will get removed if the file is opened in a newer version of Excel. Learn more: https://go.microsoft.com/fwlink/?linkid=870924
Comment:
    50 - Car SVC
40 - FB - Il Forno</t>
      </text>
    </comment>
    <comment ref="D38" authorId="3" shapeId="0" xr:uid="{9528DFFD-E1E8-4793-A344-6BF27D27D757}">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tc={81629A6E-7EE6-874E-B6B4-B4B4033864D5}</author>
    <author>tc={763B7B2C-21D1-964E-BCD4-3D8ACE6225F4}</author>
    <author>tc={0939F1BC-D5EC-48DE-BCC1-43B811ABF6D5}</author>
    <author>tc={A3A85597-C2AB-4382-9B1D-96F1AB7FE26C}</author>
    <author>tc={5C3301A6-17E4-416A-9BB7-BF5FB0660773}</author>
    <author>tc={BBC42CD3-0761-2547-80FF-6BC38B9552F4}</author>
  </authors>
  <commentList>
    <comment ref="U4" authorId="0" shapeId="0" xr:uid="{81629A6E-7EE6-874E-B6B4-B4B4033864D5}">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4" authorId="1" shapeId="0" xr:uid="{763B7B2C-21D1-964E-BCD4-3D8ACE6225F4}">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L24" authorId="2" shapeId="0" xr:uid="{0939F1BC-D5EC-48DE-BCC1-43B811ABF6D5}">
      <text>
        <t>[Threaded comment]
Your version of Excel allows you to read this threaded comment; however, any edits to it will get removed if the file is opened in a newer version of Excel. Learn more: https://go.microsoft.com/fwlink/?linkid=870924
Comment:
    Jump leads from Aldi shop</t>
      </text>
    </comment>
    <comment ref="J33" authorId="3" shapeId="0" xr:uid="{A3A85597-C2AB-4382-9B1D-96F1AB7FE26C}">
      <text>
        <t>[Threaded comment]
Your version of Excel allows you to read this threaded comment; however, any edits to it will get removed if the file is opened in a newer version of Excel. Learn more: https://go.microsoft.com/fwlink/?linkid=870924
Comment:
    13.6 = Christmas Cards</t>
      </text>
    </comment>
    <comment ref="L33" authorId="4" shapeId="0" xr:uid="{5C3301A6-17E4-416A-9BB7-BF5FB0660773}">
      <text>
        <t>[Threaded comment]
Your version of Excel allows you to read this threaded comment; however, any edits to it will get removed if the file is opened in a newer version of Excel. Learn more: https://go.microsoft.com/fwlink/?linkid=870924
Comment:
    18.99 - Oscar</t>
      </text>
    </comment>
    <comment ref="D38" authorId="5" shapeId="0" xr:uid="{BBC42CD3-0761-2547-80FF-6BC38B9552F4}">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tc={62B1CF2C-10D9-4CCD-B7CD-20174B56AA70}</author>
    <author>tc={775A5D7C-8E76-4AF5-B098-0CE38DA133FB}</author>
    <author>tc={71D3DDED-47BA-3F42-AA93-AE89CF8D841B}</author>
    <author>tc={AE355C09-3407-D94E-B496-093764D8B361}</author>
    <author>tc={0887A89E-1A16-472B-B033-B7FC88E6A894}</author>
    <author>tc={E8B5229D-0479-4D0B-B577-4790B1FF7ED2}</author>
    <author>tc={326AE8DA-B4EB-469A-AD37-A62767A83F6A}</author>
  </authors>
  <commentList>
    <comment ref="D14" authorId="0" shapeId="0" xr:uid="{62B1CF2C-10D9-4CCD-B7CD-20174B56AA70}">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J32" authorId="1" shapeId="0" xr:uid="{775A5D7C-8E76-4AF5-B098-0CE38DA133FB}">
      <text>
        <t>[Threaded comment]
Your version of Excel allows you to read this threaded comment; however, any edits to it will get removed if the file is opened in a newer version of Excel. Learn more: https://go.microsoft.com/fwlink/?linkid=870924
Comment:
    Ryan air latvia</t>
      </text>
    </comment>
    <comment ref="M32" authorId="2" shapeId="0" xr:uid="{71D3DDED-47BA-3F42-AA93-AE89CF8D841B}">
      <text>
        <t>[Threaded comment]
Your version of Excel allows you to read this threaded comment; however, any edits to it will get removed if the file is opened in a newer version of Excel. Learn more: https://go.microsoft.com/fwlink/?linkid=870924
Comment:
    Boob deposit</t>
      </text>
    </comment>
    <comment ref="G34" authorId="3" shapeId="0" xr:uid="{AE355C09-3407-D94E-B496-093764D8B361}">
      <text>
        <t>[Threaded comment]
Your version of Excel allows you to read this threaded comment; however, any edits to it will get removed if the file is opened in a newer version of Excel. Learn more: https://go.microsoft.com/fwlink/?linkid=870924
Comment:
    Upfront tax, will pay 15 back in each month</t>
      </text>
    </comment>
    <comment ref="H34" authorId="4" shapeId="0" xr:uid="{0887A89E-1A16-472B-B033-B7FC88E6A894}">
      <text>
        <t>[Threaded comment]
Your version of Excel allows you to read this threaded comment; however, any edits to it will get removed if the file is opened in a newer version of Excel. Learn more: https://go.microsoft.com/fwlink/?linkid=870924
Comment:
    Lotus Hotel Reservation</t>
      </text>
    </comment>
    <comment ref="N34" authorId="5" shapeId="0" xr:uid="{E8B5229D-0479-4D0B-B577-4790B1FF7ED2}">
      <text>
        <t>[Threaded comment]
Your version of Excel allows you to read this threaded comment; however, any edits to it will get removed if the file is opened in a newer version of Excel. Learn more: https://go.microsoft.com/fwlink/?linkid=870924
Comment:
    Tesco shopping, adding back from:
78.66 from fun
21.08 from petrol
6.31 from food
38.38 from cheque
25 from natwest rewards
1.75 from cont</t>
      </text>
    </comment>
    <comment ref="D38" authorId="6" shapeId="0" xr:uid="{326AE8DA-B4EB-469A-AD37-A62767A83F6A}">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tc={A4DB9983-3BDB-4AE1-9C0B-011DA4BABB2E}</author>
    <author>tc={BF63D9E3-4EF9-4563-9568-47DA2223EE5B}</author>
    <author>tc={1544B9CD-073A-47E4-B03A-0DB006A73E14}</author>
    <author>tc={144DEE7A-2A98-46E2-8230-64C67A1A1D93}</author>
    <author>tc={F019A4D1-92A0-4C9F-957E-C3B94CB4C276}</author>
    <author>tc={6A0A020D-3ED9-474A-966E-FCE054E15BEB}</author>
    <author>tc={ECE1FA67-D0F0-5D40-B5F4-B48497C61C7E}</author>
    <author>tc={6D888E88-57C1-454A-ADA7-24F0184820AD}</author>
    <author>tc={47C259D5-F4D4-4AA5-B25D-E3163E628B18}</author>
    <author>tc={BF041EC4-36E2-430A-AAE7-D6C7D28E9C60}</author>
    <author>tc={D7BD4535-8023-464B-A9E9-078669B99A55}</author>
  </authors>
  <commentList>
    <comment ref="U4" authorId="0" shapeId="0" xr:uid="{A4DB9983-3BDB-4AE1-9C0B-011DA4BABB2E}">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4" authorId="1" shapeId="0" xr:uid="{BF63D9E3-4EF9-4563-9568-47DA2223EE5B}">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L33" authorId="2" shapeId="0" xr:uid="{1544B9CD-073A-47E4-B03A-0DB006A73E14}">
      <text>
        <t>[Threaded comment]
Your version of Excel allows you to read this threaded comment; however, any edits to it will get removed if the file is opened in a newer version of Excel. Learn more: https://go.microsoft.com/fwlink/?linkid=870924
Comment:
    Extra ryan air charges</t>
      </text>
    </comment>
    <comment ref="M34" authorId="3" shapeId="0" xr:uid="{144DEE7A-2A98-46E2-8230-64C67A1A1D93}">
      <text>
        <t>[Threaded comment]
Your version of Excel allows you to read this threaded comment; however, any edits to it will get removed if the file is opened in a newer version of Excel. Learn more: https://go.microsoft.com/fwlink/?linkid=870924
Comment:
    Super drug
Passport</t>
      </text>
    </comment>
    <comment ref="L35" authorId="4" shapeId="0" xr:uid="{F019A4D1-92A0-4C9F-957E-C3B94CB4C276}">
      <text>
        <t>[Threaded comment]
Your version of Excel allows you to read this threaded comment; however, any edits to it will get removed if the file is opened in a newer version of Excel. Learn more: https://go.microsoft.com/fwlink/?linkid=870924
Comment:
    Glasses for us, mum will re-pay</t>
      </text>
    </comment>
    <comment ref="M35" authorId="5" shapeId="0" xr:uid="{6A0A020D-3ED9-474A-966E-FCE054E15BEB}">
      <text>
        <t>[Threaded comment]
Your version of Excel allows you to read this threaded comment; however, any edits to it will get removed if the file is opened in a newer version of Excel. Learn more: https://go.microsoft.com/fwlink/?linkid=870924
Comment:
    Earrings for Mon - oliver Bonas
Reply:
    11 = postage Lena</t>
      </text>
    </comment>
    <comment ref="E36" authorId="6" shapeId="0" xr:uid="{ECE1FA67-D0F0-5D40-B5F4-B48497C61C7E}">
      <text>
        <t>[Threaded comment]
Your version of Excel allows you to read this threaded comment; however, any edits to it will get removed if the file is opened in a newer version of Excel. Learn more: https://go.microsoft.com/fwlink/?linkid=870924
Comment:
    138.64 work expenses</t>
      </text>
    </comment>
    <comment ref="F36" authorId="7" shapeId="0" xr:uid="{6D888E88-57C1-454A-ADA7-24F0184820AD}">
      <text>
        <t>[Threaded comment]
Your version of Excel allows you to read this threaded comment; however, any edits to it will get removed if the file is opened in a newer version of Excel. Learn more: https://go.microsoft.com/fwlink/?linkid=870924
Comment:
    485 in jar
161.67 coming back in work expense, all to pay into wedding
61.67 transfered to latvia hotel - to be repaid when expenses are resolved
50 transfered to gifts - to be repaid when expenses are resolved
26.4 transfered to fun - to be repaid when expenses are resolved
Reply:
    180 taken from wedding jar, deducted from digital GF and added here
Reply:
    90 taken from wedding jar, deducted from digital GF and added here
Reply:
    25 taken from wedding jar, deducted from digital GF and added here</t>
      </text>
    </comment>
    <comment ref="L36" authorId="8" shapeId="0" xr:uid="{47C259D5-F4D4-4AA5-B25D-E3163E628B18}">
      <text>
        <t>[Threaded comment]
Your version of Excel allows you to read this threaded comment; however, any edits to it will get removed if the file is opened in a newer version of Excel. Learn more: https://go.microsoft.com/fwlink/?linkid=870924
Comment:
    LookFantastic - Kris will  re-pay next month</t>
      </text>
    </comment>
    <comment ref="N36" authorId="9" shapeId="0" xr:uid="{BF041EC4-36E2-430A-AAE7-D6C7D28E9C60}">
      <text>
        <t>[Threaded comment]
Your version of Excel allows you to read this threaded comment; however, any edits to it will get removed if the file is opened in a newer version of Excel. Learn more: https://go.microsoft.com/fwlink/?linkid=870924
Comment:
    Dress deposit</t>
      </text>
    </comment>
    <comment ref="D40" authorId="10" shapeId="0" xr:uid="{D7BD4535-8023-464B-A9E9-078669B99A55}">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tc={559E070D-2C66-3649-B910-7985479FADD4}</author>
    <author>tc={33D62FC6-BF94-1540-B77A-87498278499A}</author>
    <author>tc={C6C795AA-FDBF-4A55-816F-7594652A12EA}</author>
    <author>tc={D5CFBB6E-3BFE-4D36-8DBF-58423A5E0ECC}</author>
    <author>tc={678CE78C-BA39-48C7-9E60-4E1818144CF6}</author>
    <author>tc={5063FE43-02E8-469C-9EC1-DEFF168DACCA}</author>
    <author>tc={78C3395B-519F-4F88-891D-8A2875ADBED7}</author>
    <author>tc={5FEC59A0-3CEF-40E8-B1A5-A663FBDA7F68}</author>
    <author>tc={61DC91F2-E2E5-CA45-A4A2-72442D78DA72}</author>
    <author>tc={CD8C73A7-BAF3-1948-8887-DE6B4B0E329D}</author>
    <author>tc={91E1A081-5134-45BE-90D7-BC5B7AC175D8}</author>
  </authors>
  <commentList>
    <comment ref="U4" authorId="0" shapeId="0" xr:uid="{559E070D-2C66-3649-B910-7985479FADD4}">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4" authorId="1" shapeId="0" xr:uid="{33D62FC6-BF94-1540-B77A-87498278499A}">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H33" authorId="2" shapeId="0" xr:uid="{C6C795AA-FDBF-4A55-816F-7594652A12EA}">
      <text>
        <t>[Threaded comment]
Your version of Excel allows you to read this threaded comment; however, any edits to it will get removed if the file is opened in a newer version of Excel. Learn more: https://go.microsoft.com/fwlink/?linkid=870924
Comment:
    Jan 1st flight (due refund)</t>
      </text>
    </comment>
    <comment ref="I33" authorId="3" shapeId="0" xr:uid="{D5CFBB6E-3BFE-4D36-8DBF-58423A5E0ECC}">
      <text>
        <t>[Threaded comment]
Your version of Excel allows you to read this threaded comment; however, any edits to it will get removed if the file is opened in a newer version of Excel. Learn more: https://go.microsoft.com/fwlink/?linkid=870924
Comment:
    Euro exchange
Primark</t>
      </text>
    </comment>
    <comment ref="J33" authorId="4" shapeId="0" xr:uid="{678CE78C-BA39-48C7-9E60-4E1818144CF6}">
      <text>
        <t>[Threaded comment]
Your version of Excel allows you to read this threaded comment; however, any edits to it will get removed if the file is opened in a newer version of Excel. Learn more: https://go.microsoft.com/fwlink/?linkid=870924
Comment:
    Jan 8th flight
WIreless earphones, adapter etc</t>
      </text>
    </comment>
    <comment ref="K33" authorId="5" shapeId="0" xr:uid="{5063FE43-02E8-469C-9EC1-DEFF168DACCA}">
      <text>
        <t>[Threaded comment]
Your version of Excel allows you to read this threaded comment; however, any edits to it will get removed if the file is opened in a newer version of Excel. Learn more: https://go.microsoft.com/fwlink/?linkid=870924
Comment:
    Parking</t>
      </text>
    </comment>
    <comment ref="L33" authorId="6" shapeId="0" xr:uid="{78C3395B-519F-4F88-891D-8A2875ADBED7}">
      <text>
        <t>[Threaded comment]
Your version of Excel allows you to read this threaded comment; however, any edits to it will get removed if the file is opened in a newer version of Excel. Learn more: https://go.microsoft.com/fwlink/?linkid=870924
Comment:
    Bin, office equipment
Ryan air refund</t>
      </text>
    </comment>
    <comment ref="N35" authorId="7" shapeId="0" xr:uid="{5FEC59A0-3CEF-40E8-B1A5-A663FBDA7F68}">
      <text>
        <t>[Threaded comment]
Your version of Excel allows you to read this threaded comment; however, any edits to it will get removed if the file is opened in a newer version of Excel. Learn more: https://go.microsoft.com/fwlink/?linkid=870924
Comment:
    Flowers for Grandad</t>
      </text>
    </comment>
    <comment ref="F36" authorId="8" shapeId="0" xr:uid="{61DC91F2-E2E5-CA45-A4A2-72442D78DA72}">
      <text>
        <t>[Threaded comment]
Your version of Excel allows you to read this threaded comment; however, any edits to it will get removed if the file is opened in a newer version of Excel. Learn more: https://go.microsoft.com/fwlink/?linkid=870924
Comment:
    -50 - added 50 to jar
Reply:
    415 in jar
Reply:
    505 due back from expenses - now returned
Reply:
    40 deducted from digital balance, added 40 cash to jar from Grandma</t>
      </text>
    </comment>
    <comment ref="D40" authorId="9" shapeId="0" xr:uid="{CD8C73A7-BAF3-1948-8887-DE6B4B0E329D}">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 ref="F43" authorId="10" shapeId="0" xr:uid="{91E1A081-5134-45BE-90D7-BC5B7AC175D8}">
      <text>
        <t>[Threaded comment]
Your version of Excel allows you to read this threaded comment; however, any edits to it will get removed if the file is opened in a newer version of Excel. Learn more: https://go.microsoft.com/fwlink/?linkid=870924
Comment:
    50 due back from returns</t>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tc={09C9E249-DDDE-DA40-8BDC-D329B39F218E}</author>
    <author>tc={9A4F6B1F-4E80-A744-A8E2-3BEB1EE8D094}</author>
    <author>tc={1BE9267A-3A08-CA41-8D6B-77DECC46B57C}</author>
    <author>tc={5D7EF8D1-573D-8A48-BA86-CEE2330E763D}</author>
    <author>tc={668D8DC2-6C83-8442-8360-AC8F5E5CCEF3}</author>
    <author>tc={F324F549-6505-E248-8DC6-15B924585440}</author>
    <author>tc={25061491-4AF0-CA4F-9D0B-0A0A8ADDB16A}</author>
    <author>tc={ED42B957-0764-B34D-B57C-39A063452ECA}</author>
    <author>tc={1E5646EE-370C-485C-BE9F-1168AFD1D234}</author>
    <author>tc={B9F87DC5-67AF-C142-B68F-9EDC9FF487AB}</author>
    <author>tc={86746D2A-952B-7D45-9F12-6E6FB81D748B}</author>
    <author>tc={F7717FFC-CD1E-B246-8652-D0A9B59EA682}</author>
    <author>tc={A8916840-1801-7045-A35F-E0B685E04755}</author>
    <author>tc={C30E96BA-BBC6-2B4F-9D7F-15A82ADE8DC4}</author>
    <author>tc={38E5DF5E-8537-3747-93AD-0F44BF4ACAC0}</author>
    <author>tc={88F277E1-881C-C640-9304-6DC0C6DA5E76}</author>
  </authors>
  <commentList>
    <comment ref="U4" authorId="0" shapeId="0" xr:uid="{09C9E249-DDDE-DA40-8BDC-D329B39F218E}">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G7" authorId="1" shapeId="0" xr:uid="{9A4F6B1F-4E80-A744-A8E2-3BEB1EE8D094}">
      <text>
        <t>[Threaded comment]
Your version of Excel allows you to read this threaded comment; however, any edits to it will get removed if the file is opened in a newer version of Excel. Learn more: https://go.microsoft.com/fwlink/?linkid=870924
Comment:
    Part of 130 transfer to kris</t>
      </text>
    </comment>
    <comment ref="D14" authorId="2" shapeId="0" xr:uid="{1BE9267A-3A08-CA41-8D6B-77DECC46B57C}">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G20" authorId="3" shapeId="0" xr:uid="{5D7EF8D1-573D-8A48-BA86-CEE2330E763D}">
      <text>
        <t>[Threaded comment]
Your version of Excel allows you to read this threaded comment; however, any edits to it will get removed if the file is opened in a newer version of Excel. Learn more: https://go.microsoft.com/fwlink/?linkid=870924
Comment:
    Sainsburys Settlement</t>
      </text>
    </comment>
    <comment ref="G27" authorId="4" shapeId="0" xr:uid="{668D8DC2-6C83-8442-8360-AC8F5E5CCEF3}">
      <text>
        <t>[Threaded comment]
Your version of Excel allows you to read this threaded comment; however, any edits to it will get removed if the file is opened in a newer version of Excel. Learn more: https://go.microsoft.com/fwlink/?linkid=870924
Comment:
    Sainsburys Settlement</t>
      </text>
    </comment>
    <comment ref="I36" authorId="5" shapeId="0" xr:uid="{F324F549-6505-E248-8DC6-15B924585440}">
      <text>
        <t>[Threaded comment]
Your version of Excel allows you to read this threaded comment; however, any edits to it will get removed if the file is opened in a newer version of Excel. Learn more: https://go.microsoft.com/fwlink/?linkid=870924
Comment:
    Part of 130 transferred to kris
Reply:
    100 for K grandma</t>
      </text>
    </comment>
    <comment ref="K36" authorId="6" shapeId="0" xr:uid="{25061491-4AF0-CA4F-9D0B-0A0A8ADDB16A}">
      <text>
        <t>[Threaded comment]
Your version of Excel allows you to read this threaded comment; however, any edits to it will get removed if the file is opened in a newer version of Excel. Learn more: https://go.microsoft.com/fwlink/?linkid=870924
Comment:
    Wills birthday</t>
      </text>
    </comment>
    <comment ref="L36" authorId="7" shapeId="0" xr:uid="{ED42B957-0764-B34D-B57C-39A063452ECA}">
      <text>
        <t>[Threaded comment]
Your version of Excel allows you to read this threaded comment; however, any edits to it will get removed if the file is opened in a newer version of Excel. Learn more: https://go.microsoft.com/fwlink/?linkid=870924
Comment:
    Kris welcome home</t>
      </text>
    </comment>
    <comment ref="M36" authorId="8" shapeId="0" xr:uid="{1E5646EE-370C-485C-BE9F-1168AFD1D234}">
      <text>
        <t>[Threaded comment]
Your version of Excel allows you to read this threaded comment; however, any edits to it will get removed if the file is opened in a newer version of Excel. Learn more: https://go.microsoft.com/fwlink/?linkid=870924
Comment:
    Julian leaving</t>
      </text>
    </comment>
    <comment ref="E37" authorId="9" shapeId="0" xr:uid="{B9F87DC5-67AF-C142-B68F-9EDC9FF487AB}">
      <text>
        <t>[Threaded comment]
Your version of Excel allows you to read this threaded comment; however, any edits to it will get removed if the file is opened in a newer version of Excel. Learn more: https://go.microsoft.com/fwlink/?linkid=870924
Comment:
    361.15 expenses</t>
      </text>
    </comment>
    <comment ref="F37" authorId="10" shapeId="0" xr:uid="{86746D2A-952B-7D45-9F12-6E6FB81D748B}">
      <text>
        <t>[Threaded comment]
Your version of Excel allows you to read this threaded comment; however, any edits to it will get removed if the file is opened in a newer version of Excel. Learn more: https://go.microsoft.com/fwlink/?linkid=870924
Comment:
    0 in jar
55 due back from expenses
100 due back from expenses</t>
      </text>
    </comment>
    <comment ref="G37" authorId="11" shapeId="0" xr:uid="{F7717FFC-CD1E-B246-8652-D0A9B59EA682}">
      <text>
        <t>[Threaded comment]
Your version of Excel allows you to read this threaded comment; however, any edits to it will get removed if the file is opened in a newer version of Excel. Learn more: https://go.microsoft.com/fwlink/?linkid=870924
Comment:
    Sainsburys settlement - will repay back in until May 329.97</t>
      </text>
    </comment>
    <comment ref="I37" authorId="12" shapeId="0" xr:uid="{A8916840-1801-7045-A35F-E0B685E04755}">
      <text>
        <t>[Threaded comment]
Your version of Excel allows you to read this threaded comment; however, any edits to it will get removed if the file is opened in a newer version of Excel. Learn more: https://go.microsoft.com/fwlink/?linkid=870924
Comment:
    Inesa to repay</t>
      </text>
    </comment>
    <comment ref="D41" authorId="13" shapeId="0" xr:uid="{C30E96BA-BBC6-2B4F-9D7F-15A82ADE8DC4}">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 ref="I42" authorId="14" shapeId="0" xr:uid="{38E5DF5E-8537-3747-93AD-0F44BF4ACAC0}">
      <text>
        <t>[Threaded comment]
Your version of Excel allows you to read this threaded comment; however, any edits to it will get removed if the file is opened in a newer version of Excel. Learn more: https://go.microsoft.com/fwlink/?linkid=870924
Comment:
    Tanya gift</t>
      </text>
    </comment>
    <comment ref="I44" authorId="15" shapeId="0" xr:uid="{88F277E1-881C-C640-9304-6DC0C6DA5E76}">
      <text>
        <t>[Threaded comment]
Your version of Excel allows you to read this threaded comment; however, any edits to it will get removed if the file is opened in a newer version of Excel. Learn more: https://go.microsoft.com/fwlink/?linkid=870924
Comment:
    Part of 130 transferred to kris</t>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tc={14DB7410-DD57-9B45-A1BD-E1E97C69DAB1}</author>
    <author>tc={237C1C4D-1673-6D40-B8EF-0C9FE439E116}</author>
    <author>tc={EC0D82B2-8EC5-48AC-B930-97BC7D7AF9FF}</author>
    <author>tc={9CC8D8A1-D1CF-4ECF-83EF-7A087F88474B}</author>
    <author>tc={32FC9152-EB1D-4FBB-B0CC-BEFBE80BB364}</author>
    <author>tc={4395E7E3-F17E-460C-998D-5541ED58140A}</author>
    <author>tc={3D2D020D-9A59-4D41-BD4A-8A913C55568D}</author>
    <author>tc={1A76E82B-6F31-49D6-A1A7-905012A14614}</author>
    <author>tc={C1335712-CC94-41D4-AE81-1DDA075CA260}</author>
  </authors>
  <commentList>
    <comment ref="U4" authorId="0" shapeId="0" xr:uid="{14DB7410-DD57-9B45-A1BD-E1E97C69DAB1}">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4" authorId="1" shapeId="0" xr:uid="{237C1C4D-1673-6D40-B8EF-0C9FE439E116}">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M24" authorId="2" shapeId="0" xr:uid="{EC0D82B2-8EC5-48AC-B930-97BC7D7AF9FF}">
      <text>
        <t>[Threaded comment]
Your version of Excel allows you to read this threaded comment; however, any edits to it will get removed if the file is opened in a newer version of Excel. Learn more: https://go.microsoft.com/fwlink/?linkid=870924
Comment:
    windows, changing SO to avoid double payments</t>
      </text>
    </comment>
    <comment ref="J36" authorId="3" shapeId="0" xr:uid="{9CC8D8A1-D1CF-4ECF-83EF-7A087F88474B}">
      <text>
        <t>[Threaded comment]
Your version of Excel allows you to read this threaded comment; however, any edits to it will get removed if the file is opened in a newer version of Excel. Learn more: https://go.microsoft.com/fwlink/?linkid=870924
Comment:
    Jordan</t>
      </text>
    </comment>
    <comment ref="J37" authorId="4" shapeId="0" xr:uid="{32FC9152-EB1D-4FBB-B0CC-BEFBE80BB364}">
      <text>
        <t>[Threaded comment]
Your version of Excel allows you to read this threaded comment; however, any edits to it will get removed if the file is opened in a newer version of Excel. Learn more: https://go.microsoft.com/fwlink/?linkid=870924
Comment:
    Mower + Strimmer, will repay monthly
Eufy - kris bonus</t>
      </text>
    </comment>
    <comment ref="O37" authorId="5" shapeId="0" xr:uid="{4395E7E3-F17E-460C-998D-5541ED58140A}">
      <text>
        <t>[Threaded comment]
Your version of Excel allows you to read this threaded comment; however, any edits to it will get removed if the file is opened in a newer version of Excel. Learn more: https://go.microsoft.com/fwlink/?linkid=870924
Comment:
    Minus work expenses, when expenses are paid put money back into here</t>
      </text>
    </comment>
    <comment ref="D41" authorId="6" shapeId="0" xr:uid="{3D2D020D-9A59-4D41-BD4A-8A913C55568D}">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 ref="H42" authorId="7" shapeId="0" xr:uid="{1A76E82B-6F31-49D6-A1A7-905012A14614}">
      <text>
        <t>[Threaded comment]
Your version of Excel allows you to read this threaded comment; however, any edits to it will get removed if the file is opened in a newer version of Excel. Learn more: https://go.microsoft.com/fwlink/?linkid=870924
Comment:
    Beer 52</t>
      </text>
    </comment>
    <comment ref="M43" authorId="8" shapeId="0" xr:uid="{C1335712-CC94-41D4-AE81-1DDA075CA260}">
      <text>
        <t>[Threaded comment]
Your version of Excel allows you to read this threaded comment; however, any edits to it will get removed if the file is opened in a newer version of Excel. Learn more: https://go.microsoft.com/fwlink/?linkid=870924
Comment:
    Wavertree</t>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tc={BC2A9301-CD81-4AD3-9A12-2D6F436EC702}</author>
    <author>tc={83801834-A41A-4736-B930-6A06C90C169E}</author>
    <author>tc={3A4FF5B9-554C-7B4C-BFEB-BF9F4B1E4207}</author>
    <author>tc={D4005FE1-DB23-442F-BC31-A94859A760DB}</author>
    <author>tc={2637E0EA-4639-0141-BEBF-EDEFE3A6CBBB}</author>
    <author>tc={C6AB7E63-0EB4-43AF-8F23-0D5C060D2F59}</author>
    <author>tc={D209D75C-D75D-4980-AD79-95353CA922F4}</author>
  </authors>
  <commentList>
    <comment ref="U4" authorId="0" shapeId="0" xr:uid="{BC2A9301-CD81-4AD3-9A12-2D6F436EC702}">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4" authorId="1" shapeId="0" xr:uid="{83801834-A41A-4736-B930-6A06C90C169E}">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G35" authorId="2" shapeId="0" xr:uid="{3A4FF5B9-554C-7B4C-BFEB-BF9F4B1E4207}">
      <text>
        <t>[Threaded comment]
Your version of Excel allows you to read this threaded comment; however, any edits to it will get removed if the file is opened in a newer version of Excel. Learn more: https://go.microsoft.com/fwlink/?linkid=870924
Comment:
    Tania</t>
      </text>
    </comment>
    <comment ref="H35" authorId="3" shapeId="0" xr:uid="{D4005FE1-DB23-442F-BC31-A94859A760DB}">
      <text>
        <t>[Threaded comment]
Your version of Excel allows you to read this threaded comment; however, any edits to it will get removed if the file is opened in a newer version of Excel. Learn more: https://go.microsoft.com/fwlink/?linkid=870924
Comment:
    anniv comp</t>
      </text>
    </comment>
    <comment ref="F36" authorId="4" shapeId="0" xr:uid="{2637E0EA-4639-0141-BEBF-EDEFE3A6CBBB}">
      <text>
        <t>[Threaded comment]
Your version of Excel allows you to read this threaded comment; however, any edits to it will get removed if the file is opened in a newer version of Excel. Learn more: https://go.microsoft.com/fwlink/?linkid=870924
Comment:
    +25 for 200 lawnmower in Feb-Mar</t>
      </text>
    </comment>
    <comment ref="J36" authorId="5" shapeId="0" xr:uid="{C6AB7E63-0EB4-43AF-8F23-0D5C060D2F59}">
      <text>
        <t>[Threaded comment]
Your version of Excel allows you to read this threaded comment; however, any edits to it will get removed if the file is opened in a newer version of Excel. Learn more: https://go.microsoft.com/fwlink/?linkid=870924
Comment:
    Kris to repay</t>
      </text>
    </comment>
    <comment ref="D37" authorId="6" shapeId="0" xr:uid="{D209D75C-D75D-4980-AD79-95353CA922F4}">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tc={0F448E20-F0E5-4095-A60B-C4F7820E3787}</author>
    <author>tc={50847C0E-A62B-4625-A76C-2E676CF353DC}</author>
    <author>tc={FC9F5DA2-E3A5-4E99-BAAC-D1E5E8AB5040}</author>
    <author>tc={5982A022-6C5A-4D73-93F6-09751E7E6A4A}</author>
    <author>tc={BA8700D4-A433-43EC-AECA-4CCDD677A6C6}</author>
    <author>tc={BB7151E2-132C-9844-BBAB-14548D2E5A1E}</author>
    <author>tc={F707B466-1607-4E21-AC30-A0B9DE1CC5BD}</author>
    <author>tc={C3D62D6F-FEA5-4FDE-B2CF-E389AEDC32D7}</author>
    <author>tc={B61DDD50-204F-4436-852D-526FC0A3BF6E}</author>
  </authors>
  <commentList>
    <comment ref="U4" authorId="0" shapeId="0" xr:uid="{0F448E20-F0E5-4095-A60B-C4F7820E3787}">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F7" authorId="1" shapeId="0" xr:uid="{50847C0E-A62B-4625-A76C-2E676CF353DC}">
      <text>
        <t>[Threaded comment]
Your version of Excel allows you to read this threaded comment; however, any edits to it will get removed if the file is opened in a newer version of Excel. Learn more: https://go.microsoft.com/fwlink/?linkid=870924
Comment:
    Took 20 from wedding to farm shop</t>
      </text>
    </comment>
    <comment ref="D14" authorId="2" shapeId="0" xr:uid="{FC9F5DA2-E3A5-4E99-BAAC-D1E5E8AB5040}">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L24" authorId="3" shapeId="0" xr:uid="{5982A022-6C5A-4D73-93F6-09751E7E6A4A}">
      <text>
        <t>[Threaded comment]
Your version of Excel allows you to read this threaded comment; however, any edits to it will get removed if the file is opened in a newer version of Excel. Learn more: https://go.microsoft.com/fwlink/?linkid=870924
Comment:
    amz rfd</t>
      </text>
    </comment>
    <comment ref="M24" authorId="4" shapeId="0" xr:uid="{BA8700D4-A433-43EC-AECA-4CCDD677A6C6}">
      <text>
        <t>[Threaded comment]
Your version of Excel allows you to read this threaded comment; however, any edits to it will get removed if the file is opened in a newer version of Excel. Learn more: https://go.microsoft.com/fwlink/?linkid=870924
Comment:
    H&amp;M cushions to return</t>
      </text>
    </comment>
    <comment ref="G25" authorId="5" shapeId="0" xr:uid="{BB7151E2-132C-9844-BBAB-14548D2E5A1E}">
      <text>
        <t>[Threaded comment]
Your version of Excel allows you to read this threaded comment; however, any edits to it will get removed if the file is opened in a newer version of Excel. Learn more: https://go.microsoft.com/fwlink/?linkid=870924
Comment:
    Vets</t>
      </text>
    </comment>
    <comment ref="F34" authorId="6" shapeId="0" xr:uid="{F707B466-1607-4E21-AC30-A0B9DE1CC5BD}">
      <text>
        <t>[Threaded comment]
Your version of Excel allows you to read this threaded comment; however, any edits to it will get removed if the file is opened in a newer version of Excel. Learn more: https://go.microsoft.com/fwlink/?linkid=870924
Comment:
    +50 for parents aniv gift</t>
      </text>
    </comment>
    <comment ref="F35" authorId="7" shapeId="0" xr:uid="{C3D62D6F-FEA5-4FDE-B2CF-E389AEDC32D7}">
      <text>
        <t>[Threaded comment]
Your version of Excel allows you to read this threaded comment; however, any edits to it will get removed if the file is opened in a newer version of Excel. Learn more: https://go.microsoft.com/fwlink/?linkid=870924
Comment:
    +50 for 200 lawnmower in Feb-Mar (125 remaining)
300 in cash jar</t>
      </text>
    </comment>
    <comment ref="D36" authorId="8" shapeId="0" xr:uid="{B61DDD50-204F-4436-852D-526FC0A3BF6E}">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t>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tc={3A670EF0-F4A5-42AC-9A47-60F16994581A}</author>
    <author>tc={4FFDABB3-84E5-4F12-9F1C-A5EAC11AB845}</author>
    <author>tc={C52D2A03-4D14-B14D-9ED8-C5E2DB78C875}</author>
    <author>tc={AB570E16-23DC-C348-B698-E8C625D2F4D7}</author>
    <author>tc={B9CCD5F0-BAD1-4891-B7E5-03D180ACE5E9}</author>
    <author>tc={6F27D67A-E202-4592-8406-F0FD60DB8145}</author>
  </authors>
  <commentList>
    <comment ref="U4" authorId="0" shapeId="0" xr:uid="{3A670EF0-F4A5-42AC-9A47-60F16994581A}">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5" authorId="1" shapeId="0" xr:uid="{4FFDABB3-84E5-4F12-9F1C-A5EAC11AB845}">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G25" authorId="2" shapeId="0" xr:uid="{C52D2A03-4D14-B14D-9ED8-C5E2DB78C875}">
      <text>
        <t>[Threaded comment]
Your version of Excel allows you to read this threaded comment; however, any edits to it will get removed if the file is opened in a newer version of Excel. Learn more: https://go.microsoft.com/fwlink/?linkid=870924
Comment:
    Vets for shits</t>
      </text>
    </comment>
    <comment ref="J33" authorId="3" shapeId="0" xr:uid="{AB570E16-23DC-C348-B698-E8C625D2F4D7}">
      <text>
        <t>[Threaded comment]
Your version of Excel allows you to read this threaded comment; however, any edits to it will get removed if the file is opened in a newer version of Excel. Learn more: https://go.microsoft.com/fwlink/?linkid=870924
Comment:
    Prime</t>
      </text>
    </comment>
    <comment ref="F36" authorId="4" shapeId="0" xr:uid="{B9CCD5F0-BAD1-4891-B7E5-03D180ACE5E9}">
      <text>
        <t>[Threaded comment]
Your version of Excel allows you to read this threaded comment; however, any edits to it will get removed if the file is opened in a newer version of Excel. Learn more: https://go.microsoft.com/fwlink/?linkid=870924
Comment:
    140 in cash jar</t>
      </text>
    </comment>
    <comment ref="D37" authorId="5" shapeId="0" xr:uid="{6F27D67A-E202-4592-8406-F0FD60DB8145}">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t>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tc={48BA3B96-F22E-4A10-9016-F364CF0E4ABE}</author>
    <author>tc={D994772B-01B1-CC44-9D87-24A1D9EC0C66}</author>
    <author>tc={2AD71F41-773E-0A4C-BACC-9482D361A8B9}</author>
    <author>tc={8FE72A0C-6834-AF4A-A2DE-F4341226D1E7}</author>
    <author>tc={461253D0-D22F-4FBE-9DF7-3BFB1C7EB9AF}</author>
    <author>tc={E0A51A8C-343A-43BE-85A5-4F538D0A1B03}</author>
    <author>tc={F1C50889-ADC9-4AC1-926F-91DEDA3A34C9}</author>
    <author>tc={3F27EF4A-5C73-434E-8953-B234DC12CCED}</author>
    <author>tc={2E38FF74-4ABC-407A-9BD2-3A9267EFBB73}</author>
    <author>tc={47A09110-A7EA-4820-8B2F-21976C916CDD}</author>
    <author>tc={CD06FADB-7F31-461E-9388-A437C840A8E8}</author>
    <author>tc={AD1957B4-0BAC-4769-9727-3DA5C3D2BD2A}</author>
    <author>tc={B1DDDFD2-E0F9-409B-83C8-5D29065E953B}</author>
    <author>tc={FFB12C27-C45C-4868-9B7B-F80D20171507}</author>
  </authors>
  <commentList>
    <comment ref="D15" authorId="0" shapeId="0" xr:uid="{48BA3B96-F22E-4A10-9016-F364CF0E4ABE}">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19" authorId="1" shapeId="0" xr:uid="{D994772B-01B1-CC44-9D87-24A1D9EC0C66}">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G25" authorId="2" shapeId="0" xr:uid="{2AD71F41-773E-0A4C-BACC-9482D361A8B9}">
      <text>
        <t>[Threaded comment]
Your version of Excel allows you to read this threaded comment; however, any edits to it will get removed if the file is opened in a newer version of Excel. Learn more: https://go.microsoft.com/fwlink/?linkid=870924
Comment:
    Phone charge for calling US (work)</t>
      </text>
    </comment>
    <comment ref="D26" authorId="3" shapeId="0" xr:uid="{8FE72A0C-6834-AF4A-A2DE-F4341226D1E7}">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J33" authorId="4" shapeId="0" xr:uid="{461253D0-D22F-4FBE-9DF7-3BFB1C7EB9AF}">
      <text>
        <t>[Threaded comment]
Your version of Excel allows you to read this threaded comment; however, any edits to it will get removed if the file is opened in a newer version of Excel. Learn more: https://go.microsoft.com/fwlink/?linkid=870924
Comment:
    Amex cashback</t>
      </text>
    </comment>
    <comment ref="K33" authorId="5" shapeId="0" xr:uid="{E0A51A8C-343A-43BE-85A5-4F538D0A1B03}">
      <text>
        <t>[Threaded comment]
Your version of Excel allows you to read this threaded comment; however, any edits to it will get removed if the file is opened in a newer version of Excel. Learn more: https://go.microsoft.com/fwlink/?linkid=870924
Comment:
    Puppy classes, take out of next months wage</t>
      </text>
    </comment>
    <comment ref="M33" authorId="6" shapeId="0" xr:uid="{F1C50889-ADC9-4AC1-926F-91DEDA3A34C9}">
      <text>
        <t>[Threaded comment]
Your version of Excel allows you to read this threaded comment; however, any edits to it will get removed if the file is opened in a newer version of Excel. Learn more: https://go.microsoft.com/fwlink/?linkid=870924
Comment:
    Splitting with kris next month</t>
      </text>
    </comment>
    <comment ref="G35" authorId="7" shapeId="0" xr:uid="{3F27EF4A-5C73-434E-8953-B234DC12CCED}">
      <text>
        <t>[Threaded comment]
Your version of Excel allows you to read this threaded comment; however, any edits to it will get removed if the file is opened in a newer version of Excel. Learn more: https://go.microsoft.com/fwlink/?linkid=870924
Comment:
    Aleks gift
Old hall british ceremony aniv</t>
      </text>
    </comment>
    <comment ref="J35" authorId="8" shapeId="0" xr:uid="{2E38FF74-4ABC-407A-9BD2-3A9267EFBB73}">
      <text>
        <t>[Threaded comment]
Your version of Excel allows you to read this threaded comment; however, any edits to it will get removed if the file is opened in a newer version of Excel. Learn more: https://go.microsoft.com/fwlink/?linkid=870924
Comment:
    Philippa charity</t>
      </text>
    </comment>
    <comment ref="K35" authorId="9" shapeId="0" xr:uid="{47A09110-A7EA-4820-8B2F-21976C916CDD}">
      <text>
        <t>[Threaded comment]
Your version of Excel allows you to read this threaded comment; however, any edits to it will get removed if the file is opened in a newer version of Excel. Learn more: https://go.microsoft.com/fwlink/?linkid=870924
Comment:
    Fathers day cake</t>
      </text>
    </comment>
    <comment ref="L35" authorId="10" shapeId="0" xr:uid="{CD06FADB-7F31-461E-9388-A437C840A8E8}">
      <text>
        <t>[Threaded comment]
Your version of Excel allows you to read this threaded comment; however, any edits to it will get removed if the file is opened in a newer version of Excel. Learn more: https://go.microsoft.com/fwlink/?linkid=870924
Comment:
    Hannah</t>
      </text>
    </comment>
    <comment ref="F36" authorId="11" shapeId="0" xr:uid="{AD1957B4-0BAC-4769-9727-3DA5C3D2BD2A}">
      <text>
        <t>[Threaded comment]
Your version of Excel allows you to read this threaded comment; however, any edits to it will get removed if the file is opened in a newer version of Excel. Learn more: https://go.microsoft.com/fwlink/?linkid=870924
Comment:
    100 in cash jar
Taken 25 for commuting for end of month
70 Added to cash jar from sale of tv unit
40 taken from jar for camping added back from eye surgery</t>
      </text>
    </comment>
    <comment ref="H36" authorId="12" shapeId="0" xr:uid="{B1DDDFD2-E0F9-409B-83C8-5D29065E953B}">
      <text>
        <t>[Threaded comment]
Your version of Excel allows you to read this threaded comment; however, any edits to it will get removed if the file is opened in a newer version of Excel. Learn more: https://go.microsoft.com/fwlink/?linkid=870924
Comment:
    Dress</t>
      </text>
    </comment>
    <comment ref="D37" authorId="13" shapeId="0" xr:uid="{FFB12C27-C45C-4868-9B7B-F80D20171507}">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tc={87B4CF9A-CA52-4534-8BF4-A27EC9EE0F98}</author>
    <author>tc={6A9FE37E-DE74-4526-BAD3-B2828AD00C3B}</author>
    <author>tc={96F851B1-CFEE-4B82-BEB3-B8039C58E13C}</author>
    <author>tc={26927874-8654-421C-AA69-CED3BF4487EE}</author>
    <author>tc={1B81389A-09A7-42F5-9AFD-C4A4921534F9}</author>
    <author>tc={0A21449D-4F23-41CE-909F-499C6E6B8DB9}</author>
    <author>tc={90AAAD93-B438-4156-A5A5-382508FBE4B4}</author>
    <author>tc={FC9137DD-32F9-408F-8025-BCF33BA40D5C}</author>
    <author>tc={C9025E8E-BBF0-4E93-A3A1-CB1E13F1BCB6}</author>
    <author>tc={F72CAA74-E459-4C04-8A24-5552B4A81E71}</author>
    <author>tc={8D1C584F-3D9B-4BCC-B1C0-589CEDF430CA}</author>
    <author>tc={CA9A56EF-B6E1-4302-B174-4F367D99F7B9}</author>
    <author>tc={7E471161-AAA0-C247-BA93-A89F970067EB}</author>
    <author>tc={31413E4C-DEC5-4DE5-9F07-16CFE94AB44A}</author>
    <author>tc={3FD93E50-AAFC-413D-BD72-19BD4B7CBCC8}</author>
  </authors>
  <commentList>
    <comment ref="I7" authorId="0" shapeId="0" xr:uid="{87B4CF9A-CA52-4534-8BF4-A27EC9EE0F98}">
      <text>
        <t>[Threaded comment]
Your version of Excel allows you to read this threaded comment; however, any edits to it will get removed if the file is opened in a newer version of Excel. Learn more: https://go.microsoft.com/fwlink/?linkid=870924
Comment:
    17 over last week
58 for the week</t>
      </text>
    </comment>
    <comment ref="D15" authorId="1" shapeId="0" xr:uid="{6A9FE37E-DE74-4526-BAD3-B2828AD00C3B}">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19" authorId="2" shapeId="0" xr:uid="{96F851B1-CFEE-4B82-BEB3-B8039C58E13C}">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3" shapeId="0" xr:uid="{26927874-8654-421C-AA69-CED3BF4487EE}">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I26" authorId="4" shapeId="0" xr:uid="{1B81389A-09A7-42F5-9AFD-C4A4921534F9}">
      <text>
        <t>[Threaded comment]
Your version of Excel allows you to read this threaded comment; however, any edits to it will get removed if the file is opened in a newer version of Excel. Learn more: https://go.microsoft.com/fwlink/?linkid=870924
Comment:
    Vets for foot - claiming back on ins</t>
      </text>
    </comment>
    <comment ref="J27" authorId="5" shapeId="0" xr:uid="{0A21449D-4F23-41CE-909F-499C6E6B8DB9}">
      <text>
        <t>[Threaded comment]
Your version of Excel allows you to read this threaded comment; however, any edits to it will get removed if the file is opened in a newer version of Excel. Learn more: https://go.microsoft.com/fwlink/?linkid=870924
Comment:
    Luna stuff</t>
      </text>
    </comment>
    <comment ref="M27" authorId="6" shapeId="0" xr:uid="{90AAAD93-B438-4156-A5A5-382508FBE4B4}">
      <text>
        <t>[Threaded comment]
Your version of Excel allows you to read this threaded comment; however, any edits to it will get removed if the file is opened in a newer version of Excel. Learn more: https://go.microsoft.com/fwlink/?linkid=870924
Comment:
    40 coming back from work referral bonus</t>
      </text>
    </comment>
    <comment ref="F33" authorId="7" shapeId="0" xr:uid="{FC9137DD-32F9-408F-8025-BCF33BA40D5C}">
      <text>
        <t>[Threaded comment]
Your version of Excel allows you to read this threaded comment; however, any edits to it will get removed if the file is opened in a newer version of Excel. Learn more: https://go.microsoft.com/fwlink/?linkid=870924
Comment:
    Removed last month for puppy classes</t>
      </text>
    </comment>
    <comment ref="L35" authorId="8" shapeId="0" xr:uid="{C9025E8E-BBF0-4E93-A3A1-CB1E13F1BCB6}">
      <text>
        <t>[Threaded comment]
Your version of Excel allows you to read this threaded comment; however, any edits to it will get removed if the file is opened in a newer version of Excel. Learn more: https://go.microsoft.com/fwlink/?linkid=870924
Comment:
    Oksana</t>
      </text>
    </comment>
    <comment ref="F36" authorId="9" shapeId="0" xr:uid="{F72CAA74-E459-4C04-8A24-5552B4A81E71}">
      <text>
        <t>[Threaded comment]
Your version of Excel allows you to read this threaded comment; however, any edits to it will get removed if the file is opened in a newer version of Excel. Learn more: https://go.microsoft.com/fwlink/?linkid=870924
Comment:
    60 in jar</t>
      </text>
    </comment>
    <comment ref="J36" authorId="10" shapeId="0" xr:uid="{8D1C584F-3D9B-4BCC-B1C0-589CEDF430CA}">
      <text>
        <t>[Threaded comment]
Your version of Excel allows you to read this threaded comment; however, any edits to it will get removed if the file is opened in a newer version of Excel. Learn more: https://go.microsoft.com/fwlink/?linkid=870924
Comment:
    Filey hot tob</t>
      </text>
    </comment>
    <comment ref="K36" authorId="11" shapeId="0" xr:uid="{CA9A56EF-B6E1-4302-B174-4F367D99F7B9}">
      <text>
        <t>[Threaded comment]
Your version of Excel allows you to read this threaded comment; however, any edits to it will get removed if the file is opened in a newer version of Excel. Learn more: https://go.microsoft.com/fwlink/?linkid=870924
Comment:
    Sep hol cottage</t>
      </text>
    </comment>
    <comment ref="M36" authorId="12" shapeId="0" xr:uid="{7E471161-AAA0-C247-BA93-A89F970067EB}">
      <text>
        <t>[Threaded comment]
Your version of Excel allows you to read this threaded comment; however, any edits to it will get removed if the file is opened in a newer version of Excel. Learn more: https://go.microsoft.com/fwlink/?linkid=870924
Comment:
    Closed out tesco</t>
      </text>
    </comment>
    <comment ref="D37" authorId="13" shapeId="0" xr:uid="{31413E4C-DEC5-4DE5-9F07-16CFE94AB44A}">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 ref="J38" authorId="14" shapeId="0" xr:uid="{3FD93E50-AAFC-413D-BD72-19BD4B7CBCC8}">
      <text>
        <t>[Threaded comment]
Your version of Excel allows you to read this threaded comment; however, any edits to it will get removed if the file is opened in a newer version of Excel. Learn more: https://go.microsoft.com/fwlink/?linkid=870924
Comment:
    Escape room, half from Phil + Alex</t>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tc={B59A2E42-EDD8-0F44-9ACD-19C0D7BFDEF2}</author>
    <author>tc={A0D72B64-675B-4BDB-AAE7-771A1F897EEA}</author>
    <author>tc={3BDDE136-A810-4A6F-BE2F-DF8F0EB7404D}</author>
    <author>tc={B357A21D-03C9-4214-83CD-ACAED5B58EBA}</author>
    <author>tc={8F3F48F8-D28F-E545-BFDE-2CB9321F6EC2}</author>
    <author>tc={903DD48B-EE0D-4050-9162-725124EEFA2F}</author>
    <author>tc={29777297-2D72-4747-A162-F6DC1ED8C078}</author>
    <author>tc={B54DABD3-1F93-4C89-8073-D920F86FEEF9}</author>
    <author>tc={80AF563A-58CB-42EE-9303-8676EBFE005E}</author>
    <author>tc={39EDAB48-946E-487D-9CB9-2D65FF0258B2}</author>
    <author>tc={5A31A8FE-56E6-4C4B-8B20-92489EE497AB}</author>
    <author>tc={E41E0E45-6CFF-42AD-BE5E-621A4CC54453}</author>
    <author>tc={E7195B4C-5EED-4298-81E5-471D369C89E3}</author>
    <author>tc={0FDC0B55-F65F-4B0A-816C-A10F655B9541}</author>
    <author>tc={FDC43B51-C8D4-41E7-9137-7896935A91F8}</author>
  </authors>
  <commentList>
    <comment ref="H8" authorId="0" shapeId="0" xr:uid="{B59A2E42-EDD8-0F44-9ACD-19C0D7BFDEF2}">
      <text>
        <t>[Threaded comment]
Your version of Excel allows you to read this threaded comment; however, any edits to it will get removed if the file is opened in a newer version of Excel. Learn more: https://go.microsoft.com/fwlink/?linkid=870924
Comment:
    7.99 = Rope lead
10.12 = range 21.12 split</t>
      </text>
    </comment>
    <comment ref="D15" authorId="1" shapeId="0" xr:uid="{A0D72B64-675B-4BDB-AAE7-771A1F897EEA}">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19" authorId="2" shapeId="0" xr:uid="{3BDDE136-A810-4A6F-BE2F-DF8F0EB7404D}">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5" authorId="3" shapeId="0" xr:uid="{B357A21D-03C9-4214-83CD-ACAED5B58EBA}">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G25" authorId="4" shapeId="0" xr:uid="{8F3F48F8-D28F-E545-BFDE-2CB9321F6EC2}">
      <text>
        <t>[Threaded comment]
Your version of Excel allows you to read this threaded comment; however, any edits to it will get removed if the file is opened in a newer version of Excel. Learn more: https://go.microsoft.com/fwlink/?linkid=870924
Comment:
    Tables will repay from rachel</t>
      </text>
    </comment>
    <comment ref="F32" authorId="5" shapeId="0" xr:uid="{903DD48B-EE0D-4050-9162-725124EEFA2F}">
      <text>
        <t>[Threaded comment]
Your version of Excel allows you to read this threaded comment; however, any edits to it will get removed if the file is opened in a newer version of Excel. Learn more: https://go.microsoft.com/fwlink/?linkid=870924
Comment:
    Removed last month for puppy classes</t>
      </text>
    </comment>
    <comment ref="F33" authorId="6" shapeId="0" xr:uid="{29777297-2D72-4747-A162-F6DC1ED8C078}">
      <text>
        <t>[Threaded comment]
Your version of Excel allows you to read this threaded comment; however, any edits to it will get removed if the file is opened in a newer version of Excel. Learn more: https://go.microsoft.com/fwlink/?linkid=870924
Comment:
    90 from jar paid for buns stay</t>
      </text>
    </comment>
    <comment ref="H34" authorId="7" shapeId="0" xr:uid="{B54DABD3-1F93-4C89-8073-D920F86FEEF9}">
      <text>
        <t>[Threaded comment]
Your version of Excel allows you to read this threaded comment; however, any edits to it will get removed if the file is opened in a newer version of Excel. Learn more: https://go.microsoft.com/fwlink/?linkid=870924
Comment:
    Matt bDay</t>
      </text>
    </comment>
    <comment ref="I34" authorId="8" shapeId="0" xr:uid="{80AF563A-58CB-42EE-9303-8676EBFE005E}">
      <text>
        <t>[Threaded comment]
Your version of Excel allows you to read this threaded comment; however, any edits to it will get removed if the file is opened in a newer version of Excel. Learn more: https://go.microsoft.com/fwlink/?linkid=870924
Comment:
    Matt bDay</t>
      </text>
    </comment>
    <comment ref="J34" authorId="9" shapeId="0" xr:uid="{39EDAB48-946E-487D-9CB9-2D65FF0258B2}">
      <text>
        <t>[Threaded comment]
Your version of Excel allows you to read this threaded comment; however, any edits to it will get removed if the file is opened in a newer version of Excel. Learn more: https://go.microsoft.com/fwlink/?linkid=870924
Comment:
    Kris comfy set (early bday/xmas)</t>
      </text>
    </comment>
    <comment ref="K34" authorId="10" shapeId="0" xr:uid="{5A31A8FE-56E6-4C4B-8B20-92489EE497AB}">
      <text>
        <t>[Threaded comment]
Your version of Excel allows you to read this threaded comment; however, any edits to it will get removed if the file is opened in a newer version of Excel. Learn more: https://go.microsoft.com/fwlink/?linkid=870924
Comment:
    Rebecca + Ben money</t>
      </text>
    </comment>
    <comment ref="L34" authorId="11" shapeId="0" xr:uid="{E41E0E45-6CFF-42AD-BE5E-621A4CC54453}">
      <text>
        <t>[Threaded comment]
Your version of Excel allows you to read this threaded comment; however, any edits to it will get removed if the file is opened in a newer version of Excel. Learn more: https://go.microsoft.com/fwlink/?linkid=870924
Comment:
    mum phone</t>
      </text>
    </comment>
    <comment ref="F35" authorId="12" shapeId="0" xr:uid="{E7195B4C-5EED-4298-81E5-471D369C89E3}">
      <text>
        <t>[Threaded comment]
Your version of Excel allows you to read this threaded comment; however, any edits to it will get removed if the file is opened in a newer version of Excel. Learn more: https://go.microsoft.com/fwlink/?linkid=870924
Comment:
    90 in jar
180 from old tesco loan</t>
      </text>
    </comment>
    <comment ref="D36" authorId="13" shapeId="0" xr:uid="{0FDC0B55-F65F-4B0A-816C-A10F655B9541}">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 ref="H37" authorId="14" shapeId="0" xr:uid="{FDC43B51-C8D4-41E7-9137-7896935A91F8}">
      <text>
        <t>[Threaded comment]
Your version of Excel allows you to read this threaded comment; however, any edits to it will get removed if the file is opened in a newer version of Excel. Learn more: https://go.microsoft.com/fwlink/?linkid=870924
Comment:
    11 = range 21.12 split</t>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tc={B78D0A60-273D-4938-995A-0FEBB25222B4}</author>
    <author>tc={66C0C279-CE41-4A69-A4F6-41A23956D245}</author>
    <author>tc={BB657CB9-CA01-4710-ABE8-E6855040E8D8}</author>
    <author>tc={6DF6265A-8280-43DD-AE1D-2773A8B37059}</author>
    <author>tc={59E4E291-2B58-4A05-B38A-EF805B6816DF}</author>
    <author>tc={89BB5399-AD7B-48DA-A0F7-1B34BCF98639}</author>
    <author>tc={2A01FB20-D4D7-4F31-8B05-55A9824EF163}</author>
  </authors>
  <commentList>
    <comment ref="D15" authorId="0" shapeId="0" xr:uid="{B78D0A60-273D-4938-995A-0FEBB25222B4}">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19" authorId="1" shapeId="0" xr:uid="{66C0C279-CE41-4A69-A4F6-41A23956D245}">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5" authorId="2" shapeId="0" xr:uid="{BB657CB9-CA01-4710-ABE8-E6855040E8D8}">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H34" authorId="3" shapeId="0" xr:uid="{6DF6265A-8280-43DD-AE1D-2773A8B37059}">
      <text>
        <t>[Threaded comment]
Your version of Excel allows you to read this threaded comment; however, any edits to it will get removed if the file is opened in a newer version of Excel. Learn more: https://go.microsoft.com/fwlink/?linkid=870924
Comment:
    Glen</t>
      </text>
    </comment>
    <comment ref="I34" authorId="4" shapeId="0" xr:uid="{59E4E291-2B58-4A05-B38A-EF805B6816DF}">
      <text>
        <t>[Threaded comment]
Your version of Excel allows you to read this threaded comment; however, any edits to it will get removed if the file is opened in a newer version of Excel. Learn more: https://go.microsoft.com/fwlink/?linkid=870924
Comment:
    Oscar</t>
      </text>
    </comment>
    <comment ref="F35" authorId="5" shapeId="0" xr:uid="{89BB5399-AD7B-48DA-A0F7-1B34BCF98639}">
      <text>
        <t>[Threaded comment]
Your version of Excel allows you to read this threaded comment; however, any edits to it will get removed if the file is opened in a newer version of Excel. Learn more: https://go.microsoft.com/fwlink/?linkid=870924
Comment:
    180 from old tesco loan
300 from mtg for couch
200 for wales
170 in jar for couch repay
-20 for fun budget</t>
      </text>
    </comment>
    <comment ref="D37" authorId="6" shapeId="0" xr:uid="{2A01FB20-D4D7-4F31-8B05-55A9824EF163}">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tc={05261812-F2B5-483E-AEAC-34DACDB035AB}</author>
    <author>tc={DE24BF44-1BA6-4BCF-A8D6-76DDD7FE1758}</author>
    <author>tc={EDB8669F-ADC9-4C48-AB1B-A14768F32878}</author>
    <author>tc={FF2EB055-6187-BD4C-9E9C-88C184D5ACB3}</author>
    <author>tc={05FE88AC-B393-C147-859E-7A95416D2806}</author>
    <author>tc={A63F8224-290B-E14F-860D-918185DFDFE6}</author>
    <author>tc={49EBB3C2-D5CC-43EA-8C13-4FA76F3D8F36}</author>
    <author>tc={730A25C6-A78D-C148-8338-5B18D9334326}</author>
    <author>tc={63F6E71E-A3CA-40E2-98A1-529C7551F67E}</author>
  </authors>
  <commentList>
    <comment ref="D16" authorId="0" shapeId="0" xr:uid="{05261812-F2B5-483E-AEAC-34DACDB035AB}">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1" shapeId="0" xr:uid="{DE24BF44-1BA6-4BCF-A8D6-76DDD7FE1758}">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2" shapeId="0" xr:uid="{EDB8669F-ADC9-4C48-AB1B-A14768F32878}">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I26" authorId="3" shapeId="0" xr:uid="{FF2EB055-6187-BD4C-9E9C-88C184D5ACB3}">
      <text>
        <t>[Threaded comment]
Your version of Excel allows you to read this threaded comment; however, any edits to it will get removed if the file is opened in a newer version of Excel. Learn more: https://go.microsoft.com/fwlink/?linkid=870924
Comment:
    Toyota</t>
      </text>
    </comment>
    <comment ref="G33" authorId="4" shapeId="0" xr:uid="{05FE88AC-B393-C147-859E-7A95416D2806}">
      <text>
        <t>[Threaded comment]
Your version of Excel allows you to read this threaded comment; however, any edits to it will get removed if the file is opened in a newer version of Excel. Learn more: https://go.microsoft.com/fwlink/?linkid=870924
Comment:
    Dec break</t>
      </text>
    </comment>
    <comment ref="L34" authorId="5" shapeId="0" xr:uid="{A63F8224-290B-E14F-860D-918185DFDFE6}">
      <text>
        <t>[Threaded comment]
Your version of Excel allows you to read this threaded comment; however, any edits to it will get removed if the file is opened in a newer version of Excel. Learn more: https://go.microsoft.com/fwlink/?linkid=870924
Comment:
    Bucks fizz, toys for Su’s dog</t>
      </text>
    </comment>
    <comment ref="F35" authorId="6" shapeId="0" xr:uid="{49EBB3C2-D5CC-43EA-8C13-4FA76F3D8F36}">
      <text>
        <t>[Threaded comment]
Your version of Excel allows you to read this threaded comment; however, any edits to it will get removed if the file is opened in a newer version of Excel. Learn more: https://go.microsoft.com/fwlink/?linkid=870924
Comment:
    180 from old tesco loan
300 from mtg for couch
200 for wales
170 in jar for couch repay
-20 for fun budget</t>
      </text>
    </comment>
    <comment ref="J35" authorId="7" shapeId="0" xr:uid="{730A25C6-A78D-C148-8338-5B18D9334326}">
      <text>
        <t>[Threaded comment]
Your version of Excel allows you to read this threaded comment; however, any edits to it will get removed if the file is opened in a newer version of Excel. Learn more: https://go.microsoft.com/fwlink/?linkid=870924
Comment:
    Maldives</t>
      </text>
    </comment>
    <comment ref="D37" authorId="8" shapeId="0" xr:uid="{63F6E71E-A3CA-40E2-98A1-529C7551F67E}">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tc={E0E21226-E995-4D9C-AAD6-CE4DB6D6C303}</author>
    <author>tc={682BA2FB-0B95-4359-BBD1-149B9F9528FD}</author>
    <author>tc={49EB7369-7DEE-480D-A971-936E59457378}</author>
    <author>tc={29DD30D9-0D12-4441-A9C9-B1C40F381D20}</author>
    <author>tc={95FCBD8F-4CFB-47F4-9310-2C7F25502B62}</author>
    <author>tc={15C2CF2D-4C7B-4821-877A-5C61A7D08454}</author>
  </authors>
  <commentList>
    <comment ref="D16" authorId="0" shapeId="0" xr:uid="{E0E21226-E995-4D9C-AAD6-CE4DB6D6C303}">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1" shapeId="0" xr:uid="{682BA2FB-0B95-4359-BBD1-149B9F9528FD}">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2" shapeId="0" xr:uid="{49EB7369-7DEE-480D-A971-936E59457378}">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G33" authorId="3" shapeId="0" xr:uid="{29DD30D9-0D12-4441-A9C9-B1C40F381D20}">
      <text>
        <t>[Threaded comment]
Your version of Excel allows you to read this threaded comment; however, any edits to it will get removed if the file is opened in a newer version of Excel. Learn more: https://go.microsoft.com/fwlink/?linkid=870924
Comment:
    Dec break</t>
      </text>
    </comment>
    <comment ref="F35" authorId="4" shapeId="0" xr:uid="{95FCBD8F-4CFB-47F4-9310-2C7F25502B62}">
      <text>
        <t>[Threaded comment]
Your version of Excel allows you to read this threaded comment; however, any edits to it will get removed if the file is opened in a newer version of Excel. Learn more: https://go.microsoft.com/fwlink/?linkid=870924
Comment:
    100 in jar from speakers</t>
      </text>
    </comment>
    <comment ref="D37" authorId="5" shapeId="0" xr:uid="{15C2CF2D-4C7B-4821-877A-5C61A7D08454}">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tc={2E48D89F-BEEF-9345-A4E8-C7380BC2C61E}</author>
    <author>tc={2DB2D504-BC94-884E-A1D9-36E6B2490B23}</author>
    <author>tc={DE430534-59EA-9F41-8C90-20D0BFECCDC0}</author>
    <author>tc={0BFB6082-4D6B-7C43-8476-4D6B4A17F11A}</author>
    <author>tc={C8CE21C2-BE0D-FF43-97D9-56488E6F45C8}</author>
    <author>tc={BFC870BD-C39D-0042-B5BE-0BC116877A0A}</author>
  </authors>
  <commentList>
    <comment ref="D16" authorId="0" shapeId="0" xr:uid="{2E48D89F-BEEF-9345-A4E8-C7380BC2C61E}">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1" shapeId="0" xr:uid="{2DB2D504-BC94-884E-A1D9-36E6B2490B23}">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2" shapeId="0" xr:uid="{DE430534-59EA-9F41-8C90-20D0BFECCDC0}">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F35" authorId="3" shapeId="0" xr:uid="{0BFB6082-4D6B-7C43-8476-4D6B4A17F11A}">
      <text>
        <t>[Threaded comment]
Your version of Excel allows you to read this threaded comment; however, any edits to it will get removed if the file is opened in a newer version of Excel. Learn more: https://go.microsoft.com/fwlink/?linkid=870924
Comment:
    140 in jar</t>
      </text>
    </comment>
    <comment ref="H35" authorId="4" shapeId="0" xr:uid="{C8CE21C2-BE0D-FF43-97D9-56488E6F45C8}">
      <text>
        <t>[Threaded comment]
Your version of Excel allows you to read this threaded comment; however, any edits to it will get removed if the file is opened in a newer version of Excel. Learn more: https://go.microsoft.com/fwlink/?linkid=870924
Comment:
    =121.97+125.89+122.9</t>
      </text>
    </comment>
    <comment ref="D37" authorId="5" shapeId="0" xr:uid="{BFC870BD-C39D-0042-B5BE-0BC116877A0A}">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tc={913F2FAE-FCA8-428E-B846-4E825536F716}</author>
    <author>tc={35DE2DD5-1EFC-4DB4-B8A2-89F02D869B8B}</author>
    <author>tc={E2830628-6FBE-4899-B3B6-B04CD171A59C}</author>
    <author>tc={2A852B1B-F5BB-488C-A429-6B53CC94B443}</author>
    <author>tc={1CC7C90D-AA18-410A-BD47-B3A51AC4A557}</author>
    <author>tc={88EFF46C-6679-4EE3-BA32-9904A58E223D}</author>
    <author>tc={3A5FAFDE-850E-4902-B1AC-B8BBF52C32EC}</author>
    <author>tc={EFA66938-A035-4D3E-9C2D-CB02CA42F452}</author>
    <author>tc={6BAD0DB7-3BB0-40FB-BD4F-F13B30F1B95D}</author>
    <author>tc={9A2B1CC7-3BE8-41DC-97ED-EA61D9C8A92F}</author>
    <author>tc={8AF392AA-E713-4360-8F36-66002FFD2C92}</author>
  </authors>
  <commentList>
    <comment ref="D16" authorId="0" shapeId="0" xr:uid="{913F2FAE-FCA8-428E-B846-4E825536F716}">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1" shapeId="0" xr:uid="{35DE2DD5-1EFC-4DB4-B8A2-89F02D869B8B}">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2" shapeId="0" xr:uid="{E2830628-6FBE-4899-B3B6-B04CD171A59C}">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I34" authorId="3" shapeId="0" xr:uid="{2A852B1B-F5BB-488C-A429-6B53CC94B443}">
      <text>
        <t>[Threaded comment]
Your version of Excel allows you to read this threaded comment; however, any edits to it will get removed if the file is opened in a newer version of Excel. Learn more: https://go.microsoft.com/fwlink/?linkid=870924
Comment:
    Inesa</t>
      </text>
    </comment>
    <comment ref="J34" authorId="4" shapeId="0" xr:uid="{1CC7C90D-AA18-410A-BD47-B3A51AC4A557}">
      <text>
        <t>[Threaded comment]
Your version of Excel allows you to read this threaded comment; however, any edits to it will get removed if the file is opened in a newer version of Excel. Learn more: https://go.microsoft.com/fwlink/?linkid=870924
Comment:
    Jordan</t>
      </text>
    </comment>
    <comment ref="E35" authorId="5" shapeId="0" xr:uid="{88EFF46C-6679-4EE3-BA32-9904A58E223D}">
      <text>
        <t>[Threaded comment]
Your version of Excel allows you to read this threaded comment; however, any edits to it will get removed if the file is opened in a newer version of Excel. Learn more: https://go.microsoft.com/fwlink/?linkid=870924
Comment:
    140 in jar</t>
      </text>
    </comment>
    <comment ref="F35" authorId="6" shapeId="0" xr:uid="{3A5FAFDE-850E-4902-B1AC-B8BBF52C32EC}">
      <text>
        <t>[Threaded comment]
Your version of Excel allows you to read this threaded comment; however, any edits to it will get removed if the file is opened in a newer version of Excel. Learn more: https://go.microsoft.com/fwlink/?linkid=870924
Comment:
    180 in jar</t>
      </text>
    </comment>
    <comment ref="H35" authorId="7" shapeId="0" xr:uid="{EFA66938-A035-4D3E-9C2D-CB02CA42F452}">
      <text>
        <t>[Threaded comment]
Your version of Excel allows you to read this threaded comment; however, any edits to it will get removed if the file is opened in a newer version of Excel. Learn more: https://go.microsoft.com/fwlink/?linkid=870924
Comment:
    =121.97+125.89+122.9</t>
      </text>
    </comment>
    <comment ref="L35" authorId="8" shapeId="0" xr:uid="{6BAD0DB7-3BB0-40FB-BD4F-F13B30F1B95D}">
      <text>
        <t>[Threaded comment]
Your version of Excel allows you to read this threaded comment; however, any edits to it will get removed if the file is opened in a newer version of Excel. Learn more: https://go.microsoft.com/fwlink/?linkid=870924
Comment:
    949 for phone</t>
      </text>
    </comment>
    <comment ref="N35" authorId="9" shapeId="0" xr:uid="{9A2B1CC7-3BE8-41DC-97ED-EA61D9C8A92F}">
      <text>
        <t>[Threaded comment]
Your version of Excel allows you to read this threaded comment; however, any edits to it will get removed if the file is opened in a newer version of Excel. Learn more: https://go.microsoft.com/fwlink/?linkid=870924
Comment:
    82 is hawaii flowers
525 is ring</t>
      </text>
    </comment>
    <comment ref="D37" authorId="10" shapeId="0" xr:uid="{8AF392AA-E713-4360-8F36-66002FFD2C92}">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tc={8D203AC5-FF21-4A59-B550-80FAEF222BF0}</author>
    <author>tc={CEA574AD-D763-40D7-B81A-90C4CA7D40F7}</author>
    <author>tc={8D9180BB-DCAA-485F-9C51-8E593E5F76E6}</author>
    <author>tc={A34C5EB7-6EF3-443F-944D-8AC042ED6EE9}</author>
    <author>tc={0F69EBD2-0ECD-4654-800D-603C3A8BB799}</author>
    <author>tc={572F9C2C-0FD6-404B-9555-D034308495FF}</author>
    <author>tc={7073AF9B-E876-4209-B4E4-AB4E4A5D5EB6}</author>
    <author>tc={17984354-881F-4948-A8C7-F8A4C455A66C}</author>
    <author>tc={61B613E5-CBEE-481C-9C62-9CCAB3776EB1}</author>
    <author>tc={873F74D6-6361-4C89-8239-4165CA48E0F6}</author>
    <author>tc={716EB84A-159E-4051-BAC7-C63680B79B53}</author>
    <author>tc={F5DF3C47-A055-4014-A43C-6440AF8DD517}</author>
    <author>tc={71A5A5F5-2BEC-4F67-9FDF-862585511638}</author>
    <author>tc={69F34083-F8BC-435A-B633-1DBA0464D343}</author>
  </authors>
  <commentList>
    <comment ref="D16" authorId="0" shapeId="0" xr:uid="{8D203AC5-FF21-4A59-B550-80FAEF222BF0}">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1" shapeId="0" xr:uid="{CEA574AD-D763-40D7-B81A-90C4CA7D40F7}">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2" shapeId="0" xr:uid="{8D9180BB-DCAA-485F-9C51-8E593E5F76E6}">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K33" authorId="3" shapeId="0" xr:uid="{A34C5EB7-6EF3-443F-944D-8AC042ED6EE9}">
      <text>
        <t>[Threaded comment]
Your version of Excel allows you to read this threaded comment; however, any edits to it will get removed if the file is opened in a newer version of Excel. Learn more: https://go.microsoft.com/fwlink/?linkid=870924
Comment:
    Kris to repay</t>
      </text>
    </comment>
    <comment ref="L33" authorId="4" shapeId="0" xr:uid="{0F69EBD2-0ECD-4654-800D-603C3A8BB799}">
      <text>
        <t>[Threaded comment]
Your version of Excel allows you to read this threaded comment; however, any edits to it will get removed if the file is opened in a newer version of Excel. Learn more: https://go.microsoft.com/fwlink/?linkid=870924
Comment:
    140 coming back in expenses</t>
      </text>
    </comment>
    <comment ref="M33" authorId="5" shapeId="0" xr:uid="{572F9C2C-0FD6-404B-9555-D034308495FF}">
      <text>
        <t>[Threaded comment]
Your version of Excel allows you to read this threaded comment; however, any edits to it will get removed if the file is opened in a newer version of Excel. Learn more: https://go.microsoft.com/fwlink/?linkid=870924
Comment:
    Leo + Jasmine</t>
      </text>
    </comment>
    <comment ref="H34" authorId="6" shapeId="0" xr:uid="{7073AF9B-E876-4209-B4E4-AB4E4A5D5EB6}">
      <text>
        <t>[Threaded comment]
Your version of Excel allows you to read this threaded comment; however, any edits to it will get removed if the file is opened in a newer version of Excel. Learn more: https://go.microsoft.com/fwlink/?linkid=870924
Comment:
    40 = Inesa
40 = Tanya
40 = Babu</t>
      </text>
    </comment>
    <comment ref="L34" authorId="7" shapeId="0" xr:uid="{17984354-881F-4948-A8C7-F8A4C455A66C}">
      <text>
        <t>[Threaded comment]
Your version of Excel allows you to read this threaded comment; however, any edits to it will get removed if the file is opened in a newer version of Excel. Learn more: https://go.microsoft.com/fwlink/?linkid=870924
Comment:
    Inesa</t>
      </text>
    </comment>
    <comment ref="E35" authorId="8" shapeId="0" xr:uid="{61B613E5-CBEE-481C-9C62-9CCAB3776EB1}">
      <text>
        <t>[Threaded comment]
Your version of Excel allows you to read this threaded comment; however, any edits to it will get removed if the file is opened in a newer version of Excel. Learn more: https://go.microsoft.com/fwlink/?linkid=870924
Comment:
    140 in jar</t>
      </text>
    </comment>
    <comment ref="F35" authorId="9" shapeId="0" xr:uid="{873F74D6-6361-4C89-8239-4165CA48E0F6}">
      <text>
        <t>[Threaded comment]
Your version of Excel allows you to read this threaded comment; however, any edits to it will get removed if the file is opened in a newer version of Excel. Learn more: https://go.microsoft.com/fwlink/?linkid=870924
Comment:
    230 in jar</t>
      </text>
    </comment>
    <comment ref="L35" authorId="10" shapeId="0" xr:uid="{716EB84A-159E-4051-BAC7-C63680B79B53}">
      <text>
        <t>[Threaded comment]
Your version of Excel allows you to read this threaded comment; however, any edits to it will get removed if the file is opened in a newer version of Excel. Learn more: https://go.microsoft.com/fwlink/?linkid=870924
Comment:
    181.33</t>
      </text>
    </comment>
    <comment ref="D37" authorId="11" shapeId="0" xr:uid="{F5DF3C47-A055-4014-A43C-6440AF8DD517}">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 ref="F38" authorId="12" shapeId="0" xr:uid="{71A5A5F5-2BEC-4F67-9FDF-862585511638}">
      <text>
        <t>[Threaded comment]
Your version of Excel allows you to read this threaded comment; however, any edits to it will get removed if the file is opened in a newer version of Excel. Learn more: https://go.microsoft.com/fwlink/?linkid=870924
Comment:
    100 is for london</t>
      </text>
    </comment>
    <comment ref="F39" authorId="13" shapeId="0" xr:uid="{69F34083-F8BC-435A-B633-1DBA0464D343}">
      <text>
        <t>[Threaded comment]
Your version of Excel allows you to read this threaded comment; however, any edits to it will get removed if the file is opened in a newer version of Excel. Learn more: https://go.microsoft.com/fwlink/?linkid=870924
Comment:
    Owes 250</t>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tc={815E9849-3F2D-43C8-B5BE-9F50A725CBD7}</author>
    <author>tc={FE3AB215-7366-41A4-8EEA-CF0CCA47C114}</author>
    <author>tc={BDDC69DF-A4D6-4633-9DB0-9E26A8861514}</author>
    <author>tc={B6553DE1-E792-4DD6-A7EC-EA2EA93C673C}</author>
    <author>tc={2067D482-7B99-4DEA-8523-F53840131B3B}</author>
    <author>tc={7A17D44F-2B9F-445A-84DC-16A5E05720C3}</author>
    <author>tc={A5EB80A5-9215-412E-8E8F-094A9805922C}</author>
    <author>tc={DC3810AE-01D4-434E-993E-926B0A28B8C7}</author>
    <author>tc={35838EEB-3830-4B78-B01C-40160011E7DA}</author>
    <author>tc={544B643E-0A11-4C2F-AA8D-F94BF83A7268}</author>
    <author>tc={7A0E80A6-E414-4D48-B510-AAC1CBA0EF5A}</author>
    <author>tc={5EED5E66-6EA0-426A-A5CD-F89F509FFABD}</author>
    <author>tc={A15CE79E-14EB-43F4-B9C4-E99E9E1853B9}</author>
    <author>tc={E7FAA46C-F693-47C1-BB88-9A40DA6952FF}</author>
    <author>tc={CF2884EC-14C4-4E09-A8E5-9F91C9EFF961}</author>
    <author>tc={8B08284F-9B64-42D7-9FF3-39478A8912AA}</author>
    <author>tc={769C1FB7-D8D8-4CB5-A371-2C9D958B8C00}</author>
    <author>tc={648E0D31-5C8B-47FC-8EFF-3FAF94D914CF}</author>
    <author>tc={7993AE9D-4FCF-44FA-925D-F190663EDAA6}</author>
  </authors>
  <commentList>
    <comment ref="H6" authorId="0" shapeId="0" xr:uid="{815E9849-3F2D-43C8-B5BE-9F50A725CBD7}">
      <text>
        <t>[Threaded comment]
Your version of Excel allows you to read this threaded comment; however, any edits to it will get removed if the file is opened in a newer version of Excel. Learn more: https://go.microsoft.com/fwlink/?linkid=870924
Comment:
    25</t>
      </text>
    </comment>
    <comment ref="G7" authorId="1" shapeId="0" xr:uid="{FE3AB215-7366-41A4-8EEA-CF0CCA47C114}">
      <text>
        <t>[Threaded comment]
Your version of Excel allows you to read this threaded comment; however, any edits to it will get removed if the file is opened in a newer version of Excel. Learn more: https://go.microsoft.com/fwlink/?linkid=870924
Comment:
    8.14</t>
      </text>
    </comment>
    <comment ref="H8" authorId="2" shapeId="0" xr:uid="{BDDC69DF-A4D6-4633-9DB0-9E26A8861514}">
      <text>
        <t>[Threaded comment]
Your version of Excel allows you to read this threaded comment; however, any edits to it will get removed if the file is opened in a newer version of Excel. Learn more: https://go.microsoft.com/fwlink/?linkid=870924
Comment:
    poop bags</t>
      </text>
    </comment>
    <comment ref="R8" authorId="3" shapeId="0" xr:uid="{B6553DE1-E792-4DD6-A7EC-EA2EA93C673C}">
      <text>
        <t>[Threaded comment]
Your version of Excel allows you to read this threaded comment; however, any edits to it will get removed if the file is opened in a newer version of Excel. Learn more: https://go.microsoft.com/fwlink/?linkid=870924
Comment:
    Poo bags</t>
      </text>
    </comment>
    <comment ref="D16" authorId="4" shapeId="0" xr:uid="{2067D482-7B99-4DEA-8523-F53840131B3B}">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5" shapeId="0" xr:uid="{7A17D44F-2B9F-445A-84DC-16A5E05720C3}">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6" shapeId="0" xr:uid="{A5EB80A5-9215-412E-8E8F-094A9805922C}">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F33" authorId="7" shapeId="0" xr:uid="{DC3810AE-01D4-434E-993E-926B0A28B8C7}">
      <text>
        <t>[Threaded comment]
Your version of Excel allows you to read this threaded comment; however, any edits to it will get removed if the file is opened in a newer version of Excel. Learn more: https://go.microsoft.com/fwlink/?linkid=870924
Comment:
    Kris owes 200 from latvia
Kris owes 33 from wales
Matt owes 325 from shit</t>
      </text>
    </comment>
    <comment ref="F35" authorId="8" shapeId="0" xr:uid="{35838EEB-3830-4B78-B01C-40160011E7DA}">
      <text>
        <t>[Threaded comment]
Your version of Excel allows you to read this threaded comment; however, any edits to it will get removed if the file is opened in a newer version of Excel. Learn more: https://go.microsoft.com/fwlink/?linkid=870924
Comment:
    +13 per month to account for 125 shortfall</t>
      </text>
    </comment>
    <comment ref="H35" authorId="9" shapeId="0" xr:uid="{544B643E-0A11-4C2F-AA8D-F94BF83A7268}">
      <text>
        <t>[Threaded comment]
Your version of Excel allows you to read this threaded comment; however, any edits to it will get removed if the file is opened in a newer version of Excel. Learn more: https://go.microsoft.com/fwlink/?linkid=870924
Comment:
    Mday</t>
      </text>
    </comment>
    <comment ref="E36" authorId="10" shapeId="0" xr:uid="{7A0E80A6-E414-4D48-B510-AAC1CBA0EF5A}">
      <text>
        <t>[Threaded comment]
Your version of Excel allows you to read this threaded comment; however, any edits to it will get removed if the file is opened in a newer version of Excel. Learn more: https://go.microsoft.com/fwlink/?linkid=870924
Comment:
    140 in jar</t>
      </text>
    </comment>
    <comment ref="F36" authorId="11" shapeId="0" xr:uid="{5EED5E66-6EA0-426A-A5CD-F89F509FFABD}">
      <text>
        <t>[Threaded comment]
Your version of Excel allows you to read this threaded comment; however, any edits to it will get removed if the file is opened in a newer version of Excel. Learn more: https://go.microsoft.com/fwlink/?linkid=870924
Comment:
    230 in jar
+100 for train tickets
Reply:
    -150 council tax rebate to come</t>
      </text>
    </comment>
    <comment ref="J36" authorId="12" shapeId="0" xr:uid="{A15CE79E-14EB-43F4-B9C4-E99E9E1853B9}">
      <text>
        <t>[Threaded comment]
Your version of Excel allows you to read this threaded comment; however, any edits to it will get removed if the file is opened in a newer version of Excel. Learn more: https://go.microsoft.com/fwlink/?linkid=870924
Comment:
    Visa 22.09</t>
      </text>
    </comment>
    <comment ref="N36" authorId="13" shapeId="0" xr:uid="{E7FAA46C-F693-47C1-BB88-9A40DA6952FF}">
      <text>
        <t>[Threaded comment]
Your version of Excel allows you to read this threaded comment; however, any edits to it will get removed if the file is opened in a newer version of Excel. Learn more: https://go.microsoft.com/fwlink/?linkid=870924
Comment:
    =(254.91-62.97)+237.88+26.6+26.6</t>
      </text>
    </comment>
    <comment ref="D37" authorId="14" shapeId="0" xr:uid="{CF2884EC-14C4-4E09-A8E5-9F91C9EFF961}">
      <text>
        <t>[Threaded comment]
Your version of Excel allows you to read this threaded comment; however, any edits to it will get removed if the file is opened in a newer version of Excel. Learn more: https://go.microsoft.com/fwlink/?linkid=870924
Comment:
    National trust - £10pm
Account charge - £13pm
NetFlix - 5.99
NowTV - 5.99
Disney - 5.99
Xbox - 10.99
Haircut - 15
Prime - 6.50</t>
      </text>
    </comment>
    <comment ref="F38" authorId="15" shapeId="0" xr:uid="{8B08284F-9B64-42D7-9FF3-39478A8912AA}">
      <text>
        <t>[Threaded comment]
Your version of Excel allows you to read this threaded comment; however, any edits to it will get removed if the file is opened in a newer version of Excel. Learn more: https://go.microsoft.com/fwlink/?linkid=870924
Comment:
    350 for scot hotel</t>
      </text>
    </comment>
    <comment ref="H38" authorId="16" shapeId="0" xr:uid="{769C1FB7-D8D8-4CB5-A371-2C9D958B8C00}">
      <text>
        <t>[Threaded comment]
Your version of Excel allows you to read this threaded comment; however, any edits to it will get removed if the file is opened in a newer version of Excel. Learn more: https://go.microsoft.com/fwlink/?linkid=870924
Comment:
    59.55 = London rollover
65 stag do pre-pay</t>
      </text>
    </comment>
    <comment ref="R38" authorId="17" shapeId="0" xr:uid="{648E0D31-5C8B-47FC-8EFF-3FAF94D914CF}">
      <text>
        <t>[Threaded comment]
Your version of Excel allows you to read this threaded comment; however, any edits to it will get removed if the file is opened in a newer version of Excel. Learn more: https://go.microsoft.com/fwlink/?linkid=870924
Comment:
    Protein bars</t>
      </text>
    </comment>
    <comment ref="G41" authorId="18" shapeId="0" xr:uid="{7993AE9D-4FCF-44FA-925D-F190663EDAA6}">
      <text>
        <t>[Threaded comment]
Your version of Excel allows you to read this threaded comment; however, any edits to it will get removed if the file is opened in a newer version of Excel. Learn more: https://go.microsoft.com/fwlink/?linkid=870924
Comment:
    +35 - kris payrise
+150 - council tax rebate
+20 - ?</t>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tc={E5347728-6D81-4007-8D93-54D52EE72159}</author>
    <author>tc={2DE4E668-092D-49B7-9110-4B64949921DA}</author>
    <author>tc={32C19148-1A8F-481C-A3F0-FF91132E5DAC}</author>
    <author>tc={4EB5DF5E-400C-4D48-9306-91791BAE45D9}</author>
    <author>tc={A68B45FA-BF91-4471-8926-928960C005F3}</author>
    <author>tc={6D95C948-B507-4BA0-BD9D-22A1426EDF93}</author>
    <author>tc={C674E78E-32ED-4669-BFD6-7B2107613847}</author>
    <author>tc={2EF434C7-0760-463D-85BA-113487C4C7F1}</author>
    <author>tc={33CA62BB-DF99-4E51-92B8-E3F261C61D87}</author>
    <author>tc={6B5E4932-55AB-4D59-BCD3-737C5F3F194D}</author>
    <author>tc={FE2A8F49-A67E-47CE-87D0-F41713591B89}</author>
    <author>tc={0BF41E9B-D45D-47F4-9740-336277F376CF}</author>
    <author>tc={7A430874-6E77-497B-94CD-CD1AC113ECF8}</author>
    <author>tc={0E64E57E-5692-405F-AC8F-49F5B9443254}</author>
    <author>tc={CBD1E25F-5D40-4139-867D-EE5100525EC4}</author>
    <author>tc={81472186-DAFD-4915-86A7-09366F7CBC33}</author>
  </authors>
  <commentList>
    <comment ref="H8" authorId="0" shapeId="0" xr:uid="{E5347728-6D81-4007-8D93-54D52EE72159}">
      <text>
        <t>[Threaded comment]
Your version of Excel allows you to read this threaded comment; however, any edits to it will get removed if the file is opened in a newer version of Excel. Learn more: https://go.microsoft.com/fwlink/?linkid=870924
Comment:
    Poo bags</t>
      </text>
    </comment>
    <comment ref="D16" authorId="1" shapeId="0" xr:uid="{2DE4E668-092D-49B7-9110-4B64949921DA}">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2" shapeId="0" xr:uid="{32C19148-1A8F-481C-A3F0-FF91132E5DAC}">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F25" authorId="3" shapeId="0" xr:uid="{4EB5DF5E-400C-4D48-9306-91791BAE45D9}">
      <text>
        <t>[Threaded comment]
Your version of Excel allows you to read this threaded comment; however, any edits to it will get removed if the file is opened in a newer version of Excel. Learn more: https://go.microsoft.com/fwlink/?linkid=870924
Comment:
    +50 from council tax</t>
      </text>
    </comment>
    <comment ref="D26" authorId="4" shapeId="0" xr:uid="{A68B45FA-BF91-4471-8926-928960C005F3}">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F33" authorId="5" shapeId="0" xr:uid="{6D95C948-B507-4BA0-BD9D-22A1426EDF93}">
      <text>
        <t>[Threaded comment]
Your version of Excel allows you to read this threaded comment; however, any edits to it will get removed if the file is opened in a newer version of Excel. Learn more: https://go.microsoft.com/fwlink/?linkid=870924
Comment:
    +100 from council tax</t>
      </text>
    </comment>
    <comment ref="F34" authorId="6" shapeId="0" xr:uid="{C674E78E-32ED-4669-BFD6-7B2107613847}">
      <text>
        <t>[Threaded comment]
Your version of Excel allows you to read this threaded comment; however, any edits to it will get removed if the file is opened in a newer version of Excel. Learn more: https://go.microsoft.com/fwlink/?linkid=870924
Comment:
    -70 Kris coat early xmas</t>
      </text>
    </comment>
    <comment ref="F35" authorId="7" shapeId="0" xr:uid="{2EF434C7-0760-463D-85BA-113487C4C7F1}">
      <text>
        <t>[Threaded comment]
Your version of Excel allows you to read this threaded comment; however, any edits to it will get removed if the file is opened in a newer version of Excel. Learn more: https://go.microsoft.com/fwlink/?linkid=870924
Comment:
    +70 Kris coat early xmas
+70 to be repaid by Kris for tkmaxx shop
+20 lashes</t>
      </text>
    </comment>
    <comment ref="G35" authorId="8" shapeId="0" xr:uid="{33CA62BB-DF99-4E51-92B8-E3F261C61D87}">
      <text>
        <t>[Threaded comment]
Your version of Excel allows you to read this threaded comment; however, any edits to it will get removed if the file is opened in a newer version of Excel. Learn more: https://go.microsoft.com/fwlink/?linkid=870924
Comment:
    Marriage license
B&amp;M</t>
      </text>
    </comment>
    <comment ref="G38" authorId="9" shapeId="0" xr:uid="{6B5E4932-55AB-4D59-BCD3-737C5F3F194D}">
      <text>
        <t>[Threaded comment]
Your version of Excel allows you to read this threaded comment; however, any edits to it will get removed if the file is opened in a newer version of Excel. Learn more: https://go.microsoft.com/fwlink/?linkid=870924
Comment:
    4.35 starbucks
30 tennis
6.4
11
+.81 adjustment</t>
      </text>
    </comment>
    <comment ref="H38" authorId="10" shapeId="0" xr:uid="{FE2A8F49-A67E-47CE-87D0-F41713591B89}">
      <text>
        <t>[Threaded comment]
Your version of Excel allows you to read this threaded comment; however, any edits to it will get removed if the file is opened in a newer version of Excel. Learn more: https://go.microsoft.com/fwlink/?linkid=870924
Comment:
    44 protein bars
82 Next</t>
      </text>
    </comment>
    <comment ref="D39" authorId="11" shapeId="0" xr:uid="{0BF41E9B-D45D-47F4-9740-336277F376CF}">
      <text>
        <t>[Threaded comment]
Your version of Excel allows you to read this threaded comment; however, any edits to it will get removed if the file is opened in a newer version of Excel. Learn more: https://go.microsoft.com/fwlink/?linkid=870924
Comment:
    1080 - Base
50 - Luna
30 - Pup Care
25 - Extra Food</t>
      </text>
    </comment>
    <comment ref="F39" authorId="12" shapeId="0" xr:uid="{7A430874-6E77-497B-94CD-CD1AC113ECF8}">
      <text>
        <t>[Threaded comment]
Your version of Excel allows you to read this threaded comment; however, any edits to it will get removed if the file is opened in a newer version of Excel. Learn more: https://go.microsoft.com/fwlink/?linkid=870924
Comment:
    200 - owe to maldives, waiting for bonus
31.75 - asos, paying this month</t>
      </text>
    </comment>
    <comment ref="L45" authorId="13" shapeId="0" xr:uid="{0E64E57E-5692-405F-AC8F-49F5B9443254}">
      <text>
        <t>[Threaded comment]
Your version of Excel allows you to read this threaded comment; however, any edits to it will get removed if the file is opened in a newer version of Excel. Learn more: https://go.microsoft.com/fwlink/?linkid=870924
Comment:
    Sandals + Trousers</t>
      </text>
    </comment>
    <comment ref="H56" authorId="14" shapeId="0" xr:uid="{CBD1E25F-5D40-4139-867D-EE5100525EC4}">
      <text>
        <t>[Threaded comment]
Your version of Excel allows you to read this threaded comment; however, any edits to it will get removed if the file is opened in a newer version of Excel. Learn more: https://go.microsoft.com/fwlink/?linkid=870924
Comment:
    50mpg</t>
      </text>
    </comment>
    <comment ref="H57" authorId="15" shapeId="0" xr:uid="{81472186-DAFD-4915-86A7-09366F7CBC33}">
      <text>
        <t>[Threaded comment]
Your version of Excel allows you to read this threaded comment; however, any edits to it will get removed if the file is opened in a newer version of Excel. Learn more: https://go.microsoft.com/fwlink/?linkid=870924
Comment:
    10k over 5 years w/ tesco</t>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tc={2536AF47-19E6-0F45-9C54-0F8A6726E4C3}</author>
    <author>tc={5138C8BD-B663-CB4B-ACEC-61F10CED89A3}</author>
    <author>tc={E8386EAE-E242-D14A-92D7-772132D47209}</author>
    <author>tc={A1BBDBCC-6FAA-2A4E-AD5B-CBB0C41AD683}</author>
  </authors>
  <commentList>
    <comment ref="U4" authorId="0" shapeId="0" xr:uid="{2536AF47-19E6-0F45-9C54-0F8A6726E4C3}">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2" authorId="1" shapeId="0" xr:uid="{5138C8BD-B663-CB4B-ACEC-61F10CED89A3}">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L30" authorId="2" shapeId="0" xr:uid="{E8386EAE-E242-D14A-92D7-772132D47209}">
      <text>
        <t>[Threaded comment]
Your version of Excel allows you to read this threaded comment; however, any edits to it will get removed if the file is opened in a newer version of Excel. Learn more: https://go.microsoft.com/fwlink/?linkid=870924
Comment:
    Remaining hutch money / printer</t>
      </text>
    </comment>
    <comment ref="D36" authorId="3" shapeId="0" xr:uid="{A1BBDBCC-6FAA-2A4E-AD5B-CBB0C41AD683}">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tc={76576609-9432-1A47-A01B-A54386DD420C}</author>
    <author>tc={C35D3FE9-2563-0449-8F8C-13AC2DA5F9EF}</author>
    <author>tc={D29D19FC-58A8-C341-9B6E-0903427DDE8D}</author>
    <author>tc={B11DE7C3-29F4-E54F-A20F-C32DEA79470E}</author>
    <author>tc={A3FB0B15-5F6C-7145-8C3C-9E5F080AF276}</author>
  </authors>
  <commentList>
    <comment ref="U4" authorId="0" shapeId="0" xr:uid="{76576609-9432-1A47-A01B-A54386DD420C}">
      <text>
        <t>[Threaded comment]
Your version of Excel allows you to read this threaded comment; however, any edits to it will get removed if the file is opened in a newer version of Excel. Learn more: https://go.microsoft.com/fwlink/?linkid=870924
Comment:
    Split between fun + contingency</t>
      </text>
    </comment>
    <comment ref="D13" authorId="1" shapeId="0" xr:uid="{C35D3FE9-2563-0449-8F8C-13AC2DA5F9EF}">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F34" authorId="2" shapeId="0" xr:uid="{D29D19FC-58A8-C341-9B6E-0903427DDE8D}">
      <text>
        <t>[Threaded comment]
Your version of Excel allows you to read this threaded comment; however, any edits to it will get removed if the file is opened in a newer version of Excel. Learn more: https://go.microsoft.com/fwlink/?linkid=870924
Comment:
    £100 Hutch CC
£85 Printer
£42.67 Officiant
£478.98 Photographer</t>
      </text>
    </comment>
    <comment ref="L34" authorId="3" shapeId="0" xr:uid="{B11DE7C3-29F4-E54F-A20F-C32DEA79470E}">
      <text>
        <t>[Threaded comment]
Your version of Excel allows you to read this threaded comment; however, any edits to it will get removed if the file is opened in a newer version of Excel. Learn more: https://go.microsoft.com/fwlink/?linkid=870924
Comment:
    Remaining hutch money / printer</t>
      </text>
    </comment>
    <comment ref="D39" authorId="4" shapeId="0" xr:uid="{A3FB0B15-5F6C-7145-8C3C-9E5F080AF276}">
      <text>
        <t>[Threaded comment]
Your version of Excel allows you to read this threaded comment; however, any edits to it will get removed if the file is opened in a newer version of Excel. Learn more: https://go.microsoft.com/fwlink/?linkid=870924
Comment:
    National trust - £10pm
British gas service - £14.96pm
Account charge - £13pm</t>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tc={35BC25FD-8E28-4D30-B513-506BBB506519}</author>
    <author>tc={FC1BD05E-A217-4CC9-8835-8947F3EDF512}</author>
    <author>tc={EDD30DBA-8471-4975-9F0E-5368364ED1D7}</author>
    <author>tc={595031BC-C1E8-4E00-8C07-C8A43F51C5C8}</author>
    <author>tc={B4CAA220-2ECD-4001-A126-762B1311A199}</author>
    <author>tc={6DFC1306-D366-4F1E-BAE8-5A976C627309}</author>
    <author>tc={EE486012-C2E7-480A-8A61-29F8CA42BA38}</author>
    <author>tc={BE956453-37C0-4264-ACB0-2DF795B4A206}</author>
    <author>tc={6E65366F-1BB1-4A4E-BE81-09CDFC8F2288}</author>
    <author>tc={F8C71D95-2293-45DC-9715-FA111BE9818A}</author>
    <author>tc={E889CD2D-B1A9-4BFC-A3E4-78E741C8C500}</author>
    <author>tc={007FB559-ABE5-4411-B9DB-15FF4174A800}</author>
    <author>tc={869E2D03-4FBB-4F3E-8B3D-37C33D2A5C16}</author>
    <author>tc={3A3A177E-0495-48AD-A278-F9B23269E49B}</author>
    <author>tc={6308CDBC-2884-44C7-A600-C585653927BC}</author>
    <author>tc={FAC37F08-60A1-44E7-94C0-80CD9E5168C2}</author>
    <author>tc={1675B39E-9F76-4BC8-9329-677DF7EF7B1E}</author>
    <author>tc={EBFCA6A4-77E2-4FF6-838D-1D6415FDC017}</author>
  </authors>
  <commentList>
    <comment ref="R6" authorId="0" shapeId="0" xr:uid="{35BC25FD-8E28-4D30-B513-506BBB506519}">
      <text>
        <t>[Threaded comment]
Your version of Excel allows you to read this threaded comment; however, any edits to it will get removed if the file is opened in a newer version of Excel. Learn more: https://go.microsoft.com/fwlink/?linkid=870924
Comment:
    Airport fuel</t>
      </text>
    </comment>
    <comment ref="D16" authorId="1" shapeId="0" xr:uid="{FC1BD05E-A217-4CC9-8835-8947F3EDF512}">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2" shapeId="0" xr:uid="{EDD30DBA-8471-4975-9F0E-5368364ED1D7}">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F25" authorId="3" shapeId="0" xr:uid="{595031BC-C1E8-4E00-8C07-C8A43F51C5C8}">
      <text>
        <t>[Threaded comment]
Your version of Excel allows you to read this threaded comment; however, any edits to it will get removed if the file is opened in a newer version of Excel. Learn more: https://go.microsoft.com/fwlink/?linkid=870924
Comment:
    +50 from council tax</t>
      </text>
    </comment>
    <comment ref="D26" authorId="4" shapeId="0" xr:uid="{B4CAA220-2ECD-4001-A126-762B1311A199}">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E33" authorId="5" shapeId="0" xr:uid="{6DFC1306-D366-4F1E-BAE8-5A976C627309}">
      <text>
        <t>[Threaded comment]
Your version of Excel allows you to read this threaded comment; however, any edits to it will get removed if the file is opened in a newer version of Excel. Learn more: https://go.microsoft.com/fwlink/?linkid=870924
Comment:
    600 in cash</t>
      </text>
    </comment>
    <comment ref="F33" authorId="6" shapeId="0" xr:uid="{EE486012-C2E7-480A-8A61-29F8CA42BA38}">
      <text>
        <t>[Threaded comment]
Your version of Excel allows you to read this threaded comment; however, any edits to it will get removed if the file is opened in a newer version of Excel. Learn more: https://go.microsoft.com/fwlink/?linkid=870924
Comment:
    +100 from council tax</t>
      </text>
    </comment>
    <comment ref="K33" authorId="7" shapeId="0" xr:uid="{BE956453-37C0-4264-ACB0-2DF795B4A206}">
      <text>
        <t>[Threaded comment]
Your version of Excel allows you to read this threaded comment; however, any edits to it will get removed if the file is opened in a newer version of Excel. Learn more: https://go.microsoft.com/fwlink/?linkid=870924
Comment:
    Kris + Revolut</t>
      </text>
    </comment>
    <comment ref="N33" authorId="8" shapeId="0" xr:uid="{6E65366F-1BB1-4A4E-BE81-09CDFC8F2288}">
      <text>
        <t>[Threaded comment]
Your version of Excel allows you to read this threaded comment; however, any edits to it will get removed if the file is opened in a newer version of Excel. Learn more: https://go.microsoft.com/fwlink/?linkid=870924
Comment:
    AMZ Prime
PREM Inn</t>
      </text>
    </comment>
    <comment ref="F34" authorId="9" shapeId="0" xr:uid="{F8C71D95-2293-45DC-9715-FA111BE9818A}">
      <text>
        <t>[Threaded comment]
Your version of Excel allows you to read this threaded comment; however, any edits to it will get removed if the file is opened in a newer version of Excel. Learn more: https://go.microsoft.com/fwlink/?linkid=870924
Comment:
    -70 Kris coat early xmas</t>
      </text>
    </comment>
    <comment ref="F35" authorId="10" shapeId="0" xr:uid="{E889CD2D-B1A9-4BFC-A3E4-78E741C8C500}">
      <text>
        <t>[Threaded comment]
Your version of Excel allows you to read this threaded comment; however, any edits to it will get removed if the file is opened in a newer version of Excel. Learn more: https://go.microsoft.com/fwlink/?linkid=870924
Comment:
    +70 Kris coat early xmas
+70 to be repaid by Kris for tkmaxx shop
+20 lashes</t>
      </text>
    </comment>
    <comment ref="H35" authorId="11" shapeId="0" xr:uid="{007FB559-ABE5-4411-B9DB-15FF4174A800}">
      <text>
        <t>[Threaded comment]
Your version of Excel allows you to read this threaded comment; however, any edits to it will get removed if the file is opened in a newer version of Excel. Learn more: https://go.microsoft.com/fwlink/?linkid=870924
Comment:
    =76+12+21.85</t>
      </text>
    </comment>
    <comment ref="G38" authorId="12" shapeId="0" xr:uid="{869E2D03-4FBB-4F3E-8B3D-37C33D2A5C16}">
      <text>
        <t>[Threaded comment]
Your version of Excel allows you to read this threaded comment; however, any edits to it will get removed if the file is opened in a newer version of Excel. Learn more: https://go.microsoft.com/fwlink/?linkid=870924
Comment:
    =17.36+12+21.85</t>
      </text>
    </comment>
    <comment ref="D39" authorId="13" shapeId="0" xr:uid="{3A3A177E-0495-48AD-A278-F9B23269E49B}">
      <text>
        <t>[Threaded comment]
Your version of Excel allows you to read this threaded comment; however, any edits to it will get removed if the file is opened in a newer version of Excel. Learn more: https://go.microsoft.com/fwlink/?linkid=870924
Comment:
    1080 - Base
50 - Luna
30 - Pup Care
25 - Extra Food</t>
      </text>
    </comment>
    <comment ref="F39" authorId="14" shapeId="0" xr:uid="{6308CDBC-2884-44C7-A600-C585653927BC}">
      <text>
        <t>[Threaded comment]
Your version of Excel allows you to read this threaded comment; however, any edits to it will get removed if the file is opened in a newer version of Excel. Learn more: https://go.microsoft.com/fwlink/?linkid=870924
Comment:
    200 - owe to maldives, waiting for bonus
31.75 - asos, paying this month</t>
      </text>
    </comment>
    <comment ref="G41" authorId="15" shapeId="0" xr:uid="{FAC37F08-60A1-44E7-94C0-80CD9E5168C2}">
      <text>
        <t>[Threaded comment]
Your version of Excel allows you to read this threaded comment; however, any edits to it will get removed if the file is opened in a newer version of Excel. Learn more: https://go.microsoft.com/fwlink/?linkid=870924
Comment:
    1080 in cash</t>
      </text>
    </comment>
    <comment ref="L45" authorId="16" shapeId="0" xr:uid="{1675B39E-9F76-4BC8-9329-677DF7EF7B1E}">
      <text>
        <t>[Threaded comment]
Your version of Excel allows you to read this threaded comment; however, any edits to it will get removed if the file is opened in a newer version of Excel. Learn more: https://go.microsoft.com/fwlink/?linkid=870924
Comment:
    Sandals + Trousers</t>
      </text>
    </comment>
    <comment ref="J46" authorId="17" shapeId="0" xr:uid="{EBFCA6A4-77E2-4FF6-838D-1D6415FDC017}">
      <text>
        <t>[Threaded comment]
Your version of Excel allows you to read this threaded comment; however, any edits to it will get removed if the file is opened in a newer version of Excel. Learn more: https://go.microsoft.com/fwlink/?linkid=870924
Comment:
    Balance + 600 cash</t>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tc={46CFD269-23DE-49DA-B891-2ACD37BD3FF8}</author>
    <author>tc={24C1B07D-E427-466A-9C2F-A58A683BBCD5}</author>
    <author>tc={4AEF446B-5405-4B71-A71B-766C477F7E77}</author>
    <author>tc={5914F68E-F403-4A0D-959F-6FE841BB8B55}</author>
    <author>tc={2B4BDAD3-3F79-4546-850F-54B5B91365D2}</author>
    <author>tc={3F27D4FF-7D0F-4C71-BB8A-2019CD55DD1B}</author>
    <author>tc={61A80FE0-F8DA-4C8C-B988-3F7AAC856BC5}</author>
    <author>tc={45F732BC-5792-4C48-A763-E6D9D14FAABA}</author>
    <author>tc={3094B4A6-D504-4CB5-B659-2ACA46B03632}</author>
    <author>tc={E86D722F-7E94-4E63-9584-541AD0CEDE92}</author>
    <author>tc={72557492-FE36-4C38-AAB0-472E7BE3EDB1}</author>
    <author>tc={750515CB-E5E0-48A1-BC3F-2291F4A232EF}</author>
    <author>tc={E7DC58CE-1834-493A-ABE1-8F1160B18F1F}</author>
    <author>tc={AFF1F0C1-3431-458A-9CA5-E8015108EE48}</author>
    <author>tc={0BE0993E-1C17-4EAD-8215-E874782A8DEE}</author>
    <author>tc={87AE1D9A-CFCE-4B5A-BB25-77CFA25D8A92}</author>
    <author>tc={0ACDF496-F012-4FF3-AC77-45E914B13463}</author>
    <author>tc={27AA0BA0-BC7A-47ED-80AF-15758E4345A5}</author>
    <author>tc={AFCB46CC-92FF-478B-A2B7-2DB205339596}</author>
    <author>tc={A8053147-7E64-419F-8019-2D44B7660F1B}</author>
  </authors>
  <commentList>
    <comment ref="H7" authorId="0" shapeId="0" xr:uid="{46CFD269-23DE-49DA-B891-2ACD37BD3FF8}">
      <text>
        <t>[Threaded comment]
Your version of Excel allows you to read this threaded comment; however, any edits to it will get removed if the file is opened in a newer version of Excel. Learn more: https://go.microsoft.com/fwlink/?linkid=870924
Comment:
    incomming 38.58+14.8</t>
      </text>
    </comment>
    <comment ref="D16" authorId="1" shapeId="0" xr:uid="{24C1B07D-E427-466A-9C2F-A58A683BBCD5}">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2" shapeId="0" xr:uid="{4AEF446B-5405-4B71-A71B-766C477F7E77}">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I25" authorId="3" shapeId="0" xr:uid="{5914F68E-F403-4A0D-959F-6FE841BB8B55}">
      <text>
        <t>[Threaded comment]
Your version of Excel allows you to read this threaded comment; however, any edits to it will get removed if the file is opened in a newer version of Excel. Learn more: https://go.microsoft.com/fwlink/?linkid=870924
Comment:
    Latvia dentists trip</t>
      </text>
    </comment>
    <comment ref="J25" authorId="4" shapeId="0" xr:uid="{2B4BDAD3-3F79-4546-850F-54B5B91365D2}">
      <text>
        <t>[Threaded comment]
Your version of Excel allows you to read this threaded comment; however, any edits to it will get removed if the file is opened in a newer version of Excel. Learn more: https://go.microsoft.com/fwlink/?linkid=870924
Comment:
    Hayfever</t>
      </text>
    </comment>
    <comment ref="D26" authorId="5" shapeId="0" xr:uid="{3F27D4FF-7D0F-4C71-BB8A-2019CD55DD1B}">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J26" authorId="6" shapeId="0" xr:uid="{61A80FE0-F8DA-4C8C-B988-3F7AAC856BC5}">
      <text>
        <t>[Threaded comment]
Your version of Excel allows you to read this threaded comment; however, any edits to it will get removed if the file is opened in a newer version of Excel. Learn more: https://go.microsoft.com/fwlink/?linkid=870924
Comment:
    Stag do, matt repay</t>
      </text>
    </comment>
    <comment ref="K26" authorId="7" shapeId="0" xr:uid="{45F732BC-5792-4C48-A763-E6D9D14FAABA}">
      <text>
        <t>[Threaded comment]
Your version of Excel allows you to read this threaded comment; however, any edits to it will get removed if the file is opened in a newer version of Excel. Learn more: https://go.microsoft.com/fwlink/?linkid=870924
Comment:
    Battery</t>
      </text>
    </comment>
    <comment ref="J27" authorId="8" shapeId="0" xr:uid="{3094B4A6-D504-4CB5-B659-2ACA46B03632}">
      <text>
        <t>[Threaded comment]
Your version of Excel allows you to read this threaded comment; however, any edits to it will get removed if the file is opened in a newer version of Excel. Learn more: https://go.microsoft.com/fwlink/?linkid=870924
Comment:
    Vanny Campers</t>
      </text>
    </comment>
    <comment ref="E33" authorId="9" shapeId="0" xr:uid="{E86D722F-7E94-4E63-9584-541AD0CEDE92}">
      <text>
        <t>[Threaded comment]
Your version of Excel allows you to read this threaded comment; however, any edits to it will get removed if the file is opened in a newer version of Excel. Learn more: https://go.microsoft.com/fwlink/?linkid=870924
Comment:
    1100 in cash</t>
      </text>
    </comment>
    <comment ref="F33" authorId="10" shapeId="0" xr:uid="{72557492-FE36-4C38-AAB0-472E7BE3EDB1}">
      <text>
        <t>[Threaded comment]
Your version of Excel allows you to read this threaded comment; however, any edits to it will get removed if the file is opened in a newer version of Excel. Learn more: https://go.microsoft.com/fwlink/?linkid=870924
Comment:
    +150 due from amex
+200 from Kris bonus</t>
      </text>
    </comment>
    <comment ref="I35" authorId="11" shapeId="0" xr:uid="{750515CB-E5E0-48A1-BC3F-2291F4A232EF}">
      <text>
        <t>[Threaded comment]
Your version of Excel allows you to read this threaded comment; however, any edits to it will get removed if the file is opened in a newer version of Excel. Learn more: https://go.microsoft.com/fwlink/?linkid=870924
Comment:
    50 - Anna present</t>
      </text>
    </comment>
    <comment ref="J35" authorId="12" shapeId="0" xr:uid="{E7DC58CE-1834-493A-ABE1-8F1160B18F1F}">
      <text>
        <t>[Threaded comment]
Your version of Excel allows you to read this threaded comment; however, any edits to it will get removed if the file is opened in a newer version of Excel. Learn more: https://go.microsoft.com/fwlink/?linkid=870924
Comment:
    Baby shower</t>
      </text>
    </comment>
    <comment ref="L35" authorId="13" shapeId="0" xr:uid="{AFF1F0C1-3431-458A-9CA5-E8015108EE48}">
      <text>
        <t>[Threaded comment]
Your version of Excel allows you to read this threaded comment; however, any edits to it will get removed if the file is opened in a newer version of Excel. Learn more: https://go.microsoft.com/fwlink/?linkid=870924
Comment:
    Phil and Al wedding</t>
      </text>
    </comment>
    <comment ref="M35" authorId="14" shapeId="0" xr:uid="{0BE0993E-1C17-4EAD-8215-E874782A8DEE}">
      <text>
        <t>[Threaded comment]
Your version of Excel allows you to read this threaded comment; however, any edits to it will get removed if the file is opened in a newer version of Excel. Learn more: https://go.microsoft.com/fwlink/?linkid=870924
Comment:
    kris meal james</t>
      </text>
    </comment>
    <comment ref="F37" authorId="15" shapeId="0" xr:uid="{87AE1D9A-CFCE-4B5A-BB25-77CFA25D8A92}">
      <text>
        <t>[Threaded comment]
Your version of Excel allows you to read this threaded comment; however, any edits to it will get removed if the file is opened in a newer version of Excel. Learn more: https://go.microsoft.com/fwlink/?linkid=870924
Comment:
    +75 due from amex</t>
      </text>
    </comment>
    <comment ref="D38" authorId="16" shapeId="0" xr:uid="{0ACDF496-F012-4FF3-AC77-45E914B13463}">
      <text>
        <t>[Threaded comment]
Your version of Excel allows you to read this threaded comment; however, any edits to it will get removed if the file is opened in a newer version of Excel. Learn more: https://go.microsoft.com/fwlink/?linkid=870924
Comment:
    1080 - Base
50 - Luna
30 - Pup Care
25 - Extra Food</t>
      </text>
    </comment>
    <comment ref="F38" authorId="17" shapeId="0" xr:uid="{27AA0BA0-BC7A-47ED-80AF-15758E4345A5}">
      <text>
        <t>[Threaded comment]
Your version of Excel allows you to read this threaded comment; however, any edits to it will get removed if the file is opened in a newer version of Excel. Learn more: https://go.microsoft.com/fwlink/?linkid=870924
Comment:
    200 - owe to maldives, waiting for bonus
31.75 - asos, paying this month</t>
      </text>
    </comment>
    <comment ref="G40" authorId="18" shapeId="0" xr:uid="{AFCB46CC-92FF-478B-A2B7-2DB205339596}">
      <text>
        <t>[Threaded comment]
Your version of Excel allows you to read this threaded comment; however, any edits to it will get removed if the file is opened in a newer version of Excel. Learn more: https://go.microsoft.com/fwlink/?linkid=870924
Comment:
    1080 in cash</t>
      </text>
    </comment>
    <comment ref="O47" authorId="19" shapeId="0" xr:uid="{A8053147-7E64-419F-8019-2D44B7660F1B}">
      <text>
        <t>[Threaded comment]
Your version of Excel allows you to read this threaded comment; however, any edits to it will get removed if the file is opened in a newer version of Excel. Learn more: https://go.microsoft.com/fwlink/?linkid=870924
Comment:
    Incoming expenses
£30 gift card</t>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tc={75971C72-D878-4EEE-AE53-81DB3F64D0A7}</author>
    <author>tc={E4AE1289-6D36-4399-ABA5-D1DB0446FB0F}</author>
    <author>tc={93187B4A-AA29-460F-93F0-A417C57C2444}</author>
    <author>tc={66F8E47B-E954-4CBD-92A7-F479F0359388}</author>
    <author>tc={77E0FA63-A6D3-487B-A187-8D8412D1864A}</author>
    <author>tc={DCFE67A8-5BED-4A6D-90C9-F76B436B084C}</author>
    <author>tc={9C156DC9-5FF3-47FE-8555-D81F33F3798E}</author>
    <author>tc={EBC029AB-7696-4825-B8B4-3B2DDD50C826}</author>
    <author>tc={5789DBD8-54A3-4A5B-BCBC-66AC2D36E506}</author>
    <author>tc={ACCD16BD-947A-447F-9D59-DF8CA21FF138}</author>
    <author>tc={90254E2E-FEC8-4DDB-8C12-A9534013852A}</author>
    <author>tc={0E178FBF-077C-45FD-A695-4987524017AC}</author>
    <author>tc={D8D8490F-9997-4D66-ABC4-917F5A3D56FC}</author>
    <author>tc={661F8B06-45C4-484D-833E-5FF1486A2EC8}</author>
    <author>tc={767257FE-5490-4C45-915D-25C78132266C}</author>
  </authors>
  <commentList>
    <comment ref="O4" authorId="0" shapeId="0" xr:uid="{75971C72-D878-4EEE-AE53-81DB3F64D0A7}">
      <text>
        <t>[Threaded comment]
Your version of Excel allows you to read this threaded comment; however, any edits to it will get removed if the file is opened in a newer version of Excel. Learn more: https://go.microsoft.com/fwlink/?linkid=870924
Comment:
    +243.24 airbnb take next month
+54.34
+96.22
+20
+20
+40.92
+16</t>
      </text>
    </comment>
    <comment ref="N7" authorId="1" shapeId="0" xr:uid="{E4AE1289-6D36-4399-ABA5-D1DB0446FB0F}">
      <text>
        <t>[Threaded comment]
Your version of Excel allows you to read this threaded comment; however, any edits to it will get removed if the file is opened in a newer version of Excel. Learn more: https://go.microsoft.com/fwlink/?linkid=870924
Comment:
    25.31 petrol</t>
      </text>
    </comment>
    <comment ref="D16" authorId="2" shapeId="0" xr:uid="{93187B4A-AA29-460F-93F0-A417C57C2444}">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3" shapeId="0" xr:uid="{66F8E47B-E954-4CBD-92A7-F479F0359388}">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4" shapeId="0" xr:uid="{77E0FA63-A6D3-487B-A187-8D8412D1864A}">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E33" authorId="5" shapeId="0" xr:uid="{DCFE67A8-5BED-4A6D-90C9-F76B436B084C}">
      <text>
        <t>[Threaded comment]
Your version of Excel allows you to read this threaded comment; however, any edits to it will get removed if the file is opened in a newer version of Excel. Learn more: https://go.microsoft.com/fwlink/?linkid=870924
Comment:
    1100 in cash</t>
      </text>
    </comment>
    <comment ref="F33" authorId="6" shapeId="0" xr:uid="{9C156DC9-5FF3-47FE-8555-D81F33F3798E}">
      <text>
        <t>[Threaded comment]
Your version of Excel allows you to read this threaded comment; however, any edits to it will get removed if the file is opened in a newer version of Excel. Learn more: https://go.microsoft.com/fwlink/?linkid=870924
Comment:
    +200 from Kris bonus</t>
      </text>
    </comment>
    <comment ref="H33" authorId="7" shapeId="0" xr:uid="{EBC029AB-7696-4825-B8B4-3B2DDD50C826}">
      <text>
        <t>[Threaded comment]
Your version of Excel allows you to read this threaded comment; however, any edits to it will get removed if the file is opened in a newer version of Excel. Learn more: https://go.microsoft.com/fwlink/?linkid=870924
Comment:
    243.24 filey</t>
      </text>
    </comment>
    <comment ref="H36" authorId="8" shapeId="0" xr:uid="{5789DBD8-54A3-4A5B-BCBC-66AC2D36E506}">
      <text>
        <t>[Threaded comment]
Your version of Excel allows you to read this threaded comment; however, any edits to it will get removed if the file is opened in a newer version of Excel. Learn more: https://go.microsoft.com/fwlink/?linkid=870924
Comment:
    matt drills</t>
      </text>
    </comment>
    <comment ref="J36" authorId="9" shapeId="0" xr:uid="{ACCD16BD-947A-447F-9D59-DF8CA21FF138}">
      <text>
        <t>[Threaded comment]
Your version of Excel allows you to read this threaded comment; however, any edits to it will get removed if the file is opened in a newer version of Excel. Learn more: https://go.microsoft.com/fwlink/?linkid=870924
Comment:
    wedding card</t>
      </text>
    </comment>
    <comment ref="L36" authorId="10" shapeId="0" xr:uid="{90254E2E-FEC8-4DDB-8C12-A9534013852A}">
      <text>
        <t>[Threaded comment]
Your version of Excel allows you to read this threaded comment; however, any edits to it will get removed if the file is opened in a newer version of Excel. Learn more: https://go.microsoft.com/fwlink/?linkid=870924
Comment:
    Taps</t>
      </text>
    </comment>
    <comment ref="D39" authorId="11" shapeId="0" xr:uid="{0E178FBF-077C-45FD-A695-4987524017AC}">
      <text>
        <t>[Threaded comment]
Your version of Excel allows you to read this threaded comment; however, any edits to it will get removed if the file is opened in a newer version of Excel. Learn more: https://go.microsoft.com/fwlink/?linkid=870924
Comment:
    1080 - Base
50 - Luna
30 - Pup Care
25 - Extra Food</t>
      </text>
    </comment>
    <comment ref="F39" authorId="12" shapeId="0" xr:uid="{D8D8490F-9997-4D66-ABC4-917F5A3D56FC}">
      <text>
        <t>[Threaded comment]
Your version of Excel allows you to read this threaded comment; however, any edits to it will get removed if the file is opened in a newer version of Excel. Learn more: https://go.microsoft.com/fwlink/?linkid=870924
Comment:
    200 - owe to maldives, waiting for bonus
31.75 - asos, paying this month</t>
      </text>
    </comment>
    <comment ref="G41" authorId="13" shapeId="0" xr:uid="{661F8B06-45C4-484D-833E-5FF1486A2EC8}">
      <text>
        <t>[Threaded comment]
Your version of Excel allows you to read this threaded comment; however, any edits to it will get removed if the file is opened in a newer version of Excel. Learn more: https://go.microsoft.com/fwlink/?linkid=870924
Comment:
    1080 in cash</t>
      </text>
    </comment>
    <comment ref="O48" authorId="14" shapeId="0" xr:uid="{767257FE-5490-4C45-915D-25C78132266C}">
      <text>
        <t>[Threaded comment]
Your version of Excel allows you to read this threaded comment; however, any edits to it will get removed if the file is opened in a newer version of Excel. Learn more: https://go.microsoft.com/fwlink/?linkid=870924
Comment:
    Incoming expenses
£30 gift card</t>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tc={9659D10B-68E0-49CF-86E1-F6151AA0A56A}</author>
    <author>tc={8858BB7E-F4C5-4254-9655-C623A2434608}</author>
    <author>tc={A1A1D3AE-A395-49D6-BABE-BF2DD19A9B1D}</author>
    <author>tc={E7001567-00FA-4DEE-BA75-CDFCB3441518}</author>
    <author>tc={076CBABE-D9F5-4DFD-9EE6-A432BEB10C86}</author>
    <author>tc={F1983064-46F4-4794-9A31-5F7E7DC116CD}</author>
    <author>tc={71A506D7-76BF-45A3-AD95-003AEB1BBF25}</author>
    <author>tc={089C1656-5AAE-4749-B145-B3AD495F5B99}</author>
    <author>tc={612D8A0C-D4D1-4621-9116-BCA4BBD1179E}</author>
  </authors>
  <commentList>
    <comment ref="D16" authorId="0" shapeId="0" xr:uid="{9659D10B-68E0-49CF-86E1-F6151AA0A56A}">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1" shapeId="0" xr:uid="{8858BB7E-F4C5-4254-9655-C623A2434608}">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2" shapeId="0" xr:uid="{A1A1D3AE-A395-49D6-BABE-BF2DD19A9B1D}">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F30" authorId="3" shapeId="0" xr:uid="{E7001567-00FA-4DEE-BA75-CDFCB3441518}">
      <text>
        <t>[Threaded comment]
Your version of Excel allows you to read this threaded comment; however, any edits to it will get removed if the file is opened in a newer version of Excel. Learn more: https://go.microsoft.com/fwlink/?linkid=870924
Comment:
    £460 from 1st Dec</t>
      </text>
    </comment>
    <comment ref="F35" authorId="4" shapeId="0" xr:uid="{076CBABE-D9F5-4DFD-9EE6-A432BEB10C86}">
      <text>
        <t>[Threaded comment]
Your version of Excel allows you to read this threaded comment; however, any edits to it will get removed if the file is opened in a newer version of Excel. Learn more: https://go.microsoft.com/fwlink/?linkid=870924
Comment:
    +150 for hotel, come from vodaphone swap incentive</t>
      </text>
    </comment>
    <comment ref="H39" authorId="5" shapeId="0" xr:uid="{F1983064-46F4-4794-9A31-5F7E7DC116CD}">
      <text>
        <t>[Threaded comment]
Your version of Excel allows you to read this threaded comment; however, any edits to it will get removed if the file is opened in a newer version of Excel. Learn more: https://go.microsoft.com/fwlink/?linkid=870924
Comment:
    18.99 card wallet
50 polo</t>
      </text>
    </comment>
    <comment ref="J39" authorId="6" shapeId="0" xr:uid="{71A506D7-76BF-45A3-AD95-003AEB1BBF25}">
      <text>
        <t>[Threaded comment]
Your version of Excel allows you to read this threaded comment; however, any edits to it will get removed if the file is opened in a newer version of Excel. Learn more: https://go.microsoft.com/fwlink/?linkid=870924
Comment:
    32.1 Next
Reply:
    30.05 inesa coffee
132 lulu</t>
      </text>
    </comment>
    <comment ref="K39" authorId="7" shapeId="0" xr:uid="{089C1656-5AAE-4749-B145-B3AD495F5B99}">
      <text>
        <t>[Threaded comment]
Your version of Excel allows you to read this threaded comment; however, any edits to it will get removed if the file is opened in a newer version of Excel. Learn more: https://go.microsoft.com/fwlink/?linkid=870924
Comment:
    20 Ben
60 Mum
54 Rob Theatre</t>
      </text>
    </comment>
    <comment ref="L39" authorId="8" shapeId="0" xr:uid="{612D8A0C-D4D1-4621-9116-BCA4BBD1179E}">
      <text>
        <t>[Threaded comment]
Your version of Excel allows you to read this threaded comment; however, any edits to it will get removed if the file is opened in a newer version of Excel. Learn more: https://go.microsoft.com/fwlink/?linkid=870924
Comment:
    Next</t>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tc={7CF04384-D498-47D5-A707-6C39479214C9}</author>
    <author>tc={5D687608-FEFB-4F66-934E-DF02ED312AF2}</author>
    <author>tc={7377FC15-E3F8-46D0-AF05-E5F338D8300F}</author>
    <author>tc={889A70C5-874C-4B5D-BBD0-E9587179532B}</author>
    <author>tc={5D3312F9-93B5-49E7-BFDB-CCD19D0B8881}</author>
    <author>tc={337C38BF-34EA-4E77-9C58-4C8FF41686B4}</author>
    <author>tc={BAF03FE7-58D8-465D-8DA2-AF25F4B21BC9}</author>
    <author>tc={8169E549-A83A-421C-B6FF-F406680C9AC7}</author>
    <author>tc={3CBE893B-74EB-4907-B262-A5D44925641A}</author>
    <author>tc={EAEC1618-DF81-42A4-9B4E-7E86E5DC028B}</author>
  </authors>
  <commentList>
    <comment ref="O4" authorId="0" shapeId="0" xr:uid="{7CF04384-D498-47D5-A707-6C39479214C9}">
      <text>
        <t>[Threaded comment]
Your version of Excel allows you to read this threaded comment; however, any edits to it will get removed if the file is opened in a newer version of Excel. Learn more: https://go.microsoft.com/fwlink/?linkid=870924
Comment:
    +243.24 airbnb take next month
+54.34
+96.22
+20
+20
+40.92
+16</t>
      </text>
    </comment>
    <comment ref="D16" authorId="1" shapeId="0" xr:uid="{5D687608-FEFB-4F66-934E-DF02ED312AF2}">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2" shapeId="0" xr:uid="{7377FC15-E3F8-46D0-AF05-E5F338D8300F}">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3" shapeId="0" xr:uid="{889A70C5-874C-4B5D-BBD0-E9587179532B}">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F30" authorId="4" shapeId="0" xr:uid="{5D3312F9-93B5-49E7-BFDB-CCD19D0B8881}">
      <text>
        <t>[Threaded comment]
Your version of Excel allows you to read this threaded comment; however, any edits to it will get removed if the file is opened in a newer version of Excel. Learn more: https://go.microsoft.com/fwlink/?linkid=870924
Comment:
    +2400</t>
      </text>
    </comment>
    <comment ref="M30" authorId="5" shapeId="0" xr:uid="{337C38BF-34EA-4E77-9C58-4C8FF41686B4}">
      <text>
        <t>[Threaded comment]
Your version of Excel allows you to read this threaded comment; however, any edits to it will get removed if the file is opened in a newer version of Excel. Learn more: https://go.microsoft.com/fwlink/?linkid=870924
Comment:
    87 - Insurance pre payment
Reply:
    9.99 - nowtv
93.99 - nord</t>
      </text>
    </comment>
    <comment ref="H36" authorId="6" shapeId="0" xr:uid="{BAF03FE7-58D8-465D-8DA2-AF25F4B21BC9}">
      <text>
        <t>[Threaded comment]
Your version of Excel allows you to read this threaded comment; however, any edits to it will get removed if the file is opened in a newer version of Excel. Learn more: https://go.microsoft.com/fwlink/?linkid=870924
Comment:
    Air fryer
Dehumid</t>
      </text>
    </comment>
    <comment ref="M37" authorId="7" shapeId="0" xr:uid="{8169E549-A83A-421C-B6FF-F406680C9AC7}">
      <text>
        <t>[Threaded comment]
Your version of Excel allows you to read this threaded comment; however, any edits to it will get removed if the file is opened in a newer version of Excel. Learn more: https://go.microsoft.com/fwlink/?linkid=870924
Comment:
    Babu</t>
      </text>
    </comment>
    <comment ref="N37" authorId="8" shapeId="0" xr:uid="{3CBE893B-74EB-4907-B262-A5D44925641A}">
      <text>
        <t>[Threaded comment]
Your version of Excel allows you to read this threaded comment; however, any edits to it will get removed if the file is opened in a newer version of Excel. Learn more: https://go.microsoft.com/fwlink/?linkid=870924
Comment:
    117.15 - Anniversary
22.99 - Oscar</t>
      </text>
    </comment>
    <comment ref="O49" authorId="9" shapeId="0" xr:uid="{EAEC1618-DF81-42A4-9B4E-7E86E5DC028B}">
      <text>
        <t>[Threaded comment]
Your version of Excel allows you to read this threaded comment; however, any edits to it will get removed if the file is opened in a newer version of Excel. Learn more: https://go.microsoft.com/fwlink/?linkid=870924
Comment:
    Incoming expenses
£30 gift card</t>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tc={E57EF03B-4F08-40AF-BE17-0D437E412698}</author>
    <author>tc={FE497CAD-D310-4399-BEEB-A472222DAA75}</author>
    <author>tc={5E340FAB-5EA8-4360-BE92-4290EBCA1185}</author>
    <author>tc={2E4270EB-8ED2-4B9E-8CEA-D4059DC06A3E}</author>
    <author>tc={2A12943E-8B1E-418D-9CFE-0203A2913839}</author>
    <author>tc={549B0B3D-6C39-44F5-BE23-2E41F8BC2159}</author>
    <author>tc={B626FB3A-76FB-4E90-898C-753755134D31}</author>
    <author>tc={C701A7DA-FBF9-44A0-8B59-A20E3AF31D75}</author>
    <author>tc={F86B3866-6150-4FE1-8020-0B10AB64BB6B}</author>
    <author>tc={B8F07103-3A04-4532-956A-4F3164417FCE}</author>
    <author>tc={B0069017-3933-4A01-AF53-23E9164FEBD8}</author>
    <author>tc={D1D5BAAD-53DC-4BA9-9356-8DB94CB89614}</author>
    <author>tc={3D212FAE-0F16-4F4E-9010-AA39DD472908}</author>
    <author>tc={5D0CF375-2299-4FFB-A82D-AB31840FBF87}</author>
    <author>tc={728EC74C-5F17-4186-B379-5CDFF90825DF}</author>
  </authors>
  <commentList>
    <comment ref="F6" authorId="0" shapeId="0" xr:uid="{E57EF03B-4F08-40AF-BE17-0D437E412698}">
      <text>
        <t>[Threaded comment]
Your version of Excel allows you to read this threaded comment; however, any edits to it will get removed if the file is opened in a newer version of Excel. Learn more: https://go.microsoft.com/fwlink/?linkid=870924
Comment:
    45 on revolut</t>
      </text>
    </comment>
    <comment ref="N7" authorId="1" shapeId="0" xr:uid="{FE497CAD-D310-4399-BEEB-A472222DAA75}">
      <text>
        <t>[Threaded comment]
Your version of Excel allows you to read this threaded comment; however, any edits to it will get removed if the file is opened in a newer version of Excel. Learn more: https://go.microsoft.com/fwlink/?linkid=870924
Comment:
    42.89 pending</t>
      </text>
    </comment>
    <comment ref="D16" authorId="2" shapeId="0" xr:uid="{5E340FAB-5EA8-4360-BE92-4290EBCA1185}">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3" shapeId="0" xr:uid="{2E4270EB-8ED2-4B9E-8CEA-D4059DC06A3E}">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D26" authorId="4" shapeId="0" xr:uid="{2A12943E-8B1E-418D-9CFE-0203A2913839}">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F30" authorId="5" shapeId="0" xr:uid="{549B0B3D-6C39-44F5-BE23-2E41F8BC2159}">
      <text>
        <t>[Threaded comment]
Your version of Excel allows you to read this threaded comment; however, any edits to it will get removed if the file is opened in a newer version of Excel. Learn more: https://go.microsoft.com/fwlink/?linkid=870924
Comment:
    £460 from 1st Dec
Reply:
    45 down from insurance overpayment</t>
      </text>
    </comment>
    <comment ref="G30" authorId="6" shapeId="0" xr:uid="{B626FB3A-76FB-4E90-898C-753755134D31}">
      <text>
        <t>[Threaded comment]
Your version of Excel allows you to read this threaded comment; however, any edits to it will get removed if the file is opened in a newer version of Excel. Learn more: https://go.microsoft.com/fwlink/?linkid=870924
Comment:
    Moved to savings</t>
      </text>
    </comment>
    <comment ref="E36" authorId="7" shapeId="0" xr:uid="{C701A7DA-FBF9-44A0-8B59-A20E3AF31D75}">
      <text>
        <t>[Threaded comment]
Your version of Excel allows you to read this threaded comment; however, any edits to it will get removed if the file is opened in a newer version of Excel. Learn more: https://go.microsoft.com/fwlink/?linkid=870924
Comment:
    -210 for sweaty betty stuff</t>
      </text>
    </comment>
    <comment ref="F36" authorId="8" shapeId="0" xr:uid="{F86B3866-6150-4FE1-8020-0B10AB64BB6B}">
      <text>
        <t>[Threaded comment]
Your version of Excel allows you to read this threaded comment; however, any edits to it will get removed if the file is opened in a newer version of Excel. Learn more: https://go.microsoft.com/fwlink/?linkid=870924
Comment:
    130 owed for air fryer - sell mics</t>
      </text>
    </comment>
    <comment ref="G36" authorId="9" shapeId="0" xr:uid="{B8F07103-3A04-4532-956A-4F3164417FCE}">
      <text>
        <t>[Threaded comment]
Your version of Excel allows you to read this threaded comment; however, any edits to it will get removed if the file is opened in a newer version of Excel. Learn more: https://go.microsoft.com/fwlink/?linkid=870924
Comment:
    Moved to savings</t>
      </text>
    </comment>
    <comment ref="F37" authorId="10" shapeId="0" xr:uid="{B0069017-3933-4A01-AF53-23E9164FEBD8}">
      <text>
        <t>[Threaded comment]
Your version of Excel allows you to read this threaded comment; however, any edits to it will get removed if the file is opened in a newer version of Excel. Learn more: https://go.microsoft.com/fwlink/?linkid=870924
Comment:
    +54 stand up tickets</t>
      </text>
    </comment>
    <comment ref="H37" authorId="11" shapeId="0" xr:uid="{D1D5BAAD-53DC-4BA9-9356-8DB94CB89614}">
      <text>
        <t>[Threaded comment]
Your version of Excel allows you to read this threaded comment; however, any edits to it will get removed if the file is opened in a newer version of Excel. Learn more: https://go.microsoft.com/fwlink/?linkid=870924
Comment:
    Dini day</t>
      </text>
    </comment>
    <comment ref="M37" authorId="12" shapeId="0" xr:uid="{3D212FAE-0F16-4F4E-9010-AA39DD472908}">
      <text>
        <t>[Threaded comment]
Your version of Excel allows you to read this threaded comment; however, any edits to it will get removed if the file is opened in a newer version of Excel. Learn more: https://go.microsoft.com/fwlink/?linkid=870924
Comment:
    Hawthorn</t>
      </text>
    </comment>
    <comment ref="N37" authorId="13" shapeId="0" xr:uid="{5D0CF375-2299-4FFB-A82D-AB31840FBF87}">
      <text>
        <t>[Threaded comment]
Your version of Excel allows you to read this threaded comment; however, any edits to it will get removed if the file is opened in a newer version of Excel. Learn more: https://go.microsoft.com/fwlink/?linkid=870924
Comment:
    Kris zara</t>
      </text>
    </comment>
    <comment ref="O49" authorId="14" shapeId="0" xr:uid="{728EC74C-5F17-4186-B379-5CDFF90825DF}">
      <text>
        <t>[Threaded comment]
Your version of Excel allows you to read this threaded comment; however, any edits to it will get removed if the file is opened in a newer version of Excel. Learn more: https://go.microsoft.com/fwlink/?linkid=870924
Comment:
    Incoming expenses
£30 gift card</t>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tc={34638BE3-F0BE-42FD-A9B6-B3AB99280554}</author>
    <author>tc={727EC954-0961-41C2-8181-F6CAD58D4D1E}</author>
    <author>tc={39968F3F-246D-438D-8B38-3B4454061A5C}</author>
    <author>tc={57A286FC-BD79-4727-99C0-126AE1B90332}</author>
    <author>tc={3B36034B-A2D5-4A39-A51E-128147895E93}</author>
    <author>tc={BA4FD327-B0A5-4E47-91A4-7134081951D3}</author>
    <author>tc={B50C551C-779C-4E0D-BFD8-454613904D5F}</author>
    <author>tc={1F2BCEF5-B261-4425-B376-D0EA96D619B2}</author>
    <author>tc={42F6B783-C350-41D6-B895-49FF67828D07}</author>
    <author>tc={A2B77993-532C-4C4F-AA31-0555A7B07C1C}</author>
    <author>tc={88D146C1-C93A-4511-8FC7-DA3365C4A5CC}</author>
    <author>tc={868AC67B-3434-4D9E-8F68-A8B662C3B32C}</author>
    <author>tc={382E4FC3-529B-4741-A725-0907C615B078}</author>
  </authors>
  <commentList>
    <comment ref="D16" authorId="0" shapeId="0" xr:uid="{34638BE3-F0BE-42FD-A9B6-B3AB99280554}">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1" shapeId="0" xr:uid="{727EC954-0961-41C2-8181-F6CAD58D4D1E}">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L25" authorId="2" shapeId="0" xr:uid="{39968F3F-246D-438D-8B38-3B4454061A5C}">
      <text>
        <t>[Threaded comment]
Your version of Excel allows you to read this threaded comment; however, any edits to it will get removed if the file is opened in a newer version of Excel. Learn more: https://go.microsoft.com/fwlink/?linkid=870924
Comment:
    Luna undies</t>
      </text>
    </comment>
    <comment ref="D26" authorId="3" shapeId="0" xr:uid="{57A286FC-BD79-4727-99C0-126AE1B90332}">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G26" authorId="4" shapeId="0" xr:uid="{3B36034B-A2D5-4A39-A51E-128147895E93}">
      <text>
        <t>[Threaded comment]
Your version of Excel allows you to read this threaded comment; however, any edits to it will get removed if the file is opened in a newer version of Excel. Learn more: https://go.microsoft.com/fwlink/?linkid=870924
Comment:
    Leggings - will sell and reimb</t>
      </text>
    </comment>
    <comment ref="I26" authorId="5" shapeId="0" xr:uid="{BA4FD327-B0A5-4E47-91A4-7134081951D3}">
      <text>
        <t>[Threaded comment]
Your version of Excel allows you to read this threaded comment; however, any edits to it will get removed if the file is opened in a newer version of Excel. Learn more: https://go.microsoft.com/fwlink/?linkid=870924
Comment:
    336 - car repair</t>
      </text>
    </comment>
    <comment ref="L26" authorId="6" shapeId="0" xr:uid="{B50C551C-779C-4E0D-BFD8-454613904D5F}">
      <text>
        <t>[Threaded comment]
Your version of Excel allows you to read this threaded comment; however, any edits to it will get removed if the file is opened in a newer version of Excel. Learn more: https://go.microsoft.com/fwlink/?linkid=870924
Comment:
    Kris tkmaxx
Reply:
    55 mum repay 20, 36 zara rfd</t>
      </text>
    </comment>
    <comment ref="F30" authorId="7" shapeId="0" xr:uid="{1F2BCEF5-B261-4425-B376-D0EA96D619B2}">
      <text>
        <t>[Threaded comment]
Your version of Excel allows you to read this threaded comment; however, any edits to it will get removed if the file is opened in a newer version of Excel. Learn more: https://go.microsoft.com/fwlink/?linkid=870924
Comment:
    £460 from 1st Dec</t>
      </text>
    </comment>
    <comment ref="F38" authorId="8" shapeId="0" xr:uid="{42F6B783-C350-41D6-B895-49FF67828D07}">
      <text>
        <t>[Threaded comment]
Your version of Excel allows you to read this threaded comment; however, any edits to it will get removed if the file is opened in a newer version of Excel. Learn more: https://go.microsoft.com/fwlink/?linkid=870924
Comment:
    98.85 doggy dryer
92.98 kris repay
91.2 hawthorn</t>
      </text>
    </comment>
    <comment ref="G38" authorId="9" shapeId="0" xr:uid="{A2B77993-532C-4C4F-AA31-0555A7B07C1C}">
      <text>
        <t>[Threaded comment]
Your version of Excel allows you to read this threaded comment; however, any edits to it will get removed if the file is opened in a newer version of Excel. Learn more: https://go.microsoft.com/fwlink/?linkid=870924
Comment:
    Luna - health opts</t>
      </text>
    </comment>
    <comment ref="H38" authorId="10" shapeId="0" xr:uid="{88D146C1-C93A-4511-8FC7-DA3365C4A5CC}">
      <text>
        <t>[Threaded comment]
Your version of Excel allows you to read this threaded comment; however, any edits to it will get removed if the file is opened in a newer version of Excel. Learn more: https://go.microsoft.com/fwlink/?linkid=870924
Comment:
    17.63 - amz leftover
89 - oodies
72.38 - matt
54 - spare oodie to return
60 - matt
25.98 - oscar
15 - baubels</t>
      </text>
    </comment>
    <comment ref="H41" authorId="11" shapeId="0" xr:uid="{868AC67B-3434-4D9E-8F68-A8B662C3B32C}">
      <text>
        <t>[Threaded comment]
Your version of Excel allows you to read this threaded comment; however, any edits to it will get removed if the file is opened in a newer version of Excel. Learn more: https://go.microsoft.com/fwlink/?linkid=870924
Comment:
    36.94 - zara skirt return
78.37 - tkmaxx
36.91 - lookfantastic
30 - tkmaxx</t>
      </text>
    </comment>
    <comment ref="O50" authorId="12" shapeId="0" xr:uid="{382E4FC3-529B-4741-A725-0907C615B078}">
      <text>
        <t>[Threaded comment]
Your version of Excel allows you to read this threaded comment; however, any edits to it will get removed if the file is opened in a newer version of Excel. Learn more: https://go.microsoft.com/fwlink/?linkid=870924
Comment:
    Incoming expenses
£30 gift card</t>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tc={3C9F544E-E746-436F-8845-8207BDE27C3D}</author>
    <author>tc={F88B8FF2-A2D3-40C6-9E11-35849A5B9AF8}</author>
    <author>tc={AA405A1E-B216-4853-97F7-501C433A43C1}</author>
    <author>tc={5BB645B9-EFBF-405B-A6DD-063F5885DA4C}</author>
    <author>tc={59707221-888B-43A0-91B8-7DBF5E058D42}</author>
    <author>tc={225DFFB8-35CC-4624-AC28-BF8A70C8AB72}</author>
    <author>tc={6EA3CE05-7DAE-4914-A4D3-2E63FA58AD74}</author>
    <author>tc={58F28E3D-4AE2-44B2-9D01-412FD26CA117}</author>
  </authors>
  <commentList>
    <comment ref="D16" authorId="0" shapeId="0" xr:uid="{3C9F544E-E746-436F-8845-8207BDE27C3D}">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20" authorId="1" shapeId="0" xr:uid="{F88B8FF2-A2D3-40C6-9E11-35849A5B9AF8}">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G25" authorId="2" shapeId="0" xr:uid="{AA405A1E-B216-4853-97F7-501C433A43C1}">
      <text>
        <t>[Threaded comment]
Your version of Excel allows you to read this threaded comment; however, any edits to it will get removed if the file is opened in a newer version of Excel. Learn more: https://go.microsoft.com/fwlink/?linkid=870924
Comment:
    45.92 vitality to cancel</t>
      </text>
    </comment>
    <comment ref="D26" authorId="3" shapeId="0" xr:uid="{5BB645B9-EFBF-405B-A6DD-063F5885DA4C}">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F30" authorId="4" shapeId="0" xr:uid="{59707221-888B-43A0-91B8-7DBF5E058D42}">
      <text>
        <t>[Threaded comment]
Your version of Excel allows you to read this threaded comment; however, any edits to it will get removed if the file is opened in a newer version of Excel. Learn more: https://go.microsoft.com/fwlink/?linkid=870924
Comment:
    Can draw down £100 from savings</t>
      </text>
    </comment>
    <comment ref="G39" authorId="5" shapeId="0" xr:uid="{225DFFB8-35CC-4624-AC28-BF8A70C8AB72}">
      <text>
        <t>[Threaded comment]
Your version of Excel allows you to read this threaded comment; however, any edits to it will get removed if the file is opened in a newer version of Excel. Learn more: https://go.microsoft.com/fwlink/?linkid=870924
Comment:
    Kris owes 60??</t>
      </text>
    </comment>
    <comment ref="H39" authorId="6" shapeId="0" xr:uid="{6EA3CE05-7DAE-4914-A4D3-2E63FA58AD74}">
      <text>
        <t>[Threaded comment]
Your version of Excel allows you to read this threaded comment; however, any edits to it will get removed if the file is opened in a newer version of Excel. Learn more: https://go.microsoft.com/fwlink/?linkid=870924
Comment:
    79 - lulu
60 - sb
34 - zara
30 - h&amp;m
98 - lulu may return</t>
      </text>
    </comment>
    <comment ref="I41" authorId="7" shapeId="0" xr:uid="{58F28E3D-4AE2-44B2-9D01-412FD26CA117}">
      <text>
        <t>[Threaded comment]
Your version of Excel allows you to read this threaded comment; however, any edits to it will get removed if the file is opened in a newer version of Excel. Learn more: https://go.microsoft.com/fwlink/?linkid=870924
Comment:
    100 from savings for kris - now in cash
100 from savings for me - will return with expenses / sign up voucher</t>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tc={5E80AB1A-D4CC-9F4D-A809-284171610556}</author>
    <author>tc={A4C408C6-0E9F-8941-A047-F8A20106782A}</author>
  </authors>
  <commentList>
    <comment ref="D10" authorId="0" shapeId="0" xr:uid="{5E80AB1A-D4CC-9F4D-A809-284171610556}">
      <text>
        <t>[Threaded comment]
Your version of Excel allows you to read this threaded comment; however, any edits to it will get removed if the file is opened in a newer version of Excel. Learn more: https://go.microsoft.com/fwlink/?linkid=870924
Comment:
    13.5k remaining tesco
5k post grad loan</t>
      </text>
    </comment>
    <comment ref="C13" authorId="1" shapeId="0" xr:uid="{A4C408C6-0E9F-8941-A047-F8A20106782A}">
      <text>
        <t>[Threaded comment]
Your version of Excel allows you to read this threaded comment; however, any edits to it will get removed if the file is opened in a newer version of Excel. Learn more: https://go.microsoft.com/fwlink/?linkid=870924
Comment:
    Remaining mtg come JUN30</t>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tc={BCBF49AB-224C-E04C-9F19-4BA16D812F64}</author>
    <author>tc={A729BA72-C1C2-8946-8CAA-9BCB5160C485}</author>
    <author>tc={BBB80E66-9D4B-F34F-AED9-3A08C4C034C9}</author>
    <author>tc={7B8A14B3-37B0-234E-9731-A8C438763605}</author>
    <author>tc={BD43BBE6-ADD5-6949-B44B-D6B93879445A}</author>
    <author>tc={D673005F-1A13-554B-855E-9E26C2501BC5}</author>
    <author>tc={6658B735-7A41-AA4F-B4F2-2386CE5B8C0F}</author>
    <author>tc={4E487728-3B01-3C4E-9F9C-49DD20462678}</author>
    <author>tc={8F510DC0-DF15-094E-BAD4-1B61B0913CFD}</author>
    <author>tc={130F5C60-9A6C-1844-AB6D-082A29D1E47C}</author>
    <author>tc={6040E2F7-348D-C042-843A-0242E4631328}</author>
    <author>tc={66C17924-20F5-8246-9E22-8BFAE6E0E153}</author>
    <author>tc={D583DF8C-52E5-2546-817B-8AD869269EBC}</author>
  </authors>
  <commentList>
    <comment ref="E3" authorId="0" shapeId="0" xr:uid="{BCBF49AB-224C-E04C-9F19-4BA16D812F64}">
      <text>
        <t>[Threaded comment]
Your version of Excel allows you to read this threaded comment; however, any edits to it will get removed if the file is opened in a newer version of Excel. Learn more: https://go.microsoft.com/fwlink/?linkid=870924
Comment:
    200 short because of extra tax, hoping to drip feed back in over coming months
180 in jar</t>
      </text>
    </comment>
    <comment ref="E4" authorId="1" shapeId="0" xr:uid="{A729BA72-C1C2-8946-8CAA-9BCB5160C485}">
      <text>
        <t>[Threaded comment]
Your version of Excel allows you to read this threaded comment; however, any edits to it will get removed if the file is opened in a newer version of Excel. Learn more: https://go.microsoft.com/fwlink/?linkid=870924
Comment:
    +500 phone to be paid back
+60 Filey pre-booking</t>
      </text>
    </comment>
    <comment ref="A11" authorId="2" shapeId="0" xr:uid="{BBB80E66-9D4B-F34F-AED9-3A08C4C034C9}">
      <text>
        <t>[Threaded comment]
Your version of Excel allows you to read this threaded comment; however, any edits to it will get removed if the file is opened in a newer version of Excel. Learn more: https://go.microsoft.com/fwlink/?linkid=870924
Comment:
    If commuting resumes in JUN</t>
      </text>
    </comment>
    <comment ref="A12" authorId="3" shapeId="0" xr:uid="{7B8A14B3-37B0-234E-9731-A8C438763605}">
      <text>
        <t>[Threaded comment]
Your version of Excel allows you to read this threaded comment; however, any edits to it will get removed if the file is opened in a newer version of Excel. Learn more: https://go.microsoft.com/fwlink/?linkid=870924
Comment:
    Repaid tesco loan early</t>
      </text>
    </comment>
    <comment ref="E12" authorId="4" shapeId="0" xr:uid="{BD43BBE6-ADD5-6949-B44B-D6B93879445A}">
      <text>
        <t>[Threaded comment]
Your version of Excel allows you to read this threaded comment; however, any edits to it will get removed if the file is opened in a newer version of Excel. Learn more: https://go.microsoft.com/fwlink/?linkid=870924
Comment:
    Total includes +150 from fuel
+225 from food
+300 from HTB</t>
      </text>
    </comment>
    <comment ref="A13" authorId="5" shapeId="0" xr:uid="{D673005F-1A13-554B-855E-9E26C2501BC5}">
      <text>
        <t>[Threaded comment]
Your version of Excel allows you to read this threaded comment; however, any edits to it will get removed if the file is opened in a newer version of Excel. Learn more: https://go.microsoft.com/fwlink/?linkid=870924
Comment:
    Repaid tesco early, started putting money towards hols</t>
      </text>
    </comment>
    <comment ref="D16" authorId="6" shapeId="0" xr:uid="{6658B735-7A41-AA4F-B4F2-2386CE5B8C0F}">
      <text>
        <t>[Threaded comment]
Your version of Excel allows you to read this threaded comment; however, any edits to it will get removed if the file is opened in a newer version of Excel. Learn more: https://go.microsoft.com/fwlink/?linkid=870924
Comment:
    Actual = 14157.47
Reply:
    Paid off tesco, stretching savings to APR</t>
      </text>
    </comment>
    <comment ref="C18" authorId="7" shapeId="0" xr:uid="{4E487728-3B01-3C4E-9F9C-49DD20462678}">
      <text>
        <t>[Threaded comment]
Your version of Excel allows you to read this threaded comment; however, any edits to it will get removed if the file is opened in a newer version of Excel. Learn more: https://go.microsoft.com/fwlink/?linkid=870924
Comment:
    6270 bank
460 jar</t>
      </text>
    </comment>
    <comment ref="D19" authorId="8" shapeId="0" xr:uid="{8F510DC0-DF15-094E-BAD4-1B61B0913CFD}">
      <text>
        <t>[Threaded comment]
Your version of Excel allows you to read this threaded comment; however, any edits to it will get removed if the file is opened in a newer version of Excel. Learn more: https://go.microsoft.com/fwlink/?linkid=870924
Comment:
    +150 from latvia trip
+130 couch sale
-1000 for house (mtg repay jan,feb,mar)
+130 in jar</t>
      </text>
    </comment>
    <comment ref="C20" authorId="9" shapeId="0" xr:uid="{130F5C60-9A6C-1844-AB6D-082A29D1E47C}">
      <text>
        <t>[Threaded comment]
Your version of Excel allows you to read this threaded comment; however, any edits to it will get removed if the file is opened in a newer version of Excel. Learn more: https://go.microsoft.com/fwlink/?linkid=870924
Comment:
    770 in jar</t>
      </text>
    </comment>
    <comment ref="D20" authorId="10" shapeId="0" xr:uid="{6040E2F7-348D-C042-843A-0242E4631328}">
      <text>
        <t>[Threaded comment]
Your version of Excel allows you to read this threaded comment; however, any edits to it will get removed if the file is opened in a newer version of Excel. Learn more: https://go.microsoft.com/fwlink/?linkid=870924
Comment:
    +459.6 from toyota payment + dec break deposit</t>
      </text>
    </comment>
    <comment ref="C21" authorId="11" shapeId="0" xr:uid="{66C17924-20F5-8246-9E22-8BFAE6E0E153}">
      <text>
        <t>[Threaded comment]
Your version of Excel allows you to read this threaded comment; however, any edits to it will get removed if the file is opened in a newer version of Excel. Learn more: https://go.microsoft.com/fwlink/?linkid=870924
Comment:
    535 in jar</t>
      </text>
    </comment>
    <comment ref="D21" authorId="12" shapeId="0" xr:uid="{D583DF8C-52E5-2546-817B-8AD869269EBC}">
      <text>
        <t>[Threaded comment]
Your version of Excel allows you to read this threaded comment; however, any edits to it will get removed if the file is opened in a newer version of Excel. Learn more: https://go.microsoft.com/fwlink/?linkid=870924
Comment:
    +500 from hol budget for Aug break</t>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tc={95C505CE-46CB-44FD-AAC8-9F6D4340881C}</author>
    <author>tc={C06304A0-C4C2-4466-A711-C19DAB929B05}</author>
    <author>tc={975A70F9-0896-48AC-8C79-A9BB0FA07AB9}</author>
    <author>tc={9C8677E1-558C-489F-B7B4-9871E0F8AE65}</author>
    <author>tc={54170D73-679C-4F8A-A41D-B7DDC3FBA749}</author>
    <author>tc={AA8E93E0-175A-41ED-B8BC-F38708D803C6}</author>
    <author>tc={6BC6EAB1-B8C7-4221-90B6-968A552D1E56}</author>
    <author>tc={C47D6640-389C-4DD7-B434-EA961F98E8AD}</author>
  </authors>
  <commentList>
    <comment ref="G3" authorId="0" shapeId="0" xr:uid="{95C505CE-46CB-44FD-AAC8-9F6D4340881C}">
      <text>
        <t>[Threaded comment]
Your version of Excel allows you to read this threaded comment; however, any edits to it will get removed if the file is opened in a newer version of Excel. Learn more: https://go.microsoft.com/fwlink/?linkid=870924
Comment:
    Thu 2nd
Fri 3rd</t>
      </text>
    </comment>
    <comment ref="H3" authorId="1" shapeId="0" xr:uid="{C06304A0-C4C2-4466-A711-C19DAB929B05}">
      <text>
        <t>[Threaded comment]
Your version of Excel allows you to read this threaded comment; however, any edits to it will get removed if the file is opened in a newer version of Excel. Learn more: https://go.microsoft.com/fwlink/?linkid=870924
Comment:
    Wed 1st</t>
      </text>
    </comment>
    <comment ref="F4" authorId="2" shapeId="0" xr:uid="{975A70F9-0896-48AC-8C79-A9BB0FA07AB9}">
      <text>
        <t>[Threaded comment]
Your version of Excel allows you to read this threaded comment; however, any edits to it will get removed if the file is opened in a newer version of Excel. Learn more: https://go.microsoft.com/fwlink/?linkid=870924
Comment:
    Sat 12th - Sun 27th</t>
      </text>
    </comment>
    <comment ref="G4" authorId="3" shapeId="0" xr:uid="{9C8677E1-558C-489F-B7B4-9871E0F8AE65}">
      <text>
        <t>[Threaded comment]
Your version of Excel allows you to read this threaded comment; however, any edits to it will get removed if the file is opened in a newer version of Excel. Learn more: https://go.microsoft.com/fwlink/?linkid=870924
Comment:
    Mon 14th - Thu 17th
Tue 22nd - Fri 25th</t>
      </text>
    </comment>
    <comment ref="S4" authorId="4" shapeId="0" xr:uid="{54170D73-679C-4F8A-A41D-B7DDC3FBA749}">
      <text>
        <t>[Threaded comment]
Your version of Excel allows you to read this threaded comment; however, any edits to it will get removed if the file is opened in a newer version of Excel. Learn more: https://go.microsoft.com/fwlink/?linkid=870924
Comment:
    minus extra 2 - leaving at 10pm Friday so can work the 1st, landing at 6am, so can work the 16th</t>
      </text>
    </comment>
    <comment ref="F5" authorId="5" shapeId="0" xr:uid="{AA8E93E0-175A-41ED-B8BC-F38708D803C6}">
      <text>
        <t>[Threaded comment]
Your version of Excel allows you to read this threaded comment; however, any edits to it will get removed if the file is opened in a newer version of Excel. Learn more: https://go.microsoft.com/fwlink/?linkid=870924
Comment:
    Sat 3rd - Sun 11th
Sat 24th - Sun 1st Jun</t>
      </text>
    </comment>
    <comment ref="F6" authorId="6" shapeId="0" xr:uid="{6BC6EAB1-B8C7-4221-90B6-968A552D1E56}">
      <text>
        <t>[Threaded comment]
Your version of Excel allows you to read this threaded comment; however, any edits to it will get removed if the file is opened in a newer version of Excel. Learn more: https://go.microsoft.com/fwlink/?linkid=870924
Comment:
    Sat 23rd - Sun 31st</t>
      </text>
    </comment>
    <comment ref="F7" authorId="7" shapeId="0" xr:uid="{C47D6640-389C-4DD7-B434-EA961F98E8AD}">
      <text>
        <t>[Threaded comment]
Your version of Excel allows you to read this threaded comment; however, any edits to it will get removed if the file is opened in a newer version of Excel. Learn more: https://go.microsoft.com/fwlink/?linkid=870924
Comment:
    22nd - 24th</t>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tc={1A423848-A858-4EBC-B4C2-6F3732258B53}</author>
    <author>tc={DCD0D11E-7D24-43CC-BE7A-8BCFDFE2B2CD}</author>
    <author>tc={A0D47886-987C-4C38-9F90-7718AF9EB2FE}</author>
    <author>tc={012A4963-2765-4DA5-8A28-CD013A88338C}</author>
    <author>tc={84E7D5CA-4C5E-4913-9FC9-8A883B743958}</author>
    <author>tc={ED4E6BE3-EFAE-4452-83BE-7ED1EB497BFF}</author>
    <author>tc={631549A7-7556-4E8D-A629-EF54DCD8056B}</author>
    <author>tc={FA6BFE4C-4D3B-4FDF-96E6-F30BC3DA9BD1}</author>
    <author>tc={9016210D-CEC3-4361-A631-056EAEAD840E}</author>
  </authors>
  <commentList>
    <comment ref="D15" authorId="0" shapeId="0" xr:uid="{1A423848-A858-4EBC-B4C2-6F3732258B53}">
      <text>
        <t>[Threaded comment]
Your version of Excel allows you to read this threaded comment; however, any edits to it will get removed if the file is opened in a newer version of Excel. Learn more: https://go.microsoft.com/fwlink/?linkid=870924
Comment:
    Home and Content
Life
Bunny</t>
      </text>
    </comment>
    <comment ref="D19" authorId="1" shapeId="0" xr:uid="{DCD0D11E-7D24-43CC-BE7A-8BCFDFE2B2CD}">
      <text>
        <t xml:space="preserve">[Threaded comment]
Your version of Excel allows you to read this threaded comment; however, any edits to it will get removed if the file is opened in a newer version of Excel. Learn more: https://go.microsoft.com/fwlink/?linkid=870924
Comment:
    TAX
	MJ55: 340
	S70: 155
</t>
      </text>
    </comment>
    <comment ref="F21" authorId="2" shapeId="0" xr:uid="{A0D47886-987C-4C38-9F90-7718AF9EB2FE}">
      <text>
        <t>[Threaded comment]
Your version of Excel allows you to read this threaded comment; however, any edits to it will get removed if the file is opened in a newer version of Excel. Learn more: https://go.microsoft.com/fwlink/?linkid=870924
Comment:
    From contingency</t>
      </text>
    </comment>
    <comment ref="D27" authorId="3" shapeId="0" xr:uid="{012A4963-2765-4DA5-8A28-CD013A88338C}">
      <text>
        <t>[Threaded comment]
Your version of Excel allows you to read this threaded comment; however, any edits to it will get removed if the file is opened in a newer version of Excel. Learn more: https://go.microsoft.com/fwlink/?linkid=870924
Comment:
    Try set all up for 01/10</t>
      </text>
    </comment>
    <comment ref="I28" authorId="4" shapeId="0" xr:uid="{84E7D5CA-4C5E-4913-9FC9-8A883B743958}">
      <text>
        <t>[Threaded comment]
Your version of Excel allows you to read this threaded comment; however, any edits to it will get removed if the file is opened in a newer version of Excel. Learn more: https://go.microsoft.com/fwlink/?linkid=870924
Comment:
    Jordan birthday</t>
      </text>
    </comment>
    <comment ref="L28" authorId="5" shapeId="0" xr:uid="{ED4E6BE3-EFAE-4452-83BE-7ED1EB497BFF}">
      <text>
        <t>[Threaded comment]
Your version of Excel allows you to read this threaded comment; however, any edits to it will get removed if the file is opened in a newer version of Excel. Learn more: https://go.microsoft.com/fwlink/?linkid=870924
Comment:
    Valentines</t>
      </text>
    </comment>
    <comment ref="G29" authorId="6" shapeId="0" xr:uid="{631549A7-7556-4E8D-A629-EF54DCD8056B}">
      <text>
        <t>[Threaded comment]
Your version of Excel allows you to read this threaded comment; however, any edits to it will get removed if the file is opened in a newer version of Excel. Learn more: https://go.microsoft.com/fwlink/?linkid=870924
Comment:
    299 mab fee</t>
      </text>
    </comment>
    <comment ref="I29" authorId="7" shapeId="0" xr:uid="{FA6BFE4C-4D3B-4FDF-96E6-F30BC3DA9BD1}">
      <text>
        <t>[Threaded comment]
Your version of Excel allows you to read this threaded comment; however, any edits to it will get removed if the file is opened in a newer version of Excel. Learn more: https://go.microsoft.com/fwlink/?linkid=870924
Comment:
    375 skin by katie
200 htb fee</t>
      </text>
    </comment>
    <comment ref="J29" authorId="8" shapeId="0" xr:uid="{9016210D-CEC3-4361-A631-056EAEAD840E}">
      <text>
        <t>[Threaded comment]
Your version of Excel allows you to read this threaded comment; however, any edits to it will get removed if the file is opened in a newer version of Excel. Learn more: https://go.microsoft.com/fwlink/?linkid=870924
Comment:
    245 Lulu shopping</t>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tc={4B69AE86-A64A-4844-B6B7-E5A91D34A2D9}</author>
    <author>tc={779E6914-1374-497C-9D48-3F8686717570}</author>
    <author>tc={31B65223-D081-4C5F-A364-ABEF898FFE86}</author>
  </authors>
  <commentList>
    <comment ref="F34" authorId="0" shapeId="0" xr:uid="{4B69AE86-A64A-4844-B6B7-E5A91D34A2D9}">
      <text>
        <t>[Threaded comment]
Your version of Excel allows you to read this threaded comment; however, any edits to it will get removed if the file is opened in a newer version of Excel. Learn more: https://go.microsoft.com/fwlink/?linkid=870924
Comment:
    80 in cash</t>
      </text>
    </comment>
    <comment ref="G34" authorId="1" shapeId="0" xr:uid="{779E6914-1374-497C-9D48-3F8686717570}">
      <text>
        <t>[Threaded comment]
Your version of Excel allows you to read this threaded comment; however, any edits to it will get removed if the file is opened in a newer version of Excel. Learn more: https://go.microsoft.com/fwlink/?linkid=870924
Comment:
    Over spend on credit card, need to get back</t>
      </text>
    </comment>
    <comment ref="F35" authorId="2" shapeId="0" xr:uid="{31B65223-D081-4C5F-A364-ABEF898FFE86}">
      <text>
        <t>[Threaded comment]
Your version of Excel allows you to read this threaded comment; however, any edits to it will get removed if the file is opened in a newer version of Excel. Learn more: https://go.microsoft.com/fwlink/?linkid=870924
Comment:
    50 = horse</t>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tc={173910F2-913E-46BE-AD0B-40B29EB10D5E}</author>
    <author>tc={AB357E41-0FC1-44C6-83CA-71BDE98D65C4}</author>
    <author>tc={3A52E2D2-5641-4D9F-9D02-91B90357DEA2}</author>
    <author>tc={863C730F-3259-4EF0-8E59-390B50F85D26}</author>
    <author>tc={00F2C00D-0057-4185-BCC1-FB38DF2A96AC}</author>
  </authors>
  <commentList>
    <comment ref="F13" authorId="0" shapeId="0" xr:uid="{173910F2-913E-46BE-AD0B-40B29EB10D5E}">
      <text>
        <t>[Threaded comment]
Your version of Excel allows you to read this threaded comment; however, any edits to it will get removed if the file is opened in a newer version of Excel. Learn more: https://go.microsoft.com/fwlink/?linkid=870924
Comment:
    Insurance renewed at lower price</t>
      </text>
    </comment>
    <comment ref="F25" authorId="1" shapeId="0" xr:uid="{AB357E41-0FC1-44C6-83CA-71BDE98D65C4}">
      <text>
        <t>[Threaded comment]
Your version of Excel allows you to read this threaded comment; however, any edits to it will get removed if the file is opened in a newer version of Excel. Learn more: https://go.microsoft.com/fwlink/?linkid=870924
Comment:
    20 in jar
90 owed</t>
      </text>
    </comment>
    <comment ref="K25" authorId="2" shapeId="0" xr:uid="{3A52E2D2-5641-4D9F-9D02-91B90357DEA2}">
      <text>
        <t>[Threaded comment]
Your version of Excel allows you to read this threaded comment; however, any edits to it will get removed if the file is opened in a newer version of Excel. Learn more: https://go.microsoft.com/fwlink/?linkid=870924
Comment:
    Scotland</t>
      </text>
    </comment>
    <comment ref="L25" authorId="3" shapeId="0" xr:uid="{863C730F-3259-4EF0-8E59-390B50F85D26}">
      <text>
        <t>[Threaded comment]
Your version of Excel allows you to read this threaded comment; however, any edits to it will get removed if the file is opened in a newer version of Excel. Learn more: https://go.microsoft.com/fwlink/?linkid=870924
Comment:
    Scotland</t>
      </text>
    </comment>
    <comment ref="H31" authorId="4" shapeId="0" xr:uid="{00F2C00D-0057-4185-BCC1-FB38DF2A96AC}">
      <text>
        <t>[Threaded comment]
Your version of Excel allows you to read this threaded comment; however, any edits to it will get removed if the file is opened in a newer version of Excel. Learn more: https://go.microsoft.com/fwlink/?linkid=870924
Comment:
    kiehls</t>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tc={5C9BBFCD-B5D4-4CBA-9A4B-7C539C2DC92D}</author>
    <author>tc={E0E86CAE-C57B-4009-998B-EE5A6B77DBF2}</author>
  </authors>
  <commentList>
    <comment ref="F13" authorId="0" shapeId="0" xr:uid="{5C9BBFCD-B5D4-4CBA-9A4B-7C539C2DC92D}">
      <text>
        <t>[Threaded comment]
Your version of Excel allows you to read this threaded comment; however, any edits to it will get removed if the file is opened in a newer version of Excel. Learn more: https://go.microsoft.com/fwlink/?linkid=870924
Comment:
    Insurance renewed at lower price</t>
      </text>
    </comment>
    <comment ref="F21" authorId="1" shapeId="0" xr:uid="{E0E86CAE-C57B-4009-998B-EE5A6B77DBF2}">
      <text>
        <t>[Threaded comment]
Your version of Excel allows you to read this threaded comment; however, any edits to it will get removed if the file is opened in a newer version of Excel. Learn more: https://go.microsoft.com/fwlink/?linkid=870924
Comment:
    Pay last month</t>
      </text>
    </comment>
  </commentList>
</comments>
</file>

<file path=xl/comments77.xml><?xml version="1.0" encoding="utf-8"?>
<comments xmlns="http://schemas.openxmlformats.org/spreadsheetml/2006/main" xmlns:mc="http://schemas.openxmlformats.org/markup-compatibility/2006" xmlns:xr="http://schemas.microsoft.com/office/spreadsheetml/2014/revision" mc:Ignorable="xr">
  <authors>
    <author>tc={33EDD2C3-872C-42A4-BC72-D5EB1398F552}</author>
    <author>tc={6D04610F-9395-48E8-8ADE-D2C6C21D82A9}</author>
    <author>tc={A870AEAC-54FE-4172-8530-635308258AE0}</author>
    <author>tc={51BF3536-50D7-46E2-8049-89248FF0C5ED}</author>
    <author>tc={0C94B1C9-94ED-4627-B6A5-00E062ECBF82}</author>
    <author>tc={E19F0652-7C09-4CAD-AF89-C18C30694594}</author>
    <author>tc={27CB2955-3301-4C34-860E-F19E2A905229}</author>
    <author>tc={897FFA19-D2B9-46B4-9FE3-970CE35F9D36}</author>
    <author>tc={308AB0E5-0D01-4A42-ADB4-3A3D4E12467B}</author>
    <author>tc={83E6CACB-0498-4D1C-B48A-489BB7B4AA0A}</author>
    <author>tc={98C933D2-29FC-46CE-82AB-7CD73DCE8FCD}</author>
    <author>tc={CBCE829C-B2D7-41A3-AE4B-FC98ACF07BD7}</author>
    <author>tc={A4CF9477-D902-4017-8B05-71BF42E44A15}</author>
    <author>tc={5FBBFC0F-50A6-4E3C-9E7A-B8F53896CE59}</author>
  </authors>
  <commentList>
    <comment ref="L4" authorId="0" shapeId="0" xr:uid="{33EDD2C3-872C-42A4-BC72-D5EB1398F552}">
      <text>
        <t>[Threaded comment]
Your version of Excel allows you to read this threaded comment; however, any edits to it will get removed if the file is opened in a newer version of Excel. Learn more: https://go.microsoft.com/fwlink/?linkid=870924
Comment:
    20.05 carried over</t>
      </text>
    </comment>
    <comment ref="F13" authorId="1" shapeId="0" xr:uid="{6D04610F-9395-48E8-8ADE-D2C6C21D82A9}">
      <text>
        <t>[Threaded comment]
Your version of Excel allows you to read this threaded comment; however, any edits to it will get removed if the file is opened in a newer version of Excel. Learn more: https://go.microsoft.com/fwlink/?linkid=870924
Comment:
    Insurance renewed at lower price</t>
      </text>
    </comment>
    <comment ref="G25" authorId="2" shapeId="0" xr:uid="{A870AEAC-54FE-4172-8530-635308258AE0}">
      <text>
        <t>[Threaded comment]
Your version of Excel allows you to read this threaded comment; however, any edits to it will get removed if the file is opened in a newer version of Excel. Learn more: https://go.microsoft.com/fwlink/?linkid=870924
Comment:
    Car repair - spring coil</t>
      </text>
    </comment>
    <comment ref="H25" authorId="3" shapeId="0" xr:uid="{51BF3536-50D7-46E2-8049-89248FF0C5ED}">
      <text>
        <t>[Threaded comment]
Your version of Excel allows you to read this threaded comment; however, any edits to it will get removed if the file is opened in a newer version of Excel. Learn more: https://go.microsoft.com/fwlink/?linkid=870924
Comment:
    Snuffle mat
Amz prime
tkmaxx
perfume</t>
      </text>
    </comment>
    <comment ref="I25" authorId="4" shapeId="0" xr:uid="{0C94B1C9-94ED-4627-B6A5-00E062ECBF82}">
      <text>
        <t>[Threaded comment]
Your version of Excel allows you to read this threaded comment; however, any edits to it will get removed if the file is opened in a newer version of Excel. Learn more: https://go.microsoft.com/fwlink/?linkid=870924
Comment:
    Bunny hotel</t>
      </text>
    </comment>
    <comment ref="K25" authorId="5" shapeId="0" xr:uid="{E19F0652-7C09-4CAD-AF89-C18C30694594}">
      <text>
        <t>[Threaded comment]
Your version of Excel allows you to read this threaded comment; however, any edits to it will get removed if the file is opened in a newer version of Excel. Learn more: https://go.microsoft.com/fwlink/?linkid=870924
Comment:
    195 cleaning
100 revolut</t>
      </text>
    </comment>
    <comment ref="G30" authorId="6" shapeId="0" xr:uid="{27CB2955-3301-4C34-860E-F19E2A905229}">
      <text>
        <t>[Threaded comment]
Your version of Excel allows you to read this threaded comment; however, any edits to it will get removed if the file is opened in a newer version of Excel. Learn more: https://go.microsoft.com/fwlink/?linkid=870924
Comment:
    Picture stretching</t>
      </text>
    </comment>
    <comment ref="H30" authorId="7" shapeId="0" xr:uid="{897FFA19-D2B9-46B4-9FE3-970CE35F9D36}">
      <text>
        <t>[Threaded comment]
Your version of Excel allows you to read this threaded comment; however, any edits to it will get removed if the file is opened in a newer version of Excel. Learn more: https://go.microsoft.com/fwlink/?linkid=870924
Comment:
    107 = Overflow
157 = amz pans</t>
      </text>
    </comment>
    <comment ref="I30" authorId="8" shapeId="0" xr:uid="{308AB0E5-0D01-4A42-ADB4-3A3D4E12467B}">
      <text>
        <t>[Threaded comment]
Your version of Excel allows you to read this threaded comment; however, any edits to it will get removed if the file is opened in a newer version of Excel. Learn more: https://go.microsoft.com/fwlink/?linkid=870924
Comment:
    HTB</t>
      </text>
    </comment>
    <comment ref="O30" authorId="9" shapeId="0" xr:uid="{83E6CACB-0498-4D1C-B48A-489BB7B4AA0A}">
      <text>
        <t>[Threaded comment]
Your version of Excel allows you to read this threaded comment; however, any edits to it will get removed if the file is opened in a newer version of Excel. Learn more: https://go.microsoft.com/fwlink/?linkid=870924
Comment:
    Around £50 in ikea returns</t>
      </text>
    </comment>
    <comment ref="G31" authorId="10" shapeId="0" xr:uid="{98C933D2-29FC-46CE-82AB-7CD73DCE8FCD}">
      <text>
        <t>[Threaded comment]
Your version of Excel allows you to read this threaded comment; however, any edits to it will get removed if the file is opened in a newer version of Excel. Learn more: https://go.microsoft.com/fwlink/?linkid=870924
Comment:
    Hanging baskets</t>
      </text>
    </comment>
    <comment ref="J32" authorId="11" shapeId="0" xr:uid="{CBCE829C-B2D7-41A3-AE4B-FC98ACF07BD7}">
      <text>
        <t>[Threaded comment]
Your version of Excel allows you to read this threaded comment; however, any edits to it will get removed if the file is opened in a newer version of Excel. Learn more: https://go.microsoft.com/fwlink/?linkid=870924
Comment:
    568 for drawers</t>
      </text>
    </comment>
    <comment ref="H38" authorId="12" shapeId="0" xr:uid="{A4CF9477-D902-4017-8B05-71BF42E44A15}">
      <text>
        <t>[Threaded comment]
Your version of Excel allows you to read this threaded comment; however, any edits to it will get removed if the file is opened in a newer version of Excel. Learn more: https://go.microsoft.com/fwlink/?linkid=870924
Comment:
    69 gymshark</t>
      </text>
    </comment>
    <comment ref="L38" authorId="13" shapeId="0" xr:uid="{5FBBFC0F-50A6-4E3C-9E7A-B8F53896CE59}">
      <text>
        <t>[Threaded comment]
Your version of Excel allows you to read this threaded comment; however, any edits to it will get removed if the file is opened in a newer version of Excel. Learn more: https://go.microsoft.com/fwlink/?linkid=870924
Comment:
    schuh</t>
      </text>
    </comment>
  </commentList>
</comments>
</file>

<file path=xl/comments78.xml><?xml version="1.0" encoding="utf-8"?>
<comments xmlns="http://schemas.openxmlformats.org/spreadsheetml/2006/main" xmlns:mc="http://schemas.openxmlformats.org/markup-compatibility/2006" xmlns:xr="http://schemas.microsoft.com/office/spreadsheetml/2014/revision" mc:Ignorable="xr">
  <authors>
    <author>tc={A20CCA97-47ED-4485-93EC-921E6007FB0B}</author>
    <author>tc={C21F05E7-D4B9-4FDC-B38A-EA6F53B82E1E}</author>
    <author>tc={4439AC9B-7E6A-451E-972F-779D3F4ED751}</author>
    <author>tc={A9FF04C6-3DF7-4D4F-9EA4-25E01DD3C6D3}</author>
    <author>tc={6FC8B98F-D339-470F-981D-E2DB5A99BD21}</author>
    <author>tc={60360BE2-A708-4B99-AD0F-B1D9288E2547}</author>
  </authors>
  <commentList>
    <comment ref="F10" authorId="0" shapeId="0" xr:uid="{A20CCA97-47ED-4485-93EC-921E6007FB0B}">
      <text>
        <t>[Threaded comment]
Your version of Excel allows you to read this threaded comment; however, any edits to it will get removed if the file is opened in a newer version of Excel. Learn more: https://go.microsoft.com/fwlink/?linkid=870924
Comment:
    Not sure what is happening this month...</t>
      </text>
    </comment>
    <comment ref="F25" authorId="1" shapeId="0" xr:uid="{C21F05E7-D4B9-4FDC-B38A-EA6F53B82E1E}">
      <text>
        <t>[Threaded comment]
Your version of Excel allows you to read this threaded comment; however, any edits to it will get removed if the file is opened in a newer version of Excel. Learn more: https://go.microsoft.com/fwlink/?linkid=870924
Comment:
    Kris owe 250</t>
      </text>
    </comment>
    <comment ref="G25" authorId="2" shapeId="0" xr:uid="{4439AC9B-7E6A-451E-972F-779D3F4ED751}">
      <text>
        <t>[Threaded comment]
Your version of Excel allows you to read this threaded comment; however, any edits to it will get removed if the file is opened in a newer version of Excel. Learn more: https://go.microsoft.com/fwlink/?linkid=870924
Comment:
    HTB should be refunded
113 anna</t>
      </text>
    </comment>
    <comment ref="F27" authorId="3" shapeId="0" xr:uid="{A9FF04C6-3DF7-4D4F-9EA4-25E01DD3C6D3}">
      <text>
        <t>[Threaded comment]
Your version of Excel allows you to read this threaded comment; however, any edits to it will get removed if the file is opened in a newer version of Excel. Learn more: https://go.microsoft.com/fwlink/?linkid=870924
Comment:
    12713.75 redemption</t>
      </text>
    </comment>
    <comment ref="O29" authorId="4" shapeId="0" xr:uid="{6FC8B98F-D339-470F-981D-E2DB5A99BD21}">
      <text>
        <t>[Threaded comment]
Your version of Excel allows you to read this threaded comment; however, any edits to it will get removed if the file is opened in a newer version of Excel. Learn more: https://go.microsoft.com/fwlink/?linkid=870924
Comment:
    Around £50 in ikea returns</t>
      </text>
    </comment>
    <comment ref="F31" authorId="5" shapeId="0" xr:uid="{60360BE2-A708-4B99-AD0F-B1D9288E2547}">
      <text>
        <t>[Threaded comment]
Your version of Excel allows you to read this threaded comment; however, any edits to it will get removed if the file is opened in a newer version of Excel. Learn more: https://go.microsoft.com/fwlink/?linkid=870924
Comment:
    568 still owed for drawers</t>
      </text>
    </comment>
  </commentList>
</comments>
</file>

<file path=xl/comments79.xml><?xml version="1.0" encoding="utf-8"?>
<comments xmlns="http://schemas.openxmlformats.org/spreadsheetml/2006/main" xmlns:mc="http://schemas.openxmlformats.org/markup-compatibility/2006" xmlns:xr="http://schemas.microsoft.com/office/spreadsheetml/2014/revision" mc:Ignorable="xr">
  <authors>
    <author>tc={41864A76-12AE-4E2D-944C-0A961D7179B0}</author>
    <author>tc={432DC0FD-7C95-4495-AEAB-025BA0C1D6CB}</author>
    <author>tc={AA6AD0DE-0B15-4A78-9141-17F8B3870FE8}</author>
    <author>tc={9BA74AA3-9278-400A-B63E-DE372ECDD8A3}</author>
    <author>tc={E467D1CD-72C7-4B55-BB68-ADA27DE6A9EC}</author>
    <author>tc={CB782F52-7300-43B0-A449-62FCFEAF37A0}</author>
    <author>tc={F7421EB9-C135-4A12-837F-340D61527E2E}</author>
    <author>tc={924CECDB-AC8D-4274-A21B-93D6DE624CC4}</author>
    <author>tc={5E00728A-6F59-454E-859D-5B85A0F7399C}</author>
    <author>tc={6EF7D4A4-8DCF-48AC-A77B-D73BE7EBA944}</author>
    <author>tc={BE5341F7-D8A3-47FF-826C-A58D0531C339}</author>
    <author>tc={C460C455-8EF3-4843-8444-18500AEB4498}</author>
    <author>tc={E7B25FB8-4F51-4630-8ED5-82D09C286C92}</author>
  </authors>
  <commentList>
    <comment ref="E25" authorId="0" shapeId="0" xr:uid="{41864A76-12AE-4E2D-944C-0A961D7179B0}">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F25" authorId="1" shapeId="0" xr:uid="{432DC0FD-7C95-4495-AEAB-025BA0C1D6CB}">
      <text>
        <t>[Threaded comment]
Your version of Excel allows you to read this threaded comment; however, any edits to it will get removed if the file is opened in a newer version of Excel. Learn more: https://go.microsoft.com/fwlink/?linkid=870924
Comment:
    Kris owe 250</t>
      </text>
    </comment>
    <comment ref="H25" authorId="2" shapeId="0" xr:uid="{AA6AD0DE-0B15-4A78-9141-17F8B3870FE8}">
      <text>
        <t>[Threaded comment]
Your version of Excel allows you to read this threaded comment; however, any edits to it will get removed if the file is opened in a newer version of Excel. Learn more: https://go.microsoft.com/fwlink/?linkid=870924
Comment:
    34.99 MOT</t>
      </text>
    </comment>
    <comment ref="L25" authorId="3" shapeId="0" xr:uid="{9BA74AA3-9278-400A-B63E-DE372ECDD8A3}">
      <text>
        <t>[Threaded comment]
Your version of Excel allows you to read this threaded comment; however, any edits to it will get removed if the file is opened in a newer version of Excel. Learn more: https://go.microsoft.com/fwlink/?linkid=870924
Comment:
    Orlando flights + hotel</t>
      </text>
    </comment>
    <comment ref="N25" authorId="4" shapeId="0" xr:uid="{E467D1CD-72C7-4B55-BB68-ADA27DE6A9EC}">
      <text>
        <t>[Threaded comment]
Your version of Excel allows you to read this threaded comment; however, any edits to it will get removed if the file is opened in a newer version of Excel. Learn more: https://go.microsoft.com/fwlink/?linkid=870924
Comment:
    Gifts</t>
      </text>
    </comment>
    <comment ref="F27" authorId="5" shapeId="0" xr:uid="{CB782F52-7300-43B0-A449-62FCFEAF37A0}">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O28" authorId="6" shapeId="0" xr:uid="{F7421EB9-C135-4A12-837F-340D61527E2E}">
      <text>
        <t>[Threaded comment]
Your version of Excel allows you to read this threaded comment; however, any edits to it will get removed if the file is opened in a newer version of Excel. Learn more: https://go.microsoft.com/fwlink/?linkid=870924
Comment:
    Around £50 in ikea returns</t>
      </text>
    </comment>
    <comment ref="F29" authorId="7" shapeId="0" xr:uid="{924CECDB-AC8D-4274-A21B-93D6DE624CC4}">
      <text>
        <t>[Threaded comment]
Your version of Excel allows you to read this threaded comment; however, any edits to it will get removed if the file is opened in a newer version of Excel. Learn more: https://go.microsoft.com/fwlink/?linkid=870924
Comment:
    568 still owed for drawers</t>
      </text>
    </comment>
    <comment ref="L35" authorId="8" shapeId="0" xr:uid="{5E00728A-6F59-454E-859D-5B85A0F7399C}">
      <text>
        <t>[Threaded comment]
Your version of Excel allows you to read this threaded comment; however, any edits to it will get removed if the file is opened in a newer version of Excel. Learn more: https://go.microsoft.com/fwlink/?linkid=870924
Comment:
    98 lulu</t>
      </text>
    </comment>
    <comment ref="N35" authorId="9" shapeId="0" xr:uid="{6EF7D4A4-8DCF-48AC-A77B-D73BE7EBA944}">
      <text>
        <t>[Threaded comment]
Your version of Excel allows you to read this threaded comment; however, any edits to it will get removed if the file is opened in a newer version of Excel. Learn more: https://go.microsoft.com/fwlink/?linkid=870924
Comment:
    Nails</t>
      </text>
    </comment>
    <comment ref="L36" authorId="10" shapeId="0" xr:uid="{BE5341F7-D8A3-47FF-826C-A58D0531C339}">
      <text>
        <t>[Threaded comment]
Your version of Excel allows you to read this threaded comment; however, any edits to it will get removed if the file is opened in a newer version of Excel. Learn more: https://go.microsoft.com/fwlink/?linkid=870924
Comment:
    30.93 fuel</t>
      </text>
    </comment>
    <comment ref="J45" authorId="11" shapeId="0" xr:uid="{C460C455-8EF3-4843-8444-18500AEB4498}">
      <text>
        <t>[Threaded comment]
Your version of Excel allows you to read this threaded comment; however, any edits to it will get removed if the file is opened in a newer version of Excel. Learn more: https://go.microsoft.com/fwlink/?linkid=870924
Comment:
    Milage cost</t>
      </text>
    </comment>
    <comment ref="K46" authorId="12" shapeId="0" xr:uid="{E7B25FB8-4F51-4630-8ED5-82D09C286C92}">
      <text>
        <t>[Threaded comment]
Your version of Excel allows you to read this threaded comment; however, any edits to it will get removed if the file is opened in a newer version of Excel. Learn more: https://go.microsoft.com/fwlink/?linkid=870924
Comment:
    As mastercard</t>
      </text>
    </comment>
  </commentList>
</comments>
</file>

<file path=xl/comments80.xml><?xml version="1.0" encoding="utf-8"?>
<comments xmlns="http://schemas.openxmlformats.org/spreadsheetml/2006/main" xmlns:mc="http://schemas.openxmlformats.org/markup-compatibility/2006" xmlns:xr="http://schemas.microsoft.com/office/spreadsheetml/2014/revision" mc:Ignorable="xr">
  <authors>
    <author>tc={A5102187-79F0-4E4C-BE12-C89F97DFEE87}</author>
    <author>tc={B2111F1F-495E-4EFE-BBDF-2317135D61E4}</author>
    <author>tc={16A9CA3D-6DE4-4C93-8478-40258D1FC064}</author>
    <author>tc={1AA1FCF4-4225-40C5-AF6D-72EC2B8929F8}</author>
    <author>tc={CA216ABD-CAE6-45ED-9C84-2097BD8F67ED}</author>
    <author>tc={B63F0ADE-92E5-4D76-9FA9-177BE0B6064A}</author>
    <author>tc={1A1C619D-F5BB-4A0F-AD28-2C796896B454}</author>
    <author>tc={7CC21F51-3D6B-4972-ADB8-8C4A88366C58}</author>
  </authors>
  <commentList>
    <comment ref="E25" authorId="0" shapeId="0" xr:uid="{A5102187-79F0-4E4C-BE12-C89F97DFEE87}">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F25" authorId="1" shapeId="0" xr:uid="{B2111F1F-495E-4EFE-BBDF-2317135D61E4}">
      <text>
        <t>[Threaded comment]
Your version of Excel allows you to read this threaded comment; however, any edits to it will get removed if the file is opened in a newer version of Excel. Learn more: https://go.microsoft.com/fwlink/?linkid=870924
Comment:
    Kris owe 250</t>
      </text>
    </comment>
    <comment ref="E27" authorId="2" shapeId="0" xr:uid="{16A9CA3D-6DE4-4C93-8478-40258D1FC064}">
      <text>
        <t>[Threaded comment]
Your version of Excel allows you to read this threaded comment; however, any edits to it will get removed if the file is opened in a newer version of Excel. Learn more: https://go.microsoft.com/fwlink/?linkid=870924
Comment:
    13 months worth of draw-down</t>
      </text>
    </comment>
    <comment ref="F27" authorId="3" shapeId="0" xr:uid="{1AA1FCF4-4225-40C5-AF6D-72EC2B8929F8}">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H27" authorId="4" shapeId="0" xr:uid="{CA216ABD-CAE6-45ED-9C84-2097BD8F67ED}">
      <text>
        <t>[Threaded comment]
Your version of Excel allows you to read this threaded comment; however, any edits to it will get removed if the file is opened in a newer version of Excel. Learn more: https://go.microsoft.com/fwlink/?linkid=870924
Comment:
    Florida</t>
      </text>
    </comment>
    <comment ref="L27" authorId="5" shapeId="0" xr:uid="{B63F0ADE-92E5-4D76-9FA9-177BE0B6064A}">
      <text>
        <t>[Threaded comment]
Your version of Excel allows you to read this threaded comment; however, any edits to it will get removed if the file is opened in a newer version of Excel. Learn more: https://go.microsoft.com/fwlink/?linkid=870924
Comment:
    Veitnam</t>
      </text>
    </comment>
    <comment ref="O28" authorId="6" shapeId="0" xr:uid="{1A1C619D-F5BB-4A0F-AD28-2C796896B454}">
      <text>
        <t>[Threaded comment]
Your version of Excel allows you to read this threaded comment; however, any edits to it will get removed if the file is opened in a newer version of Excel. Learn more: https://go.microsoft.com/fwlink/?linkid=870924
Comment:
    Around £50 in ikea returns</t>
      </text>
    </comment>
    <comment ref="F29" authorId="7" shapeId="0" xr:uid="{7CC21F51-3D6B-4972-ADB8-8C4A88366C58}">
      <text>
        <t>[Threaded comment]
Your version of Excel allows you to read this threaded comment; however, any edits to it will get removed if the file is opened in a newer version of Excel. Learn more: https://go.microsoft.com/fwlink/?linkid=870924
Comment:
    568 still owed for drawers</t>
      </text>
    </comment>
  </commentList>
</comments>
</file>

<file path=xl/comments81.xml><?xml version="1.0" encoding="utf-8"?>
<comments xmlns="http://schemas.openxmlformats.org/spreadsheetml/2006/main" xmlns:mc="http://schemas.openxmlformats.org/markup-compatibility/2006" xmlns:xr="http://schemas.microsoft.com/office/spreadsheetml/2014/revision" mc:Ignorable="xr">
  <authors>
    <author>tc={14E6C4D9-589E-4788-9CEA-BDE809C584F8}</author>
    <author>tc={3DA770A8-447E-4B19-92B8-1C34999F5D41}</author>
    <author>tc={A4F9600B-C8C4-374F-84E6-A154CD6C9933}</author>
    <author>tc={E6025C7F-681F-E845-B70E-E0C66AB2EBF7}</author>
    <author>tc={240B5738-C71F-4349-8A10-849B48BAD4D5}</author>
    <author>tc={5C27E874-AE8D-42B7-B33D-15ABA71D6240}</author>
    <author>tc={78E2044E-86D0-884E-9F09-63EB70D97F39}</author>
    <author>tc={75072134-D87D-4E40-A8A2-303597BE628D}</author>
  </authors>
  <commentList>
    <comment ref="G4" authorId="0" shapeId="0" xr:uid="{14E6C4D9-589E-4788-9CEA-BDE809C584F8}">
      <text>
        <t>[Threaded comment]
Your version of Excel allows you to read this threaded comment; however, any edits to it will get removed if the file is opened in a newer version of Excel. Learn more: https://go.microsoft.com/fwlink/?linkid=870924
Comment:
    With amex refund...</t>
      </text>
    </comment>
    <comment ref="E24" authorId="1" shapeId="0" xr:uid="{3DA770A8-447E-4B19-92B8-1C34999F5D41}">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24" authorId="2" shapeId="0" xr:uid="{A4F9600B-C8C4-374F-84E6-A154CD6C9933}">
      <text>
        <t>[Threaded comment]
Your version of Excel allows you to read this threaded comment; however, any edits to it will get removed if the file is opened in a newer version of Excel. Learn more: https://go.microsoft.com/fwlink/?linkid=870924
Comment:
    293 lamp
204 amazon</t>
      </text>
    </comment>
    <comment ref="L24" authorId="3" shapeId="0" xr:uid="{E6025C7F-681F-E845-B70E-E0C66AB2EBF7}">
      <text>
        <t>[Threaded comment]
Your version of Excel allows you to read this threaded comment; however, any edits to it will get removed if the file is opened in a newer version of Excel. Learn more: https://go.microsoft.com/fwlink/?linkid=870924
Comment:
    320 luna op
98 lulu
136.63 flight
41.52 nashville</t>
      </text>
    </comment>
    <comment ref="E26" authorId="4" shapeId="0" xr:uid="{240B5738-C71F-4349-8A10-849B48BAD4D5}">
      <text>
        <t>[Threaded comment]
Your version of Excel allows you to read this threaded comment; however, any edits to it will get removed if the file is opened in a newer version of Excel. Learn more: https://go.microsoft.com/fwlink/?linkid=870924
Comment:
    13 months worth of draw-down</t>
      </text>
    </comment>
    <comment ref="F26" authorId="5" shapeId="0" xr:uid="{5C27E874-AE8D-42B7-B33D-15ABA71D6240}">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H26" authorId="6" shapeId="0" xr:uid="{78E2044E-86D0-884E-9F09-63EB70D97F39}">
      <text>
        <t>[Threaded comment]
Your version of Excel allows you to read this threaded comment; however, any edits to it will get removed if the file is opened in a newer version of Excel. Learn more: https://go.microsoft.com/fwlink/?linkid=870924
Comment:
    398 - work hotel
Group 51.78 = kris mast</t>
      </text>
    </comment>
    <comment ref="O27" authorId="7" shapeId="0" xr:uid="{75072134-D87D-4E40-A8A2-303597BE628D}">
      <text>
        <t>[Threaded comment]
Your version of Excel allows you to read this threaded comment; however, any edits to it will get removed if the file is opened in a newer version of Excel. Learn more: https://go.microsoft.com/fwlink/?linkid=870924
Comment:
    Around £50 in ikea returns</t>
      </text>
    </comment>
  </commentList>
</comments>
</file>

<file path=xl/comments82.xml><?xml version="1.0" encoding="utf-8"?>
<comments xmlns="http://schemas.openxmlformats.org/spreadsheetml/2006/main" xmlns:mc="http://schemas.openxmlformats.org/markup-compatibility/2006" xmlns:xr="http://schemas.microsoft.com/office/spreadsheetml/2014/revision" mc:Ignorable="xr">
  <authors>
    <author>tc={A340549E-D8BB-514E-8D0D-A4572A2DF6A8}</author>
    <author>tc={9AB408A2-1836-4948-AE0B-FE9D0906C621}</author>
    <author>tc={656D995E-124F-064B-9562-93F0206A9E09}</author>
    <author>tc={04CEB012-4573-7148-AEED-2C6A68317986}</author>
    <author>tc={0342FFAE-F01D-1C4B-83DF-FF09F7050ADB}</author>
    <author>tc={61D501E0-58CF-B848-9F5B-CFE5A19966FA}</author>
    <author>tc={55C18DFC-CEFA-4947-B1E0-7F7CADEA3DBF}</author>
    <author>tc={10FAFADB-5F1E-364A-8AD7-921553B6BDDC}</author>
    <author>tc={3F4433E0-DAF7-6D49-9C23-50C9D47BF370}</author>
  </authors>
  <commentList>
    <comment ref="G4" authorId="0" shapeId="0" xr:uid="{A340549E-D8BB-514E-8D0D-A4572A2DF6A8}">
      <text>
        <t>[Threaded comment]
Your version of Excel allows you to read this threaded comment; however, any edits to it will get removed if the file is opened in a newer version of Excel. Learn more: https://go.microsoft.com/fwlink/?linkid=870924
Comment:
    With amex refund...</t>
      </text>
    </comment>
    <comment ref="E24" authorId="1" shapeId="0" xr:uid="{9AB408A2-1836-4948-AE0B-FE9D0906C621}">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E25" authorId="2" shapeId="0" xr:uid="{656D995E-124F-064B-9562-93F0206A9E09}">
      <text>
        <t>[Threaded comment]
Your version of Excel allows you to read this threaded comment; however, any edits to it will get removed if the file is opened in a newer version of Excel. Learn more: https://go.microsoft.com/fwlink/?linkid=870924
Comment:
    456.79 = amex fuck around… hold on for now
182.57 legit
81.07 interest</t>
      </text>
    </comment>
    <comment ref="F25" authorId="3" shapeId="0" xr:uid="{04CEB012-4573-7148-AEED-2C6A68317986}">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H27" authorId="4" shapeId="0" xr:uid="{0342FFAE-F01D-1C4B-83DF-FF09F7050ADB}">
      <text>
        <t>[Threaded comment]
Your version of Excel allows you to read this threaded comment; however, any edits to it will get removed if the file is opened in a newer version of Excel. Learn more: https://go.microsoft.com/fwlink/?linkid=870924
Comment:
    Car advertising</t>
      </text>
    </comment>
    <comment ref="L27" authorId="5" shapeId="0" xr:uid="{61D501E0-58CF-B848-9F5B-CFE5A19966FA}">
      <text>
        <t>[Threaded comment]
Your version of Excel allows you to read this threaded comment; however, any edits to it will get removed if the file is opened in a newer version of Excel. Learn more: https://go.microsoft.com/fwlink/?linkid=870924
Comment:
    54 Balance</t>
      </text>
    </comment>
    <comment ref="K36" authorId="6" shapeId="0" xr:uid="{55C18DFC-CEFA-4947-B1E0-7F7CADEA3DBF}">
      <text>
        <t>[Threaded comment]
Your version of Excel allows you to read this threaded comment; however, any edits to it will get removed if the file is opened in a newer version of Excel. Learn more: https://go.microsoft.com/fwlink/?linkid=870924
Comment:
    pizza</t>
      </text>
    </comment>
    <comment ref="L36" authorId="7" shapeId="0" xr:uid="{10FAFADB-5F1E-364A-8AD7-921553B6BDDC}">
      <text>
        <t>[Threaded comment]
Your version of Excel allows you to read this threaded comment; however, any edits to it will get removed if the file is opened in a newer version of Excel. Learn more: https://go.microsoft.com/fwlink/?linkid=870924
Comment:
    Meal out</t>
      </text>
    </comment>
    <comment ref="K55" authorId="8" shapeId="0" xr:uid="{3F4433E0-DAF7-6D49-9C23-50C9D47BF370}">
      <text>
        <t>[Threaded comment]
Your version of Excel allows you to read this threaded comment; however, any edits to it will get removed if the file is opened in a newer version of Excel. Learn more: https://go.microsoft.com/fwlink/?linkid=870924
Comment:
    will be expensed</t>
      </text>
    </comment>
  </commentList>
</comments>
</file>

<file path=xl/comments83.xml><?xml version="1.0" encoding="utf-8"?>
<comments xmlns="http://schemas.openxmlformats.org/spreadsheetml/2006/main" xmlns:mc="http://schemas.openxmlformats.org/markup-compatibility/2006" xmlns:xr="http://schemas.microsoft.com/office/spreadsheetml/2014/revision" mc:Ignorable="xr">
  <authors>
    <author>tc={22213D82-499F-7B47-96D1-B114021943FC}</author>
    <author>tc={24DD6A2A-1522-1640-81FE-49F455E12684}</author>
    <author>tc={7321515D-5C11-F04B-BA8C-25FEA3FECD4E}</author>
    <author>tc={DBB88645-2AF1-1040-830F-92BFD1506A1A}</author>
    <author>tc={3BB7D1E0-2692-7541-B7C0-941203A4E50D}</author>
    <author>tc={F80954F9-0A89-7C45-8A21-D8C38F6010E1}</author>
  </authors>
  <commentList>
    <comment ref="E24" authorId="0" shapeId="0" xr:uid="{22213D82-499F-7B47-96D1-B114021943FC}">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E25" authorId="1" shapeId="0" xr:uid="{24DD6A2A-1522-1640-81FE-49F455E12684}">
      <text>
        <t>[Threaded comment]
Your version of Excel allows you to read this threaded comment; however, any edits to it will get removed if the file is opened in a newer version of Excel. Learn more: https://go.microsoft.com/fwlink/?linkid=870924
Comment:
    456.79 = amex fuck around… hold on for now
182.57 legit
81.07 interest</t>
      </text>
    </comment>
    <comment ref="F25" authorId="2" shapeId="0" xr:uid="{7321515D-5C11-F04B-BA8C-25FEA3FECD4E}">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J25" authorId="3" shapeId="0" xr:uid="{DBB88645-2AF1-1040-830F-92BFD1506A1A}">
      <text>
        <t>[Threaded comment]
Your version of Excel allows you to read this threaded comment; however, any edits to it will get removed if the file is opened in a newer version of Excel. Learn more: https://go.microsoft.com/fwlink/?linkid=870924
Comment:
    530 - K necklace</t>
      </text>
    </comment>
    <comment ref="J30" authorId="4" shapeId="0" xr:uid="{3BB7D1E0-2692-7541-B7C0-941203A4E50D}">
      <text>
        <t>[Threaded comment]
Your version of Excel allows you to read this threaded comment; however, any edits to it will get removed if the file is opened in a newer version of Excel. Learn more: https://go.microsoft.com/fwlink/?linkid=870924
Comment:
    Balance</t>
      </text>
    </comment>
    <comment ref="G39" authorId="5" shapeId="0" xr:uid="{F80954F9-0A89-7C45-8A21-D8C38F6010E1}">
      <text>
        <t>[Threaded comment]
Your version of Excel allows you to read this threaded comment; however, any edits to it will get removed if the file is opened in a newer version of Excel. Learn more: https://go.microsoft.com/fwlink/?linkid=870924
Comment:
    +145 cash
+450 expenses</t>
      </text>
    </comment>
  </commentList>
</comments>
</file>

<file path=xl/comments84.xml><?xml version="1.0" encoding="utf-8"?>
<comments xmlns="http://schemas.openxmlformats.org/spreadsheetml/2006/main" xmlns:mc="http://schemas.openxmlformats.org/markup-compatibility/2006" xmlns:xr="http://schemas.microsoft.com/office/spreadsheetml/2014/revision" mc:Ignorable="xr">
  <authors>
    <author>tc={F0FCBE6D-14DD-7548-AE25-37FC291FC6DE}</author>
    <author>tc={FEB3C9C6-C4E3-164A-97E0-821EBD7E0902}</author>
    <author>tc={2BB20ADA-16B9-4842-B320-DF61E1AF67D3}</author>
    <author>tc={BF39362C-608F-6E42-851A-48AEBCA9A6A9}</author>
    <author>tc={FFDA2E97-0C5B-0047-9B99-5E804D2B3395}</author>
    <author>tc={2F35F593-AD5A-184F-9962-B8BA199A95B4}</author>
    <author>tc={328B2617-3D6A-6E44-970F-5D6895BCBF24}</author>
  </authors>
  <commentList>
    <comment ref="G4" authorId="0" shapeId="0" xr:uid="{F0FCBE6D-14DD-7548-AE25-37FC291FC6DE}">
      <text>
        <t>[Threaded comment]
Your version of Excel allows you to read this threaded comment; however, any edits to it will get removed if the file is opened in a newer version of Excel. Learn more: https://go.microsoft.com/fwlink/?linkid=870924
Comment:
    With amex refund...</t>
      </text>
    </comment>
    <comment ref="E26" authorId="1" shapeId="0" xr:uid="{FEB3C9C6-C4E3-164A-97E0-821EBD7E0902}">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E28" authorId="2" shapeId="0" xr:uid="{2BB20ADA-16B9-4842-B320-DF61E1AF67D3}">
      <text>
        <t>[Threaded comment]
Your version of Excel allows you to read this threaded comment; however, any edits to it will get removed if the file is opened in a newer version of Excel. Learn more: https://go.microsoft.com/fwlink/?linkid=870924
Comment:
    456.79 = amex fuck around… hold on for now
182.57 legit
81.07 interest</t>
      </text>
    </comment>
    <comment ref="F28" authorId="3" shapeId="0" xr:uid="{BF39362C-608F-6E42-851A-48AEBCA9A6A9}">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H33" authorId="4" shapeId="0" xr:uid="{FFDA2E97-0C5B-0047-9B99-5E804D2B3395}">
      <text>
        <t>[Threaded comment]
Your version of Excel allows you to read this threaded comment; however, any edits to it will get removed if the file is opened in a newer version of Excel. Learn more: https://go.microsoft.com/fwlink/?linkid=870924
Comment:
    17 = visa
684 = tickets
100 = hotel</t>
      </text>
    </comment>
    <comment ref="H35" authorId="5" shapeId="0" xr:uid="{2F35F593-AD5A-184F-9962-B8BA199A95B4}">
      <text>
        <t>[Threaded comment]
Your version of Excel allows you to read this threaded comment; however, any edits to it will get removed if the file is opened in a newer version of Excel. Learn more: https://go.microsoft.com/fwlink/?linkid=870924
Comment:
    301 = cruise
148 = internal flights
108 = internal flights</t>
      </text>
    </comment>
    <comment ref="H36" authorId="6" shapeId="0" xr:uid="{328B2617-3D6A-6E44-970F-5D6895BCBF24}">
      <text>
        <t>[Threaded comment]
Your version of Excel allows you to read this threaded comment; however, any edits to it will get removed if the file is opened in a newer version of Excel. Learn more: https://go.microsoft.com/fwlink/?linkid=870924
Comment:
    299 - facemask</t>
      </text>
    </comment>
  </commentList>
</comments>
</file>

<file path=xl/comments85.xml><?xml version="1.0" encoding="utf-8"?>
<comments xmlns="http://schemas.openxmlformats.org/spreadsheetml/2006/main" xmlns:mc="http://schemas.openxmlformats.org/markup-compatibility/2006" xmlns:xr="http://schemas.microsoft.com/office/spreadsheetml/2014/revision" mc:Ignorable="xr">
  <authors>
    <author>tc={D07BDD62-649F-6744-9114-17F1182E325F}</author>
    <author>tc={57BDE9BC-43BC-044A-A585-F175C066FE91}</author>
    <author>tc={2AB3D3BC-8CF0-134E-995E-A1B3BA3E6C8F}</author>
    <author>tc={937E17E4-0488-6044-BCCE-E43A45CF958A}</author>
  </authors>
  <commentList>
    <comment ref="H9" authorId="0" shapeId="0" xr:uid="{D07BDD62-649F-6744-9114-17F1182E325F}">
      <text>
        <t>[Threaded comment]
Your version of Excel allows you to read this threaded comment; however, any edits to it will get removed if the file is opened in a newer version of Excel. Learn more: https://go.microsoft.com/fwlink/?linkid=870924
Comment:
    10.32 bedding</t>
      </text>
    </comment>
    <comment ref="E27" authorId="1" shapeId="0" xr:uid="{57BDE9BC-43BC-044A-A585-F175C066FE91}">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E29" authorId="2" shapeId="0" xr:uid="{2AB3D3BC-8CF0-134E-995E-A1B3BA3E6C8F}">
      <text>
        <t>[Threaded comment]
Your version of Excel allows you to read this threaded comment; however, any edits to it will get removed if the file is opened in a newer version of Excel. Learn more: https://go.microsoft.com/fwlink/?linkid=870924
Comment:
    456.79 = amex fuck around… hold on for now
182.57 legit
81.07 interest</t>
      </text>
    </comment>
    <comment ref="F29" authorId="3" shapeId="0" xr:uid="{937E17E4-0488-6044-BCCE-E43A45CF958A}">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List>
</comments>
</file>

<file path=xl/comments86.xml><?xml version="1.0" encoding="utf-8"?>
<comments xmlns="http://schemas.openxmlformats.org/spreadsheetml/2006/main" xmlns:mc="http://schemas.openxmlformats.org/markup-compatibility/2006" xmlns:xr="http://schemas.microsoft.com/office/spreadsheetml/2014/revision" mc:Ignorable="xr">
  <authors>
    <author>tc={7A83893A-A615-E64F-B7C4-1012D4690B89}</author>
    <author>tc={3264CD94-E02C-4B3C-BCD9-24B02086E1F5}</author>
    <author>tc={B0215381-BB26-45AA-8A4F-9C216F562352}</author>
    <author>tc={A4CBE146-2F04-4277-A54D-B469708FB15A}</author>
    <author>tc={611D1971-6E01-8C49-A6D1-ECE280F4079F}</author>
    <author>tc={124073C1-5642-1146-B93E-75F77C346A68}</author>
    <author>tc={D37A0DF0-0C95-C147-9C9E-B5A39940B13D}</author>
    <author>tc={59646CCA-83C8-8A4F-9B18-4ED8699D3464}</author>
    <author>tc={E15D4A0C-8573-384F-BE17-76997821B73F}</author>
    <author>tc={0666798E-0FA3-4545-A783-C3D6F6197D19}</author>
    <author>tc={A29E1851-2786-2745-AF8D-EA28F8B2FA58}</author>
    <author>tc={CC965274-49C6-0141-93E2-2C97F39D302C}</author>
    <author>tc={730E62F2-007B-8548-9881-BAC26F3C1D80}</author>
    <author>tc={064B7D55-A759-1E4F-A998-93F78DA87464}</author>
  </authors>
  <commentList>
    <comment ref="H7" authorId="0" shapeId="0" xr:uid="{7A83893A-A615-E64F-B7C4-1012D4690B89}">
      <text>
        <t>[Threaded comment]
Your version of Excel allows you to read this threaded comment; however, any edits to it will get removed if the file is opened in a newer version of Excel. Learn more: https://go.microsoft.com/fwlink/?linkid=870924
Comment:
    tesco</t>
      </text>
    </comment>
    <comment ref="E27" authorId="1" shapeId="0" xr:uid="{3264CD94-E02C-4B3C-BCD9-24B02086E1F5}">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E29" authorId="2" shapeId="0" xr:uid="{B0215381-BB26-45AA-8A4F-9C216F562352}">
      <text>
        <t>[Threaded comment]
Your version of Excel allows you to read this threaded comment; however, any edits to it will get removed if the file is opened in a newer version of Excel. Learn more: https://go.microsoft.com/fwlink/?linkid=870924
Comment:
    456.79 = amex fuck around… hold on for now
182.57 legit
81.07 interest</t>
      </text>
    </comment>
    <comment ref="F29" authorId="3" shapeId="0" xr:uid="{A4CBE146-2F04-4277-A54D-B469708FB15A}">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H32" authorId="4" shapeId="0" xr:uid="{611D1971-6E01-8C49-A6D1-ECE280F4079F}">
      <text>
        <t>[Threaded comment]
Your version of Excel allows you to read this threaded comment; however, any edits to it will get removed if the file is opened in a newer version of Excel. Learn more: https://go.microsoft.com/fwlink/?linkid=870924
Comment:
    Medicine
New doorbell
New mop bucket
New toothbrush heads</t>
      </text>
    </comment>
    <comment ref="J32" authorId="5" shapeId="0" xr:uid="{124073C1-5642-1146-B93E-75F77C346A68}">
      <text>
        <t>[Threaded comment]
Your version of Excel allows you to read this threaded comment; however, any edits to it will get removed if the file is opened in a newer version of Excel. Learn more: https://go.microsoft.com/fwlink/?linkid=870924
Comment:
    27 Spray gun
28.07 balance</t>
      </text>
    </comment>
    <comment ref="F35" authorId="6" shapeId="0" xr:uid="{D37A0DF0-0C95-C147-9C9E-B5A39940B13D}">
      <text>
        <t>[Threaded comment]
Your version of Excel allows you to read this threaded comment; however, any edits to it will get removed if the file is opened in a newer version of Excel. Learn more: https://go.microsoft.com/fwlink/?linkid=870924
Comment:
    +200 from food budget - using asda vouchers
+50 - kris borrowed cash</t>
      </text>
    </comment>
    <comment ref="G35" authorId="7" shapeId="0" xr:uid="{59646CCA-83C8-8A4F-9B18-4ED8699D3464}">
      <text>
        <t>[Threaded comment]
Your version of Excel allows you to read this threaded comment; however, any edits to it will get removed if the file is opened in a newer version of Excel. Learn more: https://go.microsoft.com/fwlink/?linkid=870924
Comment:
    luna stay @ su</t>
      </text>
    </comment>
    <comment ref="J35" authorId="8" shapeId="0" xr:uid="{E15D4A0C-8573-384F-BE17-76997821B73F}">
      <text>
        <t>[Threaded comment]
Your version of Excel allows you to read this threaded comment; however, any edits to it will get removed if the file is opened in a newer version of Excel. Learn more: https://go.microsoft.com/fwlink/?linkid=870924
Comment:
    Passport</t>
      </text>
    </comment>
    <comment ref="H36" authorId="9" shapeId="0" xr:uid="{0666798E-0FA3-4545-A783-C3D6F6197D19}">
      <text>
        <t>[Threaded comment]
Your version of Excel allows you to read this threaded comment; however, any edits to it will get removed if the file is opened in a newer version of Excel. Learn more: https://go.microsoft.com/fwlink/?linkid=870924
Comment:
    mylahores
trainers</t>
      </text>
    </comment>
    <comment ref="J36" authorId="10" shapeId="0" xr:uid="{A29E1851-2786-2745-AF8D-EA28F8B2FA58}">
      <text>
        <t>[Threaded comment]
Your version of Excel allows you to read this threaded comment; however, any edits to it will get removed if the file is opened in a newer version of Excel. Learn more: https://go.microsoft.com/fwlink/?linkid=870924
Comment:
    lulu mothers day</t>
      </text>
    </comment>
    <comment ref="J40" authorId="11" shapeId="0" xr:uid="{CC965274-49C6-0141-93E2-2C97F39D302C}">
      <text>
        <t>[Threaded comment]
Your version of Excel allows you to read this threaded comment; however, any edits to it will get removed if the file is opened in a newer version of Excel. Learn more: https://go.microsoft.com/fwlink/?linkid=870924
Comment:
    77.15 tesco easter</t>
      </text>
    </comment>
    <comment ref="H41" authorId="12" shapeId="0" xr:uid="{730E62F2-007B-8548-9881-BAC26F3C1D80}">
      <text>
        <t>[Threaded comment]
Your version of Excel allows you to read this threaded comment; however, any edits to it will get removed if the file is opened in a newer version of Excel. Learn more: https://go.microsoft.com/fwlink/?linkid=870924
Comment:
    luna bed</t>
      </text>
    </comment>
    <comment ref="J41" authorId="13" shapeId="0" xr:uid="{064B7D55-A759-1E4F-A998-93F78DA87464}">
      <text>
        <t>[Threaded comment]
Your version of Excel allows you to read this threaded comment; however, any edits to it will get removed if the file is opened in a newer version of Excel. Learn more: https://go.microsoft.com/fwlink/?linkid=870924
Comment:
    45.5 theatre</t>
      </text>
    </comment>
  </commentList>
</comments>
</file>

<file path=xl/comments87.xml><?xml version="1.0" encoding="utf-8"?>
<comments xmlns="http://schemas.openxmlformats.org/spreadsheetml/2006/main" xmlns:mc="http://schemas.openxmlformats.org/markup-compatibility/2006" xmlns:xr="http://schemas.microsoft.com/office/spreadsheetml/2014/revision" mc:Ignorable="xr">
  <authors>
    <author>tc={3C78B136-2455-074B-AA97-31022A41F777}</author>
    <author>tc={B15B7530-74C6-554E-820A-C3A55D172588}</author>
    <author>tc={EDC8A3A8-6109-1149-811F-769CB3DD2CE3}</author>
    <author>tc={5D69909D-BCEB-6A4D-A9B2-E32C9819A7BD}</author>
    <author>tc={55D3020A-2716-6447-9C9E-DB14A06A9350}</author>
    <author>tc={2AEDE0E3-9F15-4D34-9A13-8DF980D0A262}</author>
    <author>tc={38B248E4-2B6E-2943-AA99-45E57026BF6B}</author>
    <author>tc={7B28DA20-9FFE-074D-8A1A-8A152267DEA0}</author>
    <author>tc={4F6534A9-0000-1B42-9AE3-4185DE86DA66}</author>
    <author>tc={38DF2AE7-19FB-C041-88E4-11AF8E9D453F}</author>
    <author>tc={0015A0F1-AB71-1146-AC53-3352F905B6E2}</author>
    <author>tc={DC8C7151-9C78-3643-AF3D-0E2E381CC9C8}</author>
    <author>tc={4CDC5933-A40A-F541-85E8-3FACF975516A}</author>
    <author>tc={02B08D1A-A6AE-774D-BB7D-1FC4184F0C74}</author>
    <author>tc={6ED04D46-FD24-944D-AF15-90C2AFA67605}</author>
  </authors>
  <commentList>
    <comment ref="F12" authorId="0" shapeId="0" xr:uid="{3C78B136-2455-074B-AA97-31022A41F777}">
      <text>
        <t>[Threaded comment]
Your version of Excel allows you to read this threaded comment; however, any edits to it will get removed if the file is opened in a newer version of Excel. Learn more: https://go.microsoft.com/fwlink/?linkid=870924
Comment:
    5% increase</t>
      </text>
    </comment>
    <comment ref="F13" authorId="1" shapeId="0" xr:uid="{B15B7530-74C6-554E-820A-C3A55D172588}">
      <text>
        <t>[Threaded comment]
Your version of Excel allows you to read this threaded comment; however, any edits to it will get removed if the file is opened in a newer version of Excel. Learn more: https://go.microsoft.com/fwlink/?linkid=870924
Comment:
    water 40% increase</t>
      </text>
    </comment>
    <comment ref="F14" authorId="2" shapeId="0" xr:uid="{EDC8A3A8-6109-1149-811F-769CB3DD2CE3}">
      <text>
        <t>[Threaded comment]
Your version of Excel allows you to read this threaded comment; however, any edits to it will get removed if the file is opened in a newer version of Excel. Learn more: https://go.microsoft.com/fwlink/?linkid=870924
Comment:
    60% increase</t>
      </text>
    </comment>
    <comment ref="F17" authorId="3" shapeId="0" xr:uid="{5D69909D-BCEB-6A4D-A9B2-E32C9819A7BD}">
      <text>
        <t>[Threaded comment]
Your version of Excel allows you to read this threaded comment; however, any edits to it will get removed if the file is opened in a newer version of Excel. Learn more: https://go.microsoft.com/fwlink/?linkid=870924
Comment:
    7.9% increase</t>
      </text>
    </comment>
    <comment ref="F19" authorId="4" shapeId="0" xr:uid="{55D3020A-2716-6447-9C9E-DB14A06A9350}">
      <text>
        <t>[Threaded comment]
Your version of Excel allows you to read this threaded comment; however, any edits to it will get removed if the file is opened in a newer version of Excel. Learn more: https://go.microsoft.com/fwlink/?linkid=870924
Comment:
    7.9% increase</t>
      </text>
    </comment>
    <comment ref="F23" authorId="5" shapeId="0" xr:uid="{2AEDE0E3-9F15-4D34-9A13-8DF980D0A262}">
      <text>
        <t>[Threaded comment]
Your version of Excel allows you to read this threaded comment; however, any edits to it will get removed if the file is opened in a newer version of Excel. Learn more: https://go.microsoft.com/fwlink/?linkid=870924
Comment:
    22.49 = supplements</t>
      </text>
    </comment>
    <comment ref="E28" authorId="6" shapeId="0" xr:uid="{38B248E4-2B6E-2943-AA99-45E57026BF6B}">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E30" authorId="7" shapeId="0" xr:uid="{7B28DA20-9FFE-074D-8A1A-8A152267DEA0}">
      <text>
        <t>[Threaded comment]
Your version of Excel allows you to read this threaded comment; however, any edits to it will get removed if the file is opened in a newer version of Excel. Learn more: https://go.microsoft.com/fwlink/?linkid=870924
Comment:
    456.79 = amex fuck around… hold on for now
182.57 legit
81.07 interest</t>
      </text>
    </comment>
    <comment ref="F30" authorId="8" shapeId="0" xr:uid="{4F6534A9-0000-1B42-9AE3-4185DE86DA66}">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G33" authorId="9" shapeId="0" xr:uid="{38DF2AE7-19FB-C041-88E4-11AF8E9D453F}">
      <text>
        <t>[Threaded comment]
Your version of Excel allows you to read this threaded comment; however, any edits to it will get removed if the file is opened in a newer version of Excel. Learn more: https://go.microsoft.com/fwlink/?linkid=870924
Comment:
    dog medicine</t>
      </text>
    </comment>
    <comment ref="J33" authorId="10" shapeId="0" xr:uid="{0015A0F1-AB71-1146-AC53-3352F905B6E2}">
      <text>
        <t>[Threaded comment]
Your version of Excel allows you to read this threaded comment; however, any edits to it will get removed if the file is opened in a newer version of Excel. Learn more: https://go.microsoft.com/fwlink/?linkid=870924
Comment:
    driving fine
lipoma</t>
      </text>
    </comment>
    <comment ref="F36" authorId="11" shapeId="0" xr:uid="{DC8C7151-9C78-3643-AF3D-0E2E381CC9C8}">
      <text>
        <t>[Threaded comment]
Your version of Excel allows you to read this threaded comment; however, any edits to it will get removed if the file is opened in a newer version of Excel. Learn more: https://go.microsoft.com/fwlink/?linkid=870924
Comment:
    +200 from food budget - using asda vouchers
+50 - kris borrowed cash</t>
      </text>
    </comment>
    <comment ref="H37" authorId="12" shapeId="0" xr:uid="{4CDC5933-A40A-F541-85E8-3FACF975516A}">
      <text>
        <t>[Threaded comment]
Your version of Excel allows you to read this threaded comment; however, any edits to it will get removed if the file is opened in a newer version of Excel. Learn more: https://go.microsoft.com/fwlink/?linkid=870924
Comment:
    Inesa leggings</t>
      </text>
    </comment>
    <comment ref="J37" authorId="13" shapeId="0" xr:uid="{02B08D1A-A6AE-774D-BB7D-1FC4184F0C74}">
      <text>
        <t>[Threaded comment]
Your version of Excel allows you to read this threaded comment; however, any edits to it will get removed if the file is opened in a newer version of Excel. Learn more: https://go.microsoft.com/fwlink/?linkid=870924
Comment:
    legally blonde
pretty woman
hawthorn</t>
      </text>
    </comment>
    <comment ref="H42" authorId="14" shapeId="0" xr:uid="{6ED04D46-FD24-944D-AF15-90C2AFA67605}">
      <text>
        <t>[Threaded comment]
Your version of Excel allows you to read this threaded comment; however, any edits to it will get removed if the file is opened in a newer version of Excel. Learn more: https://go.microsoft.com/fwlink/?linkid=870924
Comment:
    ctm?</t>
      </text>
    </comment>
  </commentList>
</comments>
</file>

<file path=xl/comments88.xml><?xml version="1.0" encoding="utf-8"?>
<comments xmlns="http://schemas.openxmlformats.org/spreadsheetml/2006/main" xmlns:mc="http://schemas.openxmlformats.org/markup-compatibility/2006" xmlns:xr="http://schemas.microsoft.com/office/spreadsheetml/2014/revision" mc:Ignorable="xr">
  <authors>
    <author>tc={7C84684E-F4E7-45D7-8329-23DD3C57C15C}</author>
    <author>tc={3E4A585B-9D79-488F-A35F-67512DAE5980}</author>
    <author>tc={4F4EF1B6-D48D-4A72-8159-28D820472C4D}</author>
    <author>tc={C42E0471-F575-47F2-8E2C-1BC7EA7EB617}</author>
    <author>tc={6422A6F3-9B02-4D47-940E-E09E1F3034D0}</author>
    <author>tc={0BB66A62-8FEB-4880-B60A-65ABE940A728}</author>
    <author>tc={D72DBF3F-9C8A-4D07-BA14-13BFC2DFF3A5}</author>
    <author>tc={3D5FBA3D-4E2B-437F-8347-EA3C65E85011}</author>
    <author>tc={364BC24A-8F5F-4FEB-BC3A-41A517FBB4EB}</author>
    <author>tc={D8B46695-2911-4D93-A5C8-A7F4FCB406F5}</author>
    <author>tc={8518C18E-C7A8-4AC7-B16E-C3021EEA3763}</author>
    <author>tc={802E9EE1-A906-4565-B704-366A5830CE4A}</author>
    <author>tc={BB1B5B5A-F4EA-4781-8B44-AE1E42BD607A}</author>
    <author>tc={3FDAFFFF-2B39-4431-B2F4-A73DF34E8F61}</author>
    <author>tc={26DC3C3B-AD4A-4961-BEA5-FD1E0F19BCD2}</author>
  </authors>
  <commentList>
    <comment ref="H6" authorId="0" shapeId="0" xr:uid="{7C84684E-F4E7-45D7-8329-23DD3C57C15C}">
      <text>
        <t>[Threaded comment]
Your version of Excel allows you to read this threaded comment; however, any edits to it will get removed if the file is opened in a newer version of Excel. Learn more: https://go.microsoft.com/fwlink/?linkid=870924
Comment:
    30.36 = matt airport fuel</t>
      </text>
    </comment>
    <comment ref="F23" authorId="1" shapeId="0" xr:uid="{3E4A585B-9D79-488F-A35F-67512DAE5980}">
      <text>
        <t>[Threaded comment]
Your version of Excel allows you to read this threaded comment; however, any edits to it will get removed if the file is opened in a newer version of Excel. Learn more: https://go.microsoft.com/fwlink/?linkid=870924
Comment:
    22.49 = supplements</t>
      </text>
    </comment>
    <comment ref="E28" authorId="2" shapeId="0" xr:uid="{4F4EF1B6-D48D-4A72-8159-28D820472C4D}">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E30" authorId="3" shapeId="0" xr:uid="{C42E0471-F575-47F2-8E2C-1BC7EA7EB617}">
      <text>
        <t>[Threaded comment]
Your version of Excel allows you to read this threaded comment; however, any edits to it will get removed if the file is opened in a newer version of Excel. Learn more: https://go.microsoft.com/fwlink/?linkid=870924
Comment:
    456.79 = amex fuck around… hold on for now
182.57 legit
81.07 interest</t>
      </text>
    </comment>
    <comment ref="F30" authorId="4" shapeId="0" xr:uid="{6422A6F3-9B02-4D47-940E-E09E1F3034D0}">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H33" authorId="5" shapeId="0" xr:uid="{0BB66A62-8FEB-4880-B60A-65ABE940A728}">
      <text>
        <t>[Threaded comment]
Your version of Excel allows you to read this threaded comment; however, any edits to it will get removed if the file is opened in a newer version of Excel. Learn more: https://go.microsoft.com/fwlink/?linkid=870924
Comment:
    29.99 = baby gate
46.94 = balance</t>
      </text>
    </comment>
    <comment ref="J33" authorId="6" shapeId="0" xr:uid="{D72DBF3F-9C8A-4D07-BA14-13BFC2DFF3A5}">
      <text>
        <t>[Threaded comment]
Your version of Excel allows you to read this threaded comment; however, any edits to it will get removed if the file is opened in a newer version of Excel. Learn more: https://go.microsoft.com/fwlink/?linkid=870924
Comment:
    Lipoma</t>
      </text>
    </comment>
    <comment ref="G37" authorId="7" shapeId="0" xr:uid="{3D5FBA3D-4E2B-437F-8347-EA3C65E85011}">
      <text>
        <t>[Threaded comment]
Your version of Excel allows you to read this threaded comment; however, any edits to it will get removed if the file is opened in a newer version of Excel. Learn more: https://go.microsoft.com/fwlink/?linkid=870924
Comment:
    Hanging baskets</t>
      </text>
    </comment>
    <comment ref="H37" authorId="8" shapeId="0" xr:uid="{364BC24A-8F5F-4FEB-BC3A-41A517FBB4EB}">
      <text>
        <t>[Threaded comment]
Your version of Excel allows you to read this threaded comment; however, any edits to it will get removed if the file is opened in a newer version of Excel. Learn more: https://go.microsoft.com/fwlink/?linkid=870924
Comment:
    130 - latvia transfer</t>
      </text>
    </comment>
    <comment ref="G41" authorId="9" shapeId="0" xr:uid="{D8B46695-2911-4D93-A5C8-A7F4FCB406F5}">
      <text>
        <t>[Threaded comment]
Your version of Excel allows you to read this threaded comment; however, any edits to it will get removed if the file is opened in a newer version of Excel. Learn more: https://go.microsoft.com/fwlink/?linkid=870924
Comment:
    Pizza</t>
      </text>
    </comment>
    <comment ref="H41" authorId="10" shapeId="0" xr:uid="{8518C18E-C7A8-4AC7-B16E-C3021EEA3763}">
      <text>
        <t>[Threaded comment]
Your version of Excel allows you to read this threaded comment; however, any edits to it will get removed if the file is opened in a newer version of Excel. Learn more: https://go.microsoft.com/fwlink/?linkid=870924
Comment:
    Sushi
42.47 = walmart
26.58 = aardwolf</t>
      </text>
    </comment>
    <comment ref="H42" authorId="11" shapeId="0" xr:uid="{802E9EE1-A906-4565-B704-366A5830CE4A}">
      <text>
        <t>[Threaded comment]
Your version of Excel allows you to read this threaded comment; however, any edits to it will get removed if the file is opened in a newer version of Excel. Learn more: https://go.microsoft.com/fwlink/?linkid=870924
Comment:
    10 = Phone
18.13 = plane wifi
57.71 = V's
36.83 = V's (maybe drinks?)
101.01 = V's
36.24 = V's (maybe drinks?)
78.19 = V's
107.72 = Hoptinger
10.6 = V's
121.15 = BB's
49.33 = Fuel
623.42 = Car hire
829.58 = Hotel</t>
      </text>
    </comment>
    <comment ref="J42" authorId="12" shapeId="0" xr:uid="{BB1B5B5A-F4EA-4781-8B44-AE1E42BD607A}">
      <text>
        <t>[Threaded comment]
Your version of Excel allows you to read this threaded comment; however, any edits to it will get removed if the file is opened in a newer version of Excel. Learn more: https://go.microsoft.com/fwlink/?linkid=870924
Comment:
    Man breakfast</t>
      </text>
    </comment>
    <comment ref="H43" authorId="13" shapeId="0" xr:uid="{3FDAFFFF-2B39-4431-B2F4-A73DF34E8F61}">
      <text>
        <t>[Threaded comment]
Your version of Excel allows you to read this threaded comment; however, any edits to it will get removed if the file is opened in a newer version of Excel. Learn more: https://go.microsoft.com/fwlink/?linkid=870924
Comment:
    59 = lulu rollover (transferred)
46.8 = kiehls
59.98 = zara (returned)
138.45 = asos (transferred 90, 50 from returns)
24.92 = stylevana (transferred)
111.4 = asos (60 transferred, 50 was jeans)
71.98 = zara (still owed)
29.24 = lookfantastic (still owed)
70.96 = (recoup from expensing coco)
167 = zara (80 owed, 80 from refunds)</t>
      </text>
    </comment>
    <comment ref="E78" authorId="14" shapeId="0" xr:uid="{26DC3C3B-AD4A-4961-BEA5-FD1E0F19BCD2}">
      <text>
        <t>[Threaded comment]
Your version of Excel allows you to read this threaded comment; however, any edits to it will get removed if the file is opened in a newer version of Excel. Learn more: https://go.microsoft.com/fwlink/?linkid=870924
Comment:
    Flights, visa, parking</t>
      </text>
    </comment>
  </commentList>
</comments>
</file>

<file path=xl/comments89.xml><?xml version="1.0" encoding="utf-8"?>
<comments xmlns="http://schemas.openxmlformats.org/spreadsheetml/2006/main" xmlns:mc="http://schemas.openxmlformats.org/markup-compatibility/2006" xmlns:xr="http://schemas.microsoft.com/office/spreadsheetml/2014/revision" mc:Ignorable="xr">
  <authors>
    <author>tc={E2908F0D-4685-6E4C-8DC6-3903E4123747}</author>
    <author>tc={FAEB17E9-2018-4042-9B65-A03FAFE1FBBA}</author>
    <author>tc={0DC1A0C4-F6C4-6D42-8DC6-C2AAEA620E4B}</author>
    <author>tc={9AB1E29F-7E10-A847-B24D-F6902CE4F282}</author>
    <author>tc={9B5BF836-AEDD-4872-864F-7141FA4C0C69}</author>
    <author>tc={159D15C3-B5EC-4388-A7AB-FB2414D3A0A1}</author>
    <author>tc={56F3F8F0-A6A1-4568-B4B7-7BDFB8759DA7}</author>
    <author>tc={37C0C387-A75C-4A8F-B8A9-FA5AC6D43AE0}</author>
    <author>tc={11692253-EF8D-2C49-B7EE-F0B7B5693E64}</author>
  </authors>
  <commentList>
    <comment ref="F23" authorId="0" shapeId="0" xr:uid="{E2908F0D-4685-6E4C-8DC6-3903E4123747}">
      <text>
        <t>[Threaded comment]
Your version of Excel allows you to read this threaded comment; however, any edits to it will get removed if the file is opened in a newer version of Excel. Learn more: https://go.microsoft.com/fwlink/?linkid=870924
Comment:
    22.49 = supplements</t>
      </text>
    </comment>
    <comment ref="E28" authorId="1" shapeId="0" xr:uid="{FAEB17E9-2018-4042-9B65-A03FAFE1FBBA}">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E30" authorId="2" shapeId="0" xr:uid="{0DC1A0C4-F6C4-6D42-8DC6-C2AAEA620E4B}">
      <text>
        <t>[Threaded comment]
Your version of Excel allows you to read this threaded comment; however, any edits to it will get removed if the file is opened in a newer version of Excel. Learn more: https://go.microsoft.com/fwlink/?linkid=870924
Comment:
    456.79 = amex fuck around… hold on for now
182.57 legit
81.07 interest</t>
      </text>
    </comment>
    <comment ref="F30" authorId="3" shapeId="0" xr:uid="{9AB1E29F-7E10-A847-B24D-F6902CE4F282}">
      <text>
        <t>[Threaded comment]
Your version of Excel allows you to read this threaded comment; however, any edits to it will get removed if the file is opened in a newer version of Excel. Learn more: https://go.microsoft.com/fwlink/?linkid=870924
Comment:
    12713.75 redemption
468.64 recurring</t>
      </text>
    </comment>
    <comment ref="H35" authorId="4" shapeId="0" xr:uid="{9B5BF836-AEDD-4872-864F-7141FA4C0C69}">
      <text>
        <t>[Threaded comment]
Your version of Excel allows you to read this threaded comment; however, any edits to it will get removed if the file is opened in a newer version of Excel. Learn more: https://go.microsoft.com/fwlink/?linkid=870924
Comment:
    AMZ PRIME</t>
      </text>
    </comment>
    <comment ref="I36" authorId="5" shapeId="0" xr:uid="{159D15C3-B5EC-4388-A7AB-FB2414D3A0A1}">
      <text>
        <t>[Threaded comment]
Your version of Excel allows you to read this threaded comment; however, any edits to it will get removed if the file is opened in a newer version of Excel. Learn more: https://go.microsoft.com/fwlink/?linkid=870924
Comment:
    70 = bunny hotel
200 = cash withdrawal</t>
      </text>
    </comment>
    <comment ref="H37" authorId="6" shapeId="0" xr:uid="{56F3F8F0-A6A1-4568-B4B7-7BDFB8759DA7}">
      <text>
        <t>[Threaded comment]
Your version of Excel allows you to read this threaded comment; however, any edits to it will get removed if the file is opened in a newer version of Excel. Learn more: https://go.microsoft.com/fwlink/?linkid=870924
Comment:
    60 - Leo + Jasmine</t>
      </text>
    </comment>
    <comment ref="J37" authorId="7" shapeId="0" xr:uid="{37C0C387-A75C-4A8F-B8A9-FA5AC6D43AE0}">
      <text>
        <t>[Threaded comment]
Your version of Excel allows you to read this threaded comment; however, any edits to it will get removed if the file is opened in a newer version of Excel. Learn more: https://go.microsoft.com/fwlink/?linkid=870924
Comment:
    101 = Ghost tickets oct
395 = be you</t>
      </text>
    </comment>
    <comment ref="H41" authorId="8" shapeId="0" xr:uid="{11692253-EF8D-2C49-B7EE-F0B7B5693E64}">
      <text>
        <t>[Threaded comment]
Your version of Excel allows you to read this threaded comment; however, any edits to it will get removed if the file is opened in a newer version of Excel. Learn more: https://go.microsoft.com/fwlink/?linkid=870924
Comment:
    15 = fish and chips</t>
      </text>
    </comment>
  </commentList>
</comments>
</file>

<file path=xl/comments90.xml><?xml version="1.0" encoding="utf-8"?>
<comments xmlns="http://schemas.openxmlformats.org/spreadsheetml/2006/main" xmlns:mc="http://schemas.openxmlformats.org/markup-compatibility/2006" xmlns:xr="http://schemas.microsoft.com/office/spreadsheetml/2014/revision" mc:Ignorable="xr">
  <authors>
    <author>tc={22074514-C680-4BF0-B025-24CCACAA3411}</author>
    <author>tc={8BB5559B-D4A2-4D92-9602-1DDFB6ECD37D}</author>
    <author>tc={8F710182-A344-47C4-B6F4-B367CACC0721}</author>
    <author>tc={5ACC5568-E10B-43FD-919E-77E080738135}</author>
    <author>tc={097DE26B-7F5D-4A79-9F60-40154D345820}</author>
    <author>tc={FFE76FDB-B8FC-407F-AC44-75F71ACCE81D}</author>
    <author>tc={672A26FE-1945-4CAE-988B-D4A6AA83825C}</author>
    <author>tc={AB842762-A8DF-4683-92E1-9010EFE24A9C}</author>
    <author>tc={ED11ADBF-60E6-40BA-AF3F-4FEE88D7A2FD}</author>
  </authors>
  <commentList>
    <comment ref="J8" authorId="0" shapeId="0" xr:uid="{22074514-C680-4BF0-B025-24CCACAA3411}">
      <text>
        <t>[Threaded comment]
Your version of Excel allows you to read this threaded comment; however, any edits to it will get removed if the file is opened in a newer version of Excel. Learn more: https://go.microsoft.com/fwlink/?linkid=870924
Comment:
    12.49 - healthy opts</t>
      </text>
    </comment>
    <comment ref="F23" authorId="1" shapeId="0" xr:uid="{8BB5559B-D4A2-4D92-9602-1DDFB6ECD37D}">
      <text>
        <t>[Threaded comment]
Your version of Excel allows you to read this threaded comment; however, any edits to it will get removed if the file is opened in a newer version of Excel. Learn more: https://go.microsoft.com/fwlink/?linkid=870924
Comment:
    Nationwide
Netflix
Printing
NowTv Cinema</t>
      </text>
    </comment>
    <comment ref="E27" authorId="2" shapeId="0" xr:uid="{8F710182-A344-47C4-B6F4-B367CACC0721}">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3" authorId="3" shapeId="0" xr:uid="{5ACC5568-E10B-43FD-919E-77E080738135}">
      <text>
        <t>[Threaded comment]
Your version of Excel allows you to read this threaded comment; however, any edits to it will get removed if the file is opened in a newer version of Excel. Learn more: https://go.microsoft.com/fwlink/?linkid=870924
Comment:
    Morocco flights</t>
      </text>
    </comment>
    <comment ref="G34" authorId="4" shapeId="0" xr:uid="{097DE26B-7F5D-4A79-9F60-40154D345820}">
      <text>
        <t>[Threaded comment]
Your version of Excel allows you to read this threaded comment; however, any edits to it will get removed if the file is opened in a newer version of Excel. Learn more: https://go.microsoft.com/fwlink/?linkid=870924
Comment:
    Anna birthday</t>
      </text>
    </comment>
    <comment ref="F39" authorId="5" shapeId="0" xr:uid="{FFE76FDB-B8FC-407F-AC44-75F71ACCE81D}">
      <text>
        <t>[Threaded comment]
Your version of Excel allows you to read this threaded comment; however, any edits to it will get removed if the file is opened in a newer version of Excel. Learn more: https://go.microsoft.com/fwlink/?linkid=870924
Comment:
    Not included in monthly budget</t>
      </text>
    </comment>
    <comment ref="J43" authorId="6" shapeId="0" xr:uid="{672A26FE-1945-4CAE-988B-D4A6AA83825C}">
      <text>
        <t>[Threaded comment]
Your version of Excel allows you to read this threaded comment; however, any edits to it will get removed if the file is opened in a newer version of Excel. Learn more: https://go.microsoft.com/fwlink/?linkid=870924
Comment:
    40 - balance
42.18 - chinese shop</t>
      </text>
    </comment>
    <comment ref="H44" authorId="7" shapeId="0" xr:uid="{AB842762-A8DF-4683-92E1-9010EFE24A9C}">
      <text>
        <t>[Threaded comment]
Your version of Excel allows you to read this threaded comment; however, any edits to it will get removed if the file is opened in a newer version of Excel. Learn more: https://go.microsoft.com/fwlink/?linkid=870924
Comment:
    19.99 - fakenstocks</t>
      </text>
    </comment>
    <comment ref="I52" authorId="8" shapeId="0" xr:uid="{ED11ADBF-60E6-40BA-AF3F-4FEE88D7A2FD}">
      <text>
        <t xml:space="preserve">[Threaded comment]
Your version of Excel allows you to read this threaded comment; however, any edits to it will get removed if the file is opened in a newer version of Excel. Learn more: https://go.microsoft.com/fwlink/?linkid=870924
Comment:
    Pushing 710 BMW to next month
</t>
      </text>
    </comment>
  </commentList>
</comments>
</file>

<file path=xl/comments91.xml><?xml version="1.0" encoding="utf-8"?>
<comments xmlns="http://schemas.openxmlformats.org/spreadsheetml/2006/main" xmlns:mc="http://schemas.openxmlformats.org/markup-compatibility/2006" xmlns:xr="http://schemas.microsoft.com/office/spreadsheetml/2014/revision" mc:Ignorable="xr">
  <authors>
    <author>tc={48B630A1-4440-4D2C-B267-7C595C732BCF}</author>
    <author>tc={9AC7F5DF-054A-4239-B19C-6969AFA9EC6B}</author>
    <author>tc={D5C12BD3-F4EA-4202-8C00-211BDFEAE542}</author>
    <author>tc={2C8520FB-4DCD-4D94-BD66-2A69BC5FABFB}</author>
    <author>tc={7CE4766C-3090-47BC-BC78-837A13F28B33}</author>
    <author>tc={E3631218-E491-4ABF-8C9F-0D467C38EAF1}</author>
    <author>tc={02076453-8AB0-48B4-AF58-213339A4FFA8}</author>
    <author>tc={B45C8D70-A1CC-4C83-B130-4A3DD7826828}</author>
    <author>tc={E9789E2B-15DD-4EAE-827A-81F285C5217F}</author>
  </authors>
  <commentList>
    <comment ref="F21" authorId="0" shapeId="0" xr:uid="{48B630A1-4440-4D2C-B267-7C595C732BCF}">
      <text>
        <t>[Threaded comment]
Your version of Excel allows you to read this threaded comment; however, any edits to it will get removed if the file is opened in a newer version of Excel. Learn more: https://go.microsoft.com/fwlink/?linkid=870924
Comment:
    Nationwide
Netflix
Printing
NowTv Cinema</t>
      </text>
    </comment>
    <comment ref="F23" authorId="1" shapeId="0" xr:uid="{9AC7F5DF-054A-4239-B19C-6969AFA9EC6B}">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E27" authorId="2" shapeId="0" xr:uid="{D5C12BD3-F4EA-4202-8C00-211BDFEAE542}">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J30" authorId="3" shapeId="0" xr:uid="{2C8520FB-4DCD-4D94-BD66-2A69BC5FABFB}">
      <text>
        <t>[Threaded comment]
Your version of Excel allows you to read this threaded comment; however, any edits to it will get removed if the file is opened in a newer version of Excel. Learn more: https://go.microsoft.com/fwlink/?linkid=870924
Comment:
    Shiply - move rosita</t>
      </text>
    </comment>
    <comment ref="H33" authorId="4" shapeId="0" xr:uid="{7CE4766C-3090-47BC-BC78-837A13F28B33}">
      <text>
        <t>[Threaded comment]
Your version of Excel allows you to read this threaded comment; however, any edits to it will get removed if the file is opened in a newer version of Excel. Learn more: https://go.microsoft.com/fwlink/?linkid=870924
Comment:
    Morocco hotel</t>
      </text>
    </comment>
    <comment ref="H34" authorId="5" shapeId="0" xr:uid="{E3631218-E491-4ABF-8C9F-0D467C38EAF1}">
      <text>
        <t>[Threaded comment]
Your version of Excel allows you to read this threaded comment; however, any edits to it will get removed if the file is opened in a newer version of Excel. Learn more: https://go.microsoft.com/fwlink/?linkid=870924
Comment:
    Mem fee</t>
      </text>
    </comment>
    <comment ref="J35" authorId="6" shapeId="0" xr:uid="{02076453-8AB0-48B4-AF58-213339A4FFA8}">
      <text>
        <t>[Threaded comment]
Your version of Excel allows you to read this threaded comment; however, any edits to it will get removed if the file is opened in a newer version of Excel. Learn more: https://go.microsoft.com/fwlink/?linkid=870924
Comment:
    Skin
350 - needling, kris repay 50pm</t>
      </text>
    </comment>
    <comment ref="F39" authorId="7" shapeId="0" xr:uid="{B45C8D70-A1CC-4C83-B130-4A3DD7826828}">
      <text>
        <t>[Threaded comment]
Your version of Excel allows you to read this threaded comment; however, any edits to it will get removed if the file is opened in a newer version of Excel. Learn more: https://go.microsoft.com/fwlink/?linkid=870924
Comment:
    Not included in monthly budget</t>
      </text>
    </comment>
    <comment ref="J44" authorId="8" shapeId="0" xr:uid="{E9789E2B-15DD-4EAE-827A-81F285C5217F}">
      <text>
        <t>[Threaded comment]
Your version of Excel allows you to read this threaded comment; however, any edits to it will get removed if the file is opened in a newer version of Excel. Learn more: https://go.microsoft.com/fwlink/?linkid=870924
Comment:
    Fillers
Osteopath</t>
      </text>
    </comment>
  </commentList>
</comments>
</file>

<file path=xl/comments92.xml><?xml version="1.0" encoding="utf-8"?>
<comments xmlns="http://schemas.openxmlformats.org/spreadsheetml/2006/main" xmlns:mc="http://schemas.openxmlformats.org/markup-compatibility/2006" xmlns:xr="http://schemas.microsoft.com/office/spreadsheetml/2014/revision" mc:Ignorable="xr">
  <authors>
    <author>tc={07BD239E-9D23-45CD-89E8-8BD591533931}</author>
    <author>tc={F82ACA79-D271-47B5-AFD6-61BB07FA36FC}</author>
    <author>tc={51EA864B-52AB-4155-8880-BB7FFA8B6298}</author>
    <author>tc={06F79596-FD6F-4DF8-B4A7-F137B27A7255}</author>
    <author>tc={429EE73B-3A70-4009-8967-F4275096DD7F}</author>
    <author>tc={9771E23A-9BA3-4F2E-8C68-1B8854EE0B5D}</author>
    <author>tc={3F21845A-EA21-42F3-BB08-B1F7DDBB47FE}</author>
    <author>tc={457FEB34-965D-4B39-AF4F-5742840B49E5}</author>
  </authors>
  <commentList>
    <comment ref="F22" authorId="0" shapeId="0" xr:uid="{07BD239E-9D23-45CD-89E8-8BD591533931}">
      <text>
        <t>[Threaded comment]
Your version of Excel allows you to read this threaded comment; however, any edits to it will get removed if the file is opened in a newer version of Excel. Learn more: https://go.microsoft.com/fwlink/?linkid=870924
Comment:
    Nationwide
Netflix
Printing
NowTv Cinema</t>
      </text>
    </comment>
    <comment ref="E26" authorId="1" shapeId="0" xr:uid="{F82ACA79-D271-47B5-AFD6-61BB07FA36FC}">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J29" authorId="2" shapeId="0" xr:uid="{51EA864B-52AB-4155-8880-BB7FFA8B6298}">
      <text>
        <t>[Threaded comment]
Your version of Excel allows you to read this threaded comment; however, any edits to it will get removed if the file is opened in a newer version of Excel. Learn more: https://go.microsoft.com/fwlink/?linkid=870924
Comment:
    45 = knee apt</t>
      </text>
    </comment>
    <comment ref="H32" authorId="3" shapeId="0" xr:uid="{06F79596-FD6F-4DF8-B4A7-F137B27A7255}">
      <text>
        <t xml:space="preserve">[Threaded comment]
Your version of Excel allows you to read this threaded comment; however, any edits to it will get removed if the file is opened in a newer version of Excel. Learn more: https://go.microsoft.com/fwlink/?linkid=870924
Comment:
    152 = heathrow parking
</t>
      </text>
    </comment>
    <comment ref="H33" authorId="4" shapeId="0" xr:uid="{429EE73B-3A70-4009-8967-F4275096DD7F}">
      <text>
        <t>[Threaded comment]
Your version of Excel allows you to read this threaded comment; however, any edits to it will get removed if the file is opened in a newer version of Excel. Learn more: https://go.microsoft.com/fwlink/?linkid=870924
Comment:
    23.4 = Charity
11.29 + 1.5 = mum</t>
      </text>
    </comment>
    <comment ref="J33" authorId="5" shapeId="0" xr:uid="{9771E23A-9BA3-4F2E-8C68-1B8854EE0B5D}">
      <text>
        <t>[Threaded comment]
Your version of Excel allows you to read this threaded comment; however, any edits to it will get removed if the file is opened in a newer version of Excel. Learn more: https://go.microsoft.com/fwlink/?linkid=870924
Comment:
    70 = Christmas ballet
38.9 = mum
115.5 = home alone concert</t>
      </text>
    </comment>
    <comment ref="F38" authorId="6" shapeId="0" xr:uid="{3F21845A-EA21-42F3-BB08-B1F7DDBB47FE}">
      <text>
        <t>[Threaded comment]
Your version of Excel allows you to read this threaded comment; however, any edits to it will get removed if the file is opened in a newer version of Excel. Learn more: https://go.microsoft.com/fwlink/?linkid=870924
Comment:
    Not included in monthly budget</t>
      </text>
    </comment>
    <comment ref="L67" authorId="7" shapeId="0" xr:uid="{457FEB34-965D-4B39-AF4F-5742840B49E5}">
      <text>
        <t>[Threaded comment]
Your version of Excel allows you to read this threaded comment; however, any edits to it will get removed if the file is opened in a newer version of Excel. Learn more: https://go.microsoft.com/fwlink/?linkid=870924
Comment:
    100 - filler
150 - needling over 3 months</t>
      </text>
    </comment>
  </commentList>
</comments>
</file>

<file path=xl/comments93.xml><?xml version="1.0" encoding="utf-8"?>
<comments xmlns="http://schemas.openxmlformats.org/spreadsheetml/2006/main" xmlns:mc="http://schemas.openxmlformats.org/markup-compatibility/2006" xmlns:xr="http://schemas.microsoft.com/office/spreadsheetml/2014/revision" mc:Ignorable="xr">
  <authors>
    <author>tc={7826B5DD-305C-4AEA-AC7F-88105BB2D7B0}</author>
    <author>tc={5648CF67-E034-4610-8EB3-9625DFA6CE50}</author>
    <author>tc={2EAD1E51-2BD9-46A8-992C-9E227A9F3176}</author>
    <author>tc={B6F00291-E1D8-45A2-B857-8AADBBFE65DE}</author>
    <author>tc={F7168BD4-81F1-4724-92DF-80B8029FA89E}</author>
    <author>tc={68EA4E3C-495C-4C3A-B9CD-41F7753C06F5}</author>
    <author>tc={1160993E-D337-4A3C-BBFD-0EEE4885DB36}</author>
    <author>tc={EFDA598A-1ADD-4A9C-B5A0-620D3EA77CBF}</author>
    <author>tc={CF29A72F-4DD2-4D3A-A9EB-82135702F600}</author>
  </authors>
  <commentList>
    <comment ref="F18" authorId="0" shapeId="0" xr:uid="{7826B5DD-305C-4AEA-AC7F-88105BB2D7B0}">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1" authorId="1" shapeId="0" xr:uid="{5648CF67-E034-4610-8EB3-9625DFA6CE50}">
      <text>
        <t>[Threaded comment]
Your version of Excel allows you to read this threaded comment; however, any edits to it will get removed if the file is opened in a newer version of Excel. Learn more: https://go.microsoft.com/fwlink/?linkid=870924
Comment:
    Onedrive
Nationwide
Netflix
Printing
NowTv Cinema
Gym</t>
      </text>
    </comment>
    <comment ref="E25" authorId="2" shapeId="0" xr:uid="{2EAD1E51-2BD9-46A8-992C-9E227A9F3176}">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G28" authorId="3" shapeId="0" xr:uid="{B6F00291-E1D8-45A2-B857-8AADBBFE65DE}">
      <text>
        <t>[Threaded comment]
Your version of Excel allows you to read this threaded comment; however, any edits to it will get removed if the file is opened in a newer version of Excel. Learn more: https://go.microsoft.com/fwlink/?linkid=870924
Comment:
    Carpet</t>
      </text>
    </comment>
    <comment ref="H31" authorId="4" shapeId="0" xr:uid="{F7168BD4-81F1-4724-92DF-80B8029FA89E}">
      <text>
        <t>[Threaded comment]
Your version of Excel allows you to read this threaded comment; however, any edits to it will get removed if the file is opened in a newer version of Excel. Learn more: https://go.microsoft.com/fwlink/?linkid=870924
Comment:
    15.71 balance</t>
      </text>
    </comment>
    <comment ref="H32" authorId="5" shapeId="0" xr:uid="{68EA4E3C-495C-4C3A-B9CD-41F7753C06F5}">
      <text>
        <t>[Threaded comment]
Your version of Excel allows you to read this threaded comment; however, any edits to it will get removed if the file is opened in a newer version of Excel. Learn more: https://go.microsoft.com/fwlink/?linkid=870924
Comment:
    Zimmer tickets</t>
      </text>
    </comment>
    <comment ref="H33" authorId="6" shapeId="0" xr:uid="{1160993E-D337-4A3C-BBFD-0EEE4885DB36}">
      <text>
        <t>[Threaded comment]
Your version of Excel allows you to read this threaded comment; however, any edits to it will get removed if the file is opened in a newer version of Excel. Learn more: https://go.microsoft.com/fwlink/?linkid=870924
Comment:
    MANC hotel WORK</t>
      </text>
    </comment>
    <comment ref="O61" authorId="7" shapeId="0" xr:uid="{EFDA598A-1ADD-4A9C-B5A0-620D3EA77CBF}">
      <text>
        <t>[Threaded comment]
Your version of Excel allows you to read this threaded comment; however, any edits to it will get removed if the file is opened in a newer version of Excel. Learn more: https://go.microsoft.com/fwlink/?linkid=870924
Comment:
    Expenses
Interest</t>
      </text>
    </comment>
    <comment ref="M62" authorId="8" shapeId="0" xr:uid="{CF29A72F-4DD2-4D3A-A9EB-82135702F600}">
      <text>
        <t>[Threaded comment]
Your version of Excel allows you to read this threaded comment; however, any edits to it will get removed if the file is opened in a newer version of Excel. Learn more: https://go.microsoft.com/fwlink/?linkid=870924
Comment:
    IRL</t>
      </text>
    </comment>
  </commentList>
</comments>
</file>

<file path=xl/comments94.xml><?xml version="1.0" encoding="utf-8"?>
<comments xmlns="http://schemas.openxmlformats.org/spreadsheetml/2006/main" xmlns:mc="http://schemas.openxmlformats.org/markup-compatibility/2006" xmlns:xr="http://schemas.microsoft.com/office/spreadsheetml/2014/revision" mc:Ignorable="xr">
  <authors>
    <author>tc={DFFA5218-5600-40C6-92DF-0E70E6BA7F57}</author>
    <author>tc={666DD123-58A7-49DD-913D-7F20E5DD13A5}</author>
    <author>tc={9D353193-494C-4857-B222-186F03F5FA83}</author>
    <author>tc={3134EA92-83E2-4F4D-AAFD-C5C58A5C0468}</author>
    <author>tc={4DACDC9D-5C62-425A-A427-198E324497EE}</author>
    <author>tc={54898A60-90A8-4E99-9075-8104C3494BA9}</author>
    <author>tc={5663A958-3AAC-46A0-B037-138514CBBC24}</author>
    <author>tc={20FE4528-AEFE-425F-A6D6-5D274012382B}</author>
  </authors>
  <commentList>
    <comment ref="F18" authorId="0" shapeId="0" xr:uid="{DFFA5218-5600-40C6-92DF-0E70E6BA7F57}">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666DD123-58A7-49DD-913D-7F20E5DD13A5}">
      <text>
        <t>[Threaded comment]
Your version of Excel allows you to read this threaded comment; however, any edits to it will get removed if the file is opened in a newer version of Excel. Learn more: https://go.microsoft.com/fwlink/?linkid=870924
Comment:
    Onedrive
Nationwide
Netflix
Printing
NowTv Cinema
Gym
12 = barclays avios</t>
      </text>
    </comment>
    <comment ref="E26" authorId="2" shapeId="0" xr:uid="{9D353193-494C-4857-B222-186F03F5FA83}">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J29" authorId="3" shapeId="0" xr:uid="{7ADB6467-0994-DD45-B573-4E94CE14E91E}">
      <text>
        <t>[Threaded comment]
Your version of Excel allows you to read this threaded comment; however, any edits to it will get removed if the file is opened in a newer version of Excel. Learn more: https://go.microsoft.com/fwlink/?linkid=870924
Comment:
    medicine</t>
      </text>
    </comment>
    <comment ref="H32" authorId="4" shapeId="0" xr:uid="{721C185C-73A5-DB43-BBB1-56AEAE44420D}">
      <text>
        <t>[Threaded comment]
Your version of Excel allows you to read this threaded comment; however, any edits to it will get removed if the file is opened in a newer version of Excel. Learn more: https://go.microsoft.com/fwlink/?linkid=870924
Comment:
    Italy flights</t>
      </text>
    </comment>
    <comment ref="J41" authorId="5" shapeId="0" xr:uid="{1E405026-A8F4-F748-B644-353AC2B8A15C}">
      <text>
        <t>[Threaded comment]
Your version of Excel allows you to read this threaded comment; however, any edits to it will get removed if the file is opened in a newer version of Excel. Learn more: https://go.microsoft.com/fwlink/?linkid=870924
Comment:
    33.9 = millstack</t>
      </text>
    </comment>
    <comment ref="O62" authorId="6" shapeId="0" xr:uid="{5663A958-3AAC-46A0-B037-138514CBBC24}">
      <text>
        <t>[Threaded comment]
Your version of Excel allows you to read this threaded comment; however, any edits to it will get removed if the file is opened in a newer version of Excel. Learn more: https://go.microsoft.com/fwlink/?linkid=870924
Comment:
    Expenses
Interest</t>
      </text>
    </comment>
    <comment ref="M63" authorId="7" shapeId="0" xr:uid="{20FE4528-AEFE-425F-A6D6-5D274012382B}">
      <text>
        <t>[Threaded comment]
Your version of Excel allows you to read this threaded comment; however, any edits to it will get removed if the file is opened in a newer version of Excel. Learn more: https://go.microsoft.com/fwlink/?linkid=870924
Comment:
    IRL</t>
      </text>
    </comment>
  </commentList>
</comments>
</file>

<file path=xl/comments95.xml><?xml version="1.0" encoding="utf-8"?>
<comments xmlns="http://schemas.openxmlformats.org/spreadsheetml/2006/main" xmlns:mc="http://schemas.openxmlformats.org/markup-compatibility/2006" xmlns:xr="http://schemas.microsoft.com/office/spreadsheetml/2014/revision" mc:Ignorable="xr">
  <authors>
    <author>tc={C8491AF5-E15F-AD44-A738-5CC533EBECF2}</author>
    <author>tc={6DCD4055-EDA3-5E44-B2D5-E40790C06DE5}</author>
    <author>tc={08E4027D-C42C-5D40-A218-9B5D68710932}</author>
    <author>tc={4609F8E8-F5A4-3041-B791-575CE64E64A5}</author>
  </authors>
  <commentList>
    <comment ref="F18" authorId="0" shapeId="0" xr:uid="{C8491AF5-E15F-AD44-A738-5CC533EBECF2}">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6DCD4055-EDA3-5E44-B2D5-E40790C06DE5}">
      <text>
        <t>[Threaded comment]
Your version of Excel allows you to read this threaded comment; however, any edits to it will get removed if the file is opened in a newer version of Excel. Learn more: https://go.microsoft.com/fwlink/?linkid=870924
Comment:
    Onedrive
Nationwide
Netflix
Printing
NowTv Cinema
12 = barclays avios</t>
      </text>
    </comment>
    <comment ref="E26" authorId="2" shapeId="0" xr:uid="{08E4027D-C42C-5D40-A218-9B5D68710932}">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G29" authorId="3" shapeId="0" xr:uid="{4609F8E8-F5A4-3041-B791-575CE64E64A5}">
      <text>
        <t>[Threaded comment]
Your version of Excel allows you to read this threaded comment; however, any edits to it will get removed if the file is opened in a newer version of Excel. Learn more: https://go.microsoft.com/fwlink/?linkid=870924
Comment:
    Safety cash</t>
      </text>
    </comment>
  </commentList>
</comments>
</file>

<file path=xl/comments96.xml><?xml version="1.0" encoding="utf-8"?>
<comments xmlns="http://schemas.openxmlformats.org/spreadsheetml/2006/main" xmlns:mc="http://schemas.openxmlformats.org/markup-compatibility/2006" xmlns:xr="http://schemas.microsoft.com/office/spreadsheetml/2014/revision" mc:Ignorable="xr">
  <authors>
    <author>tc={64EE9B4C-EA65-0748-9E16-2052584D2775}</author>
    <author>tc={6BCBBDF4-540A-AC4B-9A8A-E3A6CA9B40A6}</author>
    <author>tc={222687A4-1EDA-DA45-9B86-91765A7BB853}</author>
    <author>tc={73E84301-32DC-314A-A919-23B7363F38A2}</author>
    <author>tc={46AF9C4C-82AF-4B86-80BA-F42569ED23F1}</author>
    <author>tc={B01F0A82-E556-4ED2-908A-C668E2ED758A}</author>
    <author>tc={1D8EEFF6-B733-FD44-B4AE-87C47F82705E}</author>
    <author>tc={8E0E5387-C269-A643-B6C5-F85F581C8947}</author>
    <author>tc={27C61A9D-F268-244A-954E-7F3A2A24DA14}</author>
    <author>tc={50D3636E-7F25-F840-B2D3-4DBCCCEF4FD6}</author>
    <author>tc={639B0019-4560-9346-AF82-25F06160FD52}</author>
    <author>tc={C5B7E57F-4844-B243-87B8-977B059BBDA7}</author>
    <author>tc={44590F60-45E5-7B45-A6A3-DC3ADF91CA1B}</author>
  </authors>
  <commentList>
    <comment ref="F18" authorId="0" shapeId="0" xr:uid="{64EE9B4C-EA65-0748-9E16-2052584D2775}">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6BCBBDF4-540A-AC4B-9A8A-E3A6CA9B40A6}">
      <text>
        <t>[Threaded comment]
Your version of Excel allows you to read this threaded comment; however, any edits to it will get removed if the file is opened in a newer version of Excel. Learn more: https://go.microsoft.com/fwlink/?linkid=870924
Comment:
    Onedrive
Nationwide
Netflix
Printing
9.99 = NowTv Cinema
12 = barclays avios
8.99 = disney</t>
      </text>
    </comment>
    <comment ref="E26" authorId="2" shapeId="0" xr:uid="{222687A4-1EDA-DA45-9B86-91765A7BB853}">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J32" authorId="3" shapeId="0" xr:uid="{73E84301-32DC-314A-A919-23B7363F38A2}">
      <text>
        <t>[Threaded comment]
Your version of Excel allows you to read this threaded comment; however, any edits to it will get removed if the file is opened in a newer version of Excel. Learn more: https://go.microsoft.com/fwlink/?linkid=870924
Comment:
    March - Fuertoventura</t>
      </text>
    </comment>
    <comment ref="J34" authorId="4" shapeId="0" xr:uid="{46AF9C4C-82AF-4B86-80BA-F42569ED23F1}">
      <text>
        <t>[Threaded comment]
Your version of Excel allows you to read this threaded comment; however, any edits to it will get removed if the file is opened in a newer version of Excel. Learn more: https://go.microsoft.com/fwlink/?linkid=870924
Comment:
    ikea</t>
      </text>
    </comment>
    <comment ref="I52" authorId="5" shapeId="0" xr:uid="{B01F0A82-E556-4ED2-908A-C668E2ED758A}">
      <text>
        <t>[Threaded comment]
Your version of Excel allows you to read this threaded comment; however, any edits to it will get removed if the file is opened in a newer version of Excel. Learn more: https://go.microsoft.com/fwlink/?linkid=870924
Comment:
    Stamp duty, fees, etc
Leaving mortgage early
Car loans</t>
      </text>
    </comment>
    <comment ref="G68" authorId="6" shapeId="0" xr:uid="{1D8EEFF6-B733-FD44-B4AE-87C47F82705E}">
      <text>
        <t>[Threaded comment]
Your version of Excel allows you to read this threaded comment; however, any edits to it will get removed if the file is opened in a newer version of Excel. Learn more: https://go.microsoft.com/fwlink/?linkid=870924
Comment:
    Fuerteventura</t>
      </text>
    </comment>
    <comment ref="I68" authorId="7" shapeId="0" xr:uid="{8E0E5387-C269-A643-B6C5-F85F581C8947}">
      <text>
        <t>[Threaded comment]
Your version of Excel allows you to read this threaded comment; however, any edits to it will get removed if the file is opened in a newer version of Excel. Learn more: https://go.microsoft.com/fwlink/?linkid=870924
Comment:
    Hackfest</t>
      </text>
    </comment>
    <comment ref="J68" authorId="8" shapeId="0" xr:uid="{27C61A9D-F268-244A-954E-7F3A2A24DA14}">
      <text>
        <t>[Threaded comment]
Your version of Excel allows you to read this threaded comment; however, any edits to it will get removed if the file is opened in a newer version of Excel. Learn more: https://go.microsoft.com/fwlink/?linkid=870924
Comment:
    BBQ’s</t>
      </text>
    </comment>
    <comment ref="K68" authorId="9" shapeId="0" xr:uid="{50D3636E-7F25-F840-B2D3-4DBCCCEF4FD6}">
      <text>
        <t>[Threaded comment]
Your version of Excel allows you to read this threaded comment; however, any edits to it will get removed if the file is opened in a newer version of Excel. Learn more: https://go.microsoft.com/fwlink/?linkid=870924
Comment:
    Italy</t>
      </text>
    </comment>
    <comment ref="L68" authorId="10" shapeId="0" xr:uid="{639B0019-4560-9346-AF82-25F06160FD52}">
      <text>
        <t>[Threaded comment]
Your version of Excel allows you to read this threaded comment; however, any edits to it will get removed if the file is opened in a newer version of Excel. Learn more: https://go.microsoft.com/fwlink/?linkid=870924
Comment:
    UK Breaks</t>
      </text>
    </comment>
    <comment ref="K71" authorId="11" shapeId="0" xr:uid="{C5B7E57F-4844-B243-87B8-977B059BBDA7}">
      <text>
        <t>[Threaded comment]
Your version of Excel allows you to read this threaded comment; however, any edits to it will get removed if the file is opened in a newer version of Excel. Learn more: https://go.microsoft.com/fwlink/?linkid=870924
Comment:
    18/07 upgrade voucher deadline</t>
      </text>
    </comment>
    <comment ref="H72" authorId="12" shapeId="0" xr:uid="{44590F60-45E5-7B45-A6A3-DC3ADF91CA1B}">
      <text>
        <t>[Threaded comment]
Your version of Excel allows you to read this threaded comment; however, any edits to it will get removed if the file is opened in a newer version of Excel. Learn more: https://go.microsoft.com/fwlink/?linkid=870924
Comment:
    Deadline for 6k/ 3 month bonus</t>
      </text>
    </comment>
  </commentList>
</comments>
</file>

<file path=xl/comments97.xml><?xml version="1.0" encoding="utf-8"?>
<comments xmlns="http://schemas.openxmlformats.org/spreadsheetml/2006/main" xmlns:mc="http://schemas.openxmlformats.org/markup-compatibility/2006" xmlns:xr="http://schemas.microsoft.com/office/spreadsheetml/2014/revision" mc:Ignorable="xr">
  <authors>
    <author>tc={7BE0EB4F-FF44-4289-97FB-C98D3BD73EDC}</author>
    <author>tc={C9909837-7754-44F0-8805-D9CD6FB7A628}</author>
    <author>tc={01461A0A-D47C-42C9-B7A7-206FD915EC60}</author>
    <author>tc={16A66352-3D45-44E5-B107-66BB2E47E79E}</author>
    <author>tc={224174D5-8D08-425F-A44F-2170B782F272}</author>
    <author>tc={D9B59244-A68A-48D2-A4D9-29363E922821}</author>
    <author>tc={44996558-AE56-4422-963F-EA009AD60A65}</author>
    <author>tc={07E8E93F-A0AF-4954-BA07-6354E6BAF0C8}</author>
    <author>tc={FD11EA00-21C1-4D27-9489-E53AC9AD8AF2}</author>
    <author>tc={95987380-C077-431A-8640-050AB6D65AD0}</author>
    <author>tc={14782FB8-3B1F-4A51-9FF1-9C10B3F81B22}</author>
    <author>tc={DE4143BB-962E-44BF-A5CE-26BAEBC9B16D}</author>
    <author>tc={093586F4-09B8-4F39-9752-7EABC10DA490}</author>
  </authors>
  <commentList>
    <comment ref="F18" authorId="0" shapeId="0" xr:uid="{7BE0EB4F-FF44-4289-97FB-C98D3BD73EDC}">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C9909837-7754-44F0-8805-D9CD6FB7A628}">
      <text>
        <t>[Threaded comment]
Your version of Excel allows you to read this threaded comment; however, any edits to it will get removed if the file is opened in a newer version of Excel. Learn more: https://go.microsoft.com/fwlink/?linkid=870924
Comment:
    Onedrive
Nationwide
Netflix
Printing
9.99 = NowTv Cinema
12 = barclays avios
8.99 = disney</t>
      </text>
    </comment>
    <comment ref="E26" authorId="2" shapeId="0" xr:uid="{01461A0A-D47C-42C9-B7A7-206FD915EC60}">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G27" authorId="3" shapeId="0" xr:uid="{16A66352-3D45-44E5-B107-66BB2E47E79E}">
      <text>
        <t>[Threaded comment]
Your version of Excel allows you to read this threaded comment; however, any edits to it will get removed if the file is opened in a newer version of Excel. Learn more: https://go.microsoft.com/fwlink/?linkid=870924
Comment:
    TV license</t>
      </text>
    </comment>
    <comment ref="H34" authorId="4" shapeId="0" xr:uid="{224174D5-8D08-425F-A44F-2170B782F272}">
      <text>
        <t>[Threaded comment]
Your version of Excel allows you to read this threaded comment; however, any edits to it will get removed if the file is opened in a newer version of Excel. Learn more: https://go.microsoft.com/fwlink/?linkid=870924
Comment:
    One republic</t>
      </text>
    </comment>
    <comment ref="J36" authorId="5" shapeId="0" xr:uid="{D9B59244-A68A-48D2-A4D9-29363E922821}">
      <text>
        <t>[Threaded comment]
Your version of Excel allows you to read this threaded comment; however, any edits to it will get removed if the file is opened in a newer version of Excel. Learn more: https://go.microsoft.com/fwlink/?linkid=870924
Comment:
    Sockets</t>
      </text>
    </comment>
    <comment ref="G68" authorId="6" shapeId="0" xr:uid="{44996558-AE56-4422-963F-EA009AD60A65}">
      <text>
        <t>[Threaded comment]
Your version of Excel allows you to read this threaded comment; however, any edits to it will get removed if the file is opened in a newer version of Excel. Learn more: https://go.microsoft.com/fwlink/?linkid=870924
Comment:
    Fuerteventura</t>
      </text>
    </comment>
    <comment ref="I68" authorId="7" shapeId="0" xr:uid="{07E8E93F-A0AF-4954-BA07-6354E6BAF0C8}">
      <text>
        <t>[Threaded comment]
Your version of Excel allows you to read this threaded comment; however, any edits to it will get removed if the file is opened in a newer version of Excel. Learn more: https://go.microsoft.com/fwlink/?linkid=870924
Comment:
    Hackfest</t>
      </text>
    </comment>
    <comment ref="J68" authorId="8" shapeId="0" xr:uid="{FD11EA00-21C1-4D27-9489-E53AC9AD8AF2}">
      <text>
        <t>[Threaded comment]
Your version of Excel allows you to read this threaded comment; however, any edits to it will get removed if the file is opened in a newer version of Excel. Learn more: https://go.microsoft.com/fwlink/?linkid=870924
Comment:
    BBQ’s</t>
      </text>
    </comment>
    <comment ref="K68" authorId="9" shapeId="0" xr:uid="{95987380-C077-431A-8640-050AB6D65AD0}">
      <text>
        <t>[Threaded comment]
Your version of Excel allows you to read this threaded comment; however, any edits to it will get removed if the file is opened in a newer version of Excel. Learn more: https://go.microsoft.com/fwlink/?linkid=870924
Comment:
    Italy</t>
      </text>
    </comment>
    <comment ref="L68" authorId="10" shapeId="0" xr:uid="{14782FB8-3B1F-4A51-9FF1-9C10B3F81B22}">
      <text>
        <t>[Threaded comment]
Your version of Excel allows you to read this threaded comment; however, any edits to it will get removed if the file is opened in a newer version of Excel. Learn more: https://go.microsoft.com/fwlink/?linkid=870924
Comment:
    UK Breaks</t>
      </text>
    </comment>
    <comment ref="K71" authorId="11" shapeId="0" xr:uid="{DE4143BB-962E-44BF-A5CE-26BAEBC9B16D}">
      <text>
        <t>[Threaded comment]
Your version of Excel allows you to read this threaded comment; however, any edits to it will get removed if the file is opened in a newer version of Excel. Learn more: https://go.microsoft.com/fwlink/?linkid=870924
Comment:
    18/07 upgrade voucher deadline</t>
      </text>
    </comment>
    <comment ref="H72" authorId="12" shapeId="0" xr:uid="{093586F4-09B8-4F39-9752-7EABC10DA490}">
      <text>
        <t>[Threaded comment]
Your version of Excel allows you to read this threaded comment; however, any edits to it will get removed if the file is opened in a newer version of Excel. Learn more: https://go.microsoft.com/fwlink/?linkid=870924
Comment:
    Deadline for 6k/ 3 month bonus</t>
      </text>
    </comment>
  </commentList>
</comments>
</file>

<file path=xl/comments98.xml><?xml version="1.0" encoding="utf-8"?>
<comments xmlns="http://schemas.openxmlformats.org/spreadsheetml/2006/main" xmlns:mc="http://schemas.openxmlformats.org/markup-compatibility/2006" xmlns:xr="http://schemas.microsoft.com/office/spreadsheetml/2014/revision" mc:Ignorable="xr">
  <authors>
    <author>tc={1077511F-9D57-4ABA-A415-6670121B27CA}</author>
    <author>tc={35C32102-1223-4051-AE29-92A255EAF0E8}</author>
    <author>tc={1C44420E-4719-437E-99D8-2545FFCD83B0}</author>
    <author>tc={4C731EF5-9BB2-40AA-88E9-5127D2BA2642}</author>
    <author>tc={443C53C7-A134-4DED-91A1-AC39F952BF33}</author>
    <author>tc={595E4183-6D55-0A4F-A222-D6572F096480}</author>
    <author>tc={3EF97320-0EEC-1E44-BDD2-BAFAC8AE4FD1}</author>
    <author>tc={F77640D9-A2A6-4E84-A0EF-52960745EF6A}</author>
    <author>tc={04A3DFDF-5256-43C8-A276-1963246EEB83}</author>
    <author>tc={27FE644D-34E7-4BDD-B8CE-C0E7C9CAB5B1}</author>
  </authors>
  <commentList>
    <comment ref="F17" authorId="0" shapeId="0" xr:uid="{1077511F-9D57-4ABA-A415-6670121B27CA}">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35C32102-1223-4051-AE29-92A255EAF0E8}">
      <text>
        <t>[Threaded comment]
Your version of Excel allows you to read this threaded comment; however, any edits to it will get removed if the file is opened in a newer version of Excel. Learn more: https://go.microsoft.com/fwlink/?linkid=870924
Comment:
    Onedrive
Nationwide
Netflix
Printing
9.99 = NowTv Cinema
12 = barclays avios
8.99 = disney</t>
      </text>
    </comment>
    <comment ref="E26" authorId="2" shapeId="0" xr:uid="{1C44420E-4719-437E-99D8-2545FFCD83B0}">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O51" authorId="3" shapeId="0" xr:uid="{4C731EF5-9BB2-40AA-88E9-5127D2BA2642}">
      <text>
        <t>[Threaded comment]
Your version of Excel allows you to read this threaded comment; however, any edits to it will get removed if the file is opened in a newer version of Excel. Learn more: https://go.microsoft.com/fwlink/?linkid=870924
Comment:
    Loans looking to swallow with mortgage</t>
      </text>
    </comment>
    <comment ref="I52" authorId="4" shapeId="0" xr:uid="{443C53C7-A134-4DED-91A1-AC39F952BF33}">
      <text>
        <t>[Threaded comment]
Your version of Excel allows you to read this threaded comment; however, any edits to it will get removed if the file is opened in a newer version of Excel. Learn more: https://go.microsoft.com/fwlink/?linkid=870924
Comment:
    10k fees - Stamp duty (6750), fees, etc, leaving mortgage early
21k - Car loans
5500 - furnishing</t>
      </text>
    </comment>
    <comment ref="Q53" authorId="5" shapeId="0" xr:uid="{595E4183-6D55-0A4F-A222-D6572F096480}">
      <text>
        <t>[Threaded comment]
Your version of Excel allows you to read this threaded comment; however, any edits to it will get removed if the file is opened in a newer version of Excel. Learn more: https://go.microsoft.com/fwlink/?linkid=870924
Comment:
    EPC B -&gt; E worst case estimate</t>
      </text>
    </comment>
    <comment ref="Q55" authorId="6" shapeId="0" xr:uid="{3EF97320-0EEC-1E44-BDD2-BAFAC8AE4FD1}">
      <text>
        <t>[Threaded comment]
Your version of Excel allows you to read this threaded comment; however, any edits to it will get removed if the file is opened in a newer version of Excel. Learn more: https://go.microsoft.com/fwlink/?linkid=870924
Comment:
    Both band C</t>
      </text>
    </comment>
    <comment ref="H56" authorId="7" shapeId="0" xr:uid="{F77640D9-A2A6-4E84-A0EF-52960745EF6A}">
      <text>
        <t>[Threaded comment]
Your version of Excel allows you to read this threaded comment; however, any edits to it will get removed if the file is opened in a newer version of Excel. Learn more: https://go.microsoft.com/fwlink/?linkid=870924
Comment:
    Wrap into mortgage</t>
      </text>
    </comment>
    <comment ref="Q57" authorId="8" shapeId="0" xr:uid="{04A3DFDF-5256-43C8-A276-1963246EEB83}">
      <text>
        <t>[Threaded comment]
Your version of Excel allows you to read this threaded comment; however, any edits to it will get removed if the file is opened in a newer version of Excel. Learn more: https://go.microsoft.com/fwlink/?linkid=870924
Comment:
    Doubling decreasing cover for house</t>
      </text>
    </comment>
    <comment ref="H61" authorId="9" shapeId="0" xr:uid="{27FE644D-34E7-4BDD-B8CE-C0E7C9CAB5B1}">
      <text>
        <t>[Threaded comment]
Your version of Excel allows you to read this threaded comment; however, any edits to it will get removed if the file is opened in a newer version of Excel. Learn more: https://go.microsoft.com/fwlink/?linkid=870924
Comment:
    What’s left @ 90% LTV less major extras</t>
      </text>
    </comment>
  </commentList>
</comments>
</file>

<file path=xl/comments99.xml><?xml version="1.0" encoding="utf-8"?>
<comments xmlns="http://schemas.openxmlformats.org/spreadsheetml/2006/main" xmlns:mc="http://schemas.openxmlformats.org/markup-compatibility/2006" xmlns:xr="http://schemas.microsoft.com/office/spreadsheetml/2014/revision" mc:Ignorable="xr">
  <authors>
    <author>tc={C2E3CA86-08B4-42EC-9C0E-5C06C50FBB2C}</author>
    <author>tc={439C06F5-A9C7-4139-852E-40B60935BB0C}</author>
    <author>tc={F463EB2A-DE4E-4100-87DB-2FE0306CF9E1}</author>
    <author>tc={F11FB46B-9314-4056-A622-3CB188E7C9FD}</author>
    <author>tc={2800FE8F-0ACC-41BB-9BCE-2B4C0CD31433}</author>
    <author>tc={84817F05-B919-450F-97BA-005D54A116F9}</author>
    <author>tc={8B0DBB14-24E7-4191-8F73-1061399D4DEE}</author>
    <author>tc={87A29E3E-F28F-4F27-AEB5-6D0DD81A47E3}</author>
    <author>tc={4C9DFB68-D8F5-4F77-9855-4DCF7BDA4C29}</author>
    <author>tc={114F41F8-E703-4E98-9491-C573867D9FAF}</author>
    <author>tc={403B6494-DD6E-455F-B44B-7EB6088B1936}</author>
    <author>tc={A4BBCAB5-B748-4301-BB58-EE9683D66E08}</author>
  </authors>
  <commentList>
    <comment ref="F18" authorId="0" shapeId="0" xr:uid="{C2E3CA86-08B4-42EC-9C0E-5C06C50FBB2C}">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439C06F5-A9C7-4139-852E-40B60935BB0C}">
      <text>
        <t>[Threaded comment]
Your version of Excel allows you to read this threaded comment; however, any edits to it will get removed if the file is opened in a newer version of Excel. Learn more: https://go.microsoft.com/fwlink/?linkid=870924
Comment:
    Onedrive
Nationwide
Netflix
Printing
9.99 = NowTv Cinema
12 = barclays avios
8.99 = disney</t>
      </text>
    </comment>
    <comment ref="E26" authorId="2" shapeId="0" xr:uid="{F463EB2A-DE4E-4100-87DB-2FE0306CF9E1}">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J29" authorId="3" shapeId="0" xr:uid="{F11FB46B-9314-4056-A622-3CB188E7C9FD}">
      <text>
        <t>[Threaded comment]
Your version of Excel allows you to read this threaded comment; however, any edits to it will get removed if the file is opened in a newer version of Excel. Learn more: https://go.microsoft.com/fwlink/?linkid=870924
Comment:
    Coolant</t>
      </text>
    </comment>
    <comment ref="G32" authorId="4" shapeId="0" xr:uid="{2800FE8F-0ACC-41BB-9BCE-2B4C0CD31433}">
      <text>
        <t>[Threaded comment]
Your version of Excel allows you to read this threaded comment; however, any edits to it will get removed if the file is opened in a newer version of Excel. Learn more: https://go.microsoft.com/fwlink/?linkid=870924
Comment:
    80 = Bunny hotel
55.05 = euro exchange</t>
      </text>
    </comment>
    <comment ref="J33" authorId="5" shapeId="0" xr:uid="{84817F05-B919-450F-97BA-005D54A116F9}">
      <text>
        <t>[Threaded comment]
Your version of Excel allows you to read this threaded comment; however, any edits to it will get removed if the file is opened in a newer version of Excel. Learn more: https://go.microsoft.com/fwlink/?linkid=870924
Comment:
    Inesa bday</t>
      </text>
    </comment>
    <comment ref="H34" authorId="6" shapeId="0" xr:uid="{8B0DBB14-24E7-4191-8F73-1061399D4DEE}">
      <text>
        <t>[Threaded comment]
Your version of Excel allows you to read this threaded comment; however, any edits to it will get removed if the file is opened in a newer version of Excel. Learn more: https://go.microsoft.com/fwlink/?linkid=870924
Comment:
    Thailand flights</t>
      </text>
    </comment>
    <comment ref="J34" authorId="7" shapeId="0" xr:uid="{87A29E3E-F28F-4F27-AEB5-6D0DD81A47E3}">
      <text>
        <t>[Threaded comment]
Your version of Excel allows you to read this threaded comment; however, any edits to it will get removed if the file is opened in a newer version of Excel. Learn more: https://go.microsoft.com/fwlink/?linkid=870924
Comment:
    Thailand - elephants
Thailand - tattoo</t>
      </text>
    </comment>
    <comment ref="H36" authorId="8" shapeId="0" xr:uid="{4C9DFB68-D8F5-4F77-9855-4DCF7BDA4C29}">
      <text>
        <t>[Threaded comment]
Your version of Excel allows you to read this threaded comment; however, any edits to it will get removed if the file is opened in a newer version of Excel. Learn more: https://go.microsoft.com/fwlink/?linkid=870924
Comment:
    Malta</t>
      </text>
    </comment>
    <comment ref="H37" authorId="9" shapeId="0" xr:uid="{114F41F8-E703-4E98-9491-C573867D9FAF}">
      <text>
        <t>[Threaded comment]
Your version of Excel allows you to read this threaded comment; however, any edits to it will get removed if the file is opened in a newer version of Excel. Learn more: https://go.microsoft.com/fwlink/?linkid=870924
Comment:
    AMEX Fee</t>
      </text>
    </comment>
    <comment ref="H42" authorId="10" shapeId="0" xr:uid="{403B6494-DD6E-455F-B44B-7EB6088B1936}">
      <text>
        <t>[Threaded comment]
Your version of Excel allows you to read this threaded comment; however, any edits to it will get removed if the file is opened in a newer version of Excel. Learn more: https://go.microsoft.com/fwlink/?linkid=870924
Comment:
    Pending: 50.98 - ZARA
Pending Decision: ZARA / Holister (may return)
Returns: SP TALA - 70+</t>
      </text>
    </comment>
    <comment ref="I54" authorId="11" shapeId="0" xr:uid="{A4BBCAB5-B748-4301-BB58-EE9683D66E08}">
      <text>
        <t>[Threaded comment]
Your version of Excel allows you to read this threaded comment; however, any edits to it will get removed if the file is opened in a newer version of Excel. Learn more: https://go.microsoft.com/fwlink/?linkid=870924
Comment:
    -150 tala refunds</t>
      </text>
    </comment>
  </commentList>
</comments>
</file>

<file path=xl/comments100.xml><?xml version="1.0" encoding="utf-8"?>
<comments xmlns="http://schemas.openxmlformats.org/spreadsheetml/2006/main" xmlns:mc="http://schemas.openxmlformats.org/markup-compatibility/2006" xmlns:xr="http://schemas.microsoft.com/office/spreadsheetml/2014/revision" mc:Ignorable="xr">
  <authors>
    <author>tc={01A97A30-F7C9-40C6-A6EC-8A9B576D0F8C}</author>
    <author>tc={FF785F47-DAB3-451F-8C6C-3C6B297885C1}</author>
    <author>tc={D55F1E3C-44F6-4451-BAF4-3ECEAD8A7E24}</author>
    <author>tc={90A9019D-A5B1-414F-A8F3-7906DED6B316}</author>
    <author>tc={5E984F50-7B64-4CE8-8B99-6BE574C711ED}</author>
    <author>tc={7811867D-31F5-42D5-BCB9-5D4547DFC62E}</author>
    <author>tc={E626F1DA-235A-C045-A6E4-EEA5E5DBADD6}</author>
    <author>tc={BB1A9461-269C-4963-B84E-EE462C078F59}</author>
    <author>tc={30DC3548-C4F3-4940-BF16-FA56011115DC}</author>
    <author>tc={6EA12A51-8F38-4775-8A52-7BF7AE8B3E9F}</author>
  </authors>
  <commentList>
    <comment ref="F18" authorId="0" shapeId="0" xr:uid="{01A97A30-F7C9-40C6-A6EC-8A9B576D0F8C}">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FF785F47-DAB3-451F-8C6C-3C6B297885C1}">
      <text>
        <t>[Threaded comment]
Your version of Excel allows you to read this threaded comment; however, any edits to it will get removed if the file is opened in a newer version of Excel. Learn more: https://go.microsoft.com/fwlink/?linkid=870924
Comment:
    Onedrive
Nationwide
Netflix
Printing
12 = barclays avios</t>
      </text>
    </comment>
    <comment ref="E26" authorId="2" shapeId="0" xr:uid="{D55F1E3C-44F6-4451-BAF4-3ECEAD8A7E24}">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2" authorId="3" shapeId="0" xr:uid="{90A9019D-A5B1-414F-A8F3-7906DED6B316}">
      <text>
        <t>[Threaded comment]
Your version of Excel allows you to read this threaded comment; however, any edits to it will get removed if the file is opened in a newer version of Excel. Learn more: https://go.microsoft.com/fwlink/?linkid=870924
Comment:
    Ruddying - james paying</t>
      </text>
    </comment>
    <comment ref="G34" authorId="4" shapeId="0" xr:uid="{5E984F50-7B64-4CE8-8B99-6BE574C711ED}">
      <text>
        <t>[Threaded comment]
Your version of Excel allows you to read this threaded comment; however, any edits to it will get removed if the file is opened in a newer version of Excel. Learn more: https://go.microsoft.com/fwlink/?linkid=870924
Comment:
    Moved to savings acc</t>
      </text>
    </comment>
    <comment ref="H34" authorId="5" shapeId="0" xr:uid="{7811867D-31F5-42D5-BCB9-5D4547DFC62E}">
      <text>
        <t>[Threaded comment]
Your version of Excel allows you to read this threaded comment; however, any edits to it will get removed if the file is opened in a newer version of Excel. Learn more: https://go.microsoft.com/fwlink/?linkid=870924
Comment:
    Define you</t>
      </text>
    </comment>
    <comment ref="H36" authorId="6" shapeId="0" xr:uid="{E626F1DA-235A-C045-A6E4-EEA5E5DBADD6}">
      <text>
        <t>[Threaded comment]
Your version of Excel allows you to read this threaded comment; however, any edits to it will get removed if the file is opened in a newer version of Excel. Learn more: https://go.microsoft.com/fwlink/?linkid=870924
Comment:
    Panels</t>
      </text>
    </comment>
    <comment ref="H42" authorId="7" shapeId="0" xr:uid="{BB1A9461-269C-4963-B84E-EE462C078F59}">
      <text>
        <t>[Threaded comment]
Your version of Excel allows you to read this threaded comment; however, any edits to it will get removed if the file is opened in a newer version of Excel. Learn more: https://go.microsoft.com/fwlink/?linkid=870924
Comment:
    Sweaty B (64 rfd pending)</t>
      </text>
    </comment>
    <comment ref="F78" authorId="8" shapeId="0" xr:uid="{30DC3548-C4F3-4940-BF16-FA56011115DC}">
      <text>
        <t>[Threaded comment]
Your version of Excel allows you to read this threaded comment; however, any edits to it will get removed if the file is opened in a newer version of Excel. Learn more: https://go.microsoft.com/fwlink/?linkid=870924
Comment:
    Includes dpf sensor + egr cooler filter</t>
      </text>
    </comment>
    <comment ref="G80" authorId="9" shapeId="0" xr:uid="{6EA12A51-8F38-4775-8A52-7BF7AE8B3E9F}">
      <text>
        <t>[Threaded comment]
Your version of Excel allows you to read this threaded comment; however, any edits to it will get removed if the file is opened in a newer version of Excel. Learn more: https://go.microsoft.com/fwlink/?linkid=870924
Comment:
    New kit was installed in October - how can it have stretched?</t>
      </text>
    </comment>
  </commentList>
</comments>
</file>

<file path=xl/comments101.xml><?xml version="1.0" encoding="utf-8"?>
<comments xmlns="http://schemas.openxmlformats.org/spreadsheetml/2006/main" xmlns:mc="http://schemas.openxmlformats.org/markup-compatibility/2006" xmlns:xr="http://schemas.microsoft.com/office/spreadsheetml/2014/revision" mc:Ignorable="xr">
  <authors>
    <author>tc={129BF198-2705-4ECB-9C57-4648075F7DAD}</author>
    <author>tc={519922AF-C16B-41BA-B6CE-8AC31038AD1F}</author>
    <author>tc={5448F0E8-C891-4885-95FC-138A30D1BB17}</author>
    <author>tc={D0A6AFC7-802B-42B1-9079-009E9B05B28B}</author>
    <author>tc={A5A4CED9-5FE0-4EB4-A7E5-49ECEDDC298B}</author>
  </authors>
  <commentList>
    <comment ref="F18" authorId="0" shapeId="0" xr:uid="{129BF198-2705-4ECB-9C57-4648075F7DAD}">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519922AF-C16B-41BA-B6CE-8AC31038AD1F}">
      <text>
        <t>[Threaded comment]
Your version of Excel allows you to read this threaded comment; however, any edits to it will get removed if the file is opened in a newer version of Excel. Learn more: https://go.microsoft.com/fwlink/?linkid=870924
Comment:
    10.49 = Onedrive
Nationwide
Netflix
Printing
12 = barclays avios</t>
      </text>
    </comment>
    <comment ref="E26" authorId="2" shapeId="0" xr:uid="{5448F0E8-C891-4885-95FC-138A30D1BB17}">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3" authorId="3" shapeId="0" xr:uid="{D0A6AFC7-802B-42B1-9079-009E9B05B28B}">
      <text>
        <t>[Threaded comment]
Your version of Excel allows you to read this threaded comment; however, any edits to it will get removed if the file is opened in a newer version of Excel. Learn more: https://go.microsoft.com/fwlink/?linkid=870924
Comment:
    Kris running shoes
Katie shoes</t>
      </text>
    </comment>
    <comment ref="H44" authorId="4" shapeId="0" xr:uid="{A5A4CED9-5FE0-4EB4-A7E5-49ECEDDC298B}">
      <text>
        <t>[Threaded comment]
Your version of Excel allows you to read this threaded comment; however, any edits to it will get removed if the file is opened in a newer version of Excel. Learn more: https://go.microsoft.com/fwlink/?linkid=870924
Comment:
    113 = Parking
20 = phone data
16.5 = san carlo
120.96 = magiano
24.44 = chessecake factory
56.01 = whiskey cake
64.43 = bahama breeze
81 = v pizza
84 = jacksonville charlotte?
76 = BJs
23.28 = BJ's</t>
      </text>
    </comment>
  </commentList>
</comments>
</file>

<file path=xl/comments102.xml><?xml version="1.0" encoding="utf-8"?>
<comments xmlns="http://schemas.openxmlformats.org/spreadsheetml/2006/main" xmlns:mc="http://schemas.openxmlformats.org/markup-compatibility/2006" xmlns:xr="http://schemas.microsoft.com/office/spreadsheetml/2014/revision" mc:Ignorable="xr">
  <authors>
    <author>tc={ADD6344C-B6D5-DE48-BD05-38E10E7E2146}</author>
    <author>tc={246E4CF7-BC3A-4945-97B5-606DE1FDCB46}</author>
    <author>tc={A2213D70-8380-3D4A-9FA0-DF74BD5E8488}</author>
    <author>tc={D603AB86-5E31-0244-A4F3-5D6BE573D0E6}</author>
    <author>tc={E51CC659-7455-4DB0-ADA6-4AC2B16778DC}</author>
    <author>tc={AE3063F5-0012-442A-B6EF-C20B2DC376A7}</author>
    <author>tc={F05F34D7-B4CC-4369-B3A9-667A46306DE3}</author>
    <author>tc={C631B916-3EC2-4683-904F-CD0ED7F8D6AC}</author>
  </authors>
  <commentList>
    <comment ref="F18" authorId="0" shapeId="0" xr:uid="{ADD6344C-B6D5-DE48-BD05-38E10E7E2146}">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246E4CF7-BC3A-4945-97B5-606DE1FDCB46}">
      <text>
        <t>[Threaded comment]
Your version of Excel allows you to read this threaded comment; however, any edits to it will get removed if the file is opened in a newer version of Excel. Learn more: https://go.microsoft.com/fwlink/?linkid=870924
Comment:
    48 = mattress
137 = watch</t>
      </text>
    </comment>
    <comment ref="F24" authorId="2" shapeId="0" xr:uid="{A2213D70-8380-3D4A-9FA0-DF74BD5E8488}">
      <text>
        <t>[Threaded comment]
Your version of Excel allows you to read this threaded comment; however, any edits to it will get removed if the file is opened in a newer version of Excel. Learn more: https://go.microsoft.com/fwlink/?linkid=870924
Comment:
    10.49 = Onedrive
Nationwide
Netflix
Printing
12 = barclays avios</t>
      </text>
    </comment>
    <comment ref="E28" authorId="3" shapeId="0" xr:uid="{D603AB86-5E31-0244-A4F3-5D6BE573D0E6}">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1" authorId="4" shapeId="0" xr:uid="{E51CC659-7455-4DB0-ADA6-4AC2B16778DC}">
      <text>
        <t>[Threaded comment]
Your version of Excel allows you to read this threaded comment; however, any edits to it will get removed if the file is opened in a newer version of Excel. Learn more: https://go.microsoft.com/fwlink/?linkid=870924
Comment:
    Latvia</t>
      </text>
    </comment>
    <comment ref="H34" authorId="5" shapeId="0" xr:uid="{AE3063F5-0012-442A-B6EF-C20B2DC376A7}">
      <text>
        <t>[Threaded comment]
Your version of Excel allows you to read this threaded comment; however, any edits to it will get removed if the file is opened in a newer version of Excel. Learn more: https://go.microsoft.com/fwlink/?linkid=870924
Comment:
    Italy trips
Thailand flight rebooking
Malta</t>
      </text>
    </comment>
    <comment ref="J34" authorId="6" shapeId="0" xr:uid="{F05F34D7-B4CC-4369-B3A9-667A46306DE3}">
      <text>
        <t>[Threaded comment]
Your version of Excel allows you to read this threaded comment; however, any edits to it will get removed if the file is opened in a newer version of Excel. Learn more: https://go.microsoft.com/fwlink/?linkid=870924
Comment:
    Air asia</t>
      </text>
    </comment>
    <comment ref="H35" authorId="7" shapeId="0" xr:uid="{C631B916-3EC2-4683-904F-CD0ED7F8D6AC}">
      <text>
        <t>[Threaded comment]
Your version of Excel allows you to read this threaded comment; however, any edits to it will get removed if the file is opened in a newer version of Excel. Learn more: https://go.microsoft.com/fwlink/?linkid=870924
Comment:
    Dax
Fathers day</t>
      </text>
    </comment>
  </commentList>
</comments>
</file>

<file path=xl/comments103.xml><?xml version="1.0" encoding="utf-8"?>
<comments xmlns="http://schemas.openxmlformats.org/spreadsheetml/2006/main" xmlns:mc="http://schemas.openxmlformats.org/markup-compatibility/2006" xmlns:xr="http://schemas.microsoft.com/office/spreadsheetml/2014/revision" mc:Ignorable="xr">
  <authors>
    <author>tc={0FC0D90B-45F3-490F-AA03-B7F711B89E00}</author>
    <author>tc={67A5EE7C-66FB-4CBE-936B-E4FE31120154}</author>
    <author>tc={051ADA9E-0ADA-4A8D-8ACA-D43CE25E94ED}</author>
    <author>tc={CE873455-4464-4276-B0F9-E902673AF382}</author>
    <author>tc={2A789179-201D-4356-B471-F7AB55BC8AF2}</author>
    <author>tc={03B6EB21-253F-49C4-8813-ED922E724F79}</author>
    <author>tc={1CD9F91A-D02E-49BA-A5E9-1208DAE2A1A5}</author>
    <author>tc={85E60261-4191-4D94-BCC3-DB906529B1B7}</author>
    <author>tc={58DD5692-DAE0-4745-A119-42D523D60EDF}</author>
    <author>tc={D8BBD605-D999-1444-B6B3-5716534702C6}</author>
    <author>tc={D46D1F71-EB39-404D-BA7D-C5BDA7484420}</author>
    <author>tc={D1EFAF50-5EF4-4DB9-9A74-985A054FE7FE}</author>
    <author>tc={6EC57629-680F-46D4-B5D6-1E4B5C608304}</author>
  </authors>
  <commentList>
    <comment ref="M4" authorId="0" shapeId="0" xr:uid="{0FC0D90B-45F3-490F-AA03-B7F711B89E00}">
      <text>
        <t>[Threaded comment]
Your version of Excel allows you to read this threaded comment; however, any edits to it will get removed if the file is opened in a newer version of Excel. Learn more: https://go.microsoft.com/fwlink/?linkid=870924
Comment:
    1806.34 = bali flights
79.65 = skin (50 from savings, 30 from next wage)</t>
      </text>
    </comment>
    <comment ref="F18" authorId="1" shapeId="0" xr:uid="{67A5EE7C-66FB-4CBE-936B-E4FE31120154}">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2" shapeId="0" xr:uid="{051ADA9E-0ADA-4A8D-8ACA-D43CE25E94ED}">
      <text>
        <t>[Threaded comment]
Your version of Excel allows you to read this threaded comment; however, any edits to it will get removed if the file is opened in a newer version of Excel. Learn more: https://go.microsoft.com/fwlink/?linkid=870924
Comment:
    48 = mattress
137 = watch</t>
      </text>
    </comment>
    <comment ref="L23" authorId="3" shapeId="0" xr:uid="{CE873455-4464-4276-B0F9-E902673AF382}">
      <text>
        <t>[Threaded comment]
Your version of Excel allows you to read this threaded comment; however, any edits to it will get removed if the file is opened in a newer version of Excel. Learn more: https://go.microsoft.com/fwlink/?linkid=870924
Comment:
    50 this month, 30 next</t>
      </text>
    </comment>
    <comment ref="F24" authorId="4" shapeId="0" xr:uid="{2A789179-201D-4356-B471-F7AB55BC8AF2}">
      <text>
        <t>[Threaded comment]
Your version of Excel allows you to read this threaded comment; however, any edits to it will get removed if the file is opened in a newer version of Excel. Learn more: https://go.microsoft.com/fwlink/?linkid=870924
Comment:
    10.49 = Onedrive
Nationwide
Netflix
Printing
12 = barclays avios
15 = barclaycard premium</t>
      </text>
    </comment>
    <comment ref="E28" authorId="5" shapeId="0" xr:uid="{03B6EB21-253F-49C4-8813-ED922E724F79}">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L31" authorId="6" shapeId="0" xr:uid="{1CD9F91A-D02E-49BA-A5E9-1208DAE2A1A5}">
      <text>
        <t>[Threaded comment]
Your version of Excel allows you to read this threaded comment; however, any edits to it will get removed if the file is opened in a newer version of Excel. Learn more: https://go.microsoft.com/fwlink/?linkid=870924
Comment:
    Bmw mot</t>
      </text>
    </comment>
    <comment ref="G34" authorId="7" shapeId="0" xr:uid="{85E60261-4191-4D94-BCC3-DB906529B1B7}">
      <text>
        <t>[Threaded comment]
Your version of Excel allows you to read this threaded comment; however, any edits to it will get removed if the file is opened in a newer version of Excel. Learn more: https://go.microsoft.com/fwlink/?linkid=870924
Comment:
    Uber</t>
      </text>
    </comment>
    <comment ref="G35" authorId="8" shapeId="0" xr:uid="{58DD5692-DAE0-4745-A119-42D523D60EDF}">
      <text>
        <t>[Threaded comment]
Your version of Excel allows you to read this threaded comment; however, any edits to it will get removed if the file is opened in a newer version of Excel. Learn more: https://go.microsoft.com/fwlink/?linkid=870924
Comment:
    coco</t>
      </text>
    </comment>
    <comment ref="L35" authorId="9" shapeId="0" xr:uid="{D8BBD605-D999-1444-B6B3-5716534702C6}">
      <text>
        <t>[Threaded comment]
Your version of Excel allows you to read this threaded comment; however, any edits to it will get removed if the file is opened in a newer version of Excel. Learn more: https://go.microsoft.com/fwlink/?linkid=870924
Comment:
    Garside baby stuff</t>
      </text>
    </comment>
    <comment ref="I60" authorId="10" shapeId="0" xr:uid="{D46D1F71-EB39-404D-BA7D-C5BDA7484420}">
      <text>
        <t>[Threaded comment]
Your version of Excel allows you to read this threaded comment; however, any edits to it will get removed if the file is opened in a newer version of Excel. Learn more: https://go.microsoft.com/fwlink/?linkid=870924
Comment:
    Saving on 1 ins + 1 tax + fuel</t>
      </text>
    </comment>
    <comment ref="J64" authorId="11" shapeId="0" xr:uid="{D1EFAF50-5EF4-4DB9-9A74-985A054FE7FE}">
      <text>
        <t>[Threaded comment]
Your version of Excel allows you to read this threaded comment; however, any edits to it will get removed if the file is opened in a newer version of Excel. Learn more: https://go.microsoft.com/fwlink/?linkid=870924
Comment:
    50 now, 30 next month</t>
      </text>
    </comment>
    <comment ref="N67" authorId="12" shapeId="0" xr:uid="{6EC57629-680F-46D4-B5D6-1E4B5C608304}">
      <text>
        <t>[Threaded comment]
Your version of Excel allows you to read this threaded comment; however, any edits to it will get removed if the file is opened in a newer version of Excel. Learn more: https://go.microsoft.com/fwlink/?linkid=870924
Comment:
    160 = cash</t>
      </text>
    </comment>
  </commentList>
</comments>
</file>

<file path=xl/comments104.xml><?xml version="1.0" encoding="utf-8"?>
<comments xmlns="http://schemas.openxmlformats.org/spreadsheetml/2006/main" xmlns:mc="http://schemas.openxmlformats.org/markup-compatibility/2006" xmlns:xr="http://schemas.microsoft.com/office/spreadsheetml/2014/revision" mc:Ignorable="xr">
  <authors>
    <author>tc={29751897-7BC2-45F3-AA1F-8C55B07551F4}</author>
    <author>tc={D0107C70-07C8-4300-83DC-F72BA272FCBC}</author>
    <author>tc={BF8E223D-DEF7-4923-9CFC-5A71596B3801}</author>
    <author>tc={3D5C6BD3-79DD-434D-B3F6-4E9C0C216407}</author>
    <author>tc={EE1D764C-BEFF-9E41-9D9B-F6E49DE2469C}</author>
    <author>tc={E90A51A9-5745-AE42-B370-9A1ADBEE4E23}</author>
    <author>tc={0AAB4B20-CFA3-4BD0-B228-942AE17DEF1E}</author>
    <author>tc={F5506073-FCD2-6642-946F-C893F1A4A0A2}</author>
    <author>tc={E3A62A3B-C6B3-4F05-B17E-50321E4A91BA}</author>
  </authors>
  <commentList>
    <comment ref="F18" authorId="0" shapeId="0" xr:uid="{29751897-7BC2-45F3-AA1F-8C55B07551F4}">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D0107C70-07C8-4300-83DC-F72BA272FCBC}">
      <text>
        <t>[Threaded comment]
Your version of Excel allows you to read this threaded comment; however, any edits to it will get removed if the file is opened in a newer version of Excel. Learn more: https://go.microsoft.com/fwlink/?linkid=870924
Comment:
    48 = mattress
137 = watch</t>
      </text>
    </comment>
    <comment ref="F24" authorId="2" shapeId="0" xr:uid="{BF8E223D-DEF7-4923-9CFC-5A71596B3801}">
      <text>
        <t>[Threaded comment]
Your version of Excel allows you to read this threaded comment; however, any edits to it will get removed if the file is opened in a newer version of Excel. Learn more: https://go.microsoft.com/fwlink/?linkid=870924
Comment:
    10.49 = Onedrive
Nationwide
Netflix
Printing
12 = barclays avios
15 = barclaycard premium</t>
      </text>
    </comment>
    <comment ref="E28" authorId="3" shapeId="0" xr:uid="{3D5C6BD3-79DD-434D-B3F6-4E9C0C216407}">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L31" authorId="4" shapeId="0" xr:uid="{EE1D764C-BEFF-9E41-9D9B-F6E49DE2469C}">
      <text>
        <t>[Threaded comment]
Your version of Excel allows you to read this threaded comment; however, any edits to it will get removed if the file is opened in a newer version of Excel. Learn more: https://go.microsoft.com/fwlink/?linkid=870924
Comment:
    rosita ad
Creamy vets</t>
      </text>
    </comment>
    <comment ref="S33" authorId="5" shapeId="0" xr:uid="{E90A51A9-5745-AE42-B370-9A1ADBEE4E23}">
      <text>
        <t>[Threaded comment]
Your version of Excel allows you to read this threaded comment; however, any edits to it will get removed if the file is opened in a newer version of Excel. Learn more: https://go.microsoft.com/fwlink/?linkid=870924
Comment:
    Uber</t>
      </text>
    </comment>
    <comment ref="G34" authorId="6" shapeId="0" xr:uid="{0AAB4B20-CFA3-4BD0-B228-942AE17DEF1E}">
      <text>
        <t>[Threaded comment]
Your version of Excel allows you to read this threaded comment; however, any edits to it will get removed if the file is opened in a newer version of Excel. Learn more: https://go.microsoft.com/fwlink/?linkid=870924
Comment:
    Uber</t>
      </text>
    </comment>
    <comment ref="G39" authorId="7" shapeId="0" xr:uid="{F5506073-FCD2-6642-946F-C893F1A4A0A2}">
      <text>
        <t>[Threaded comment]
Your version of Excel allows you to read this threaded comment; however, any edits to it will get removed if the file is opened in a newer version of Excel. Learn more: https://go.microsoft.com/fwlink/?linkid=870924
Comment:
    takeaway</t>
      </text>
    </comment>
    <comment ref="F45" authorId="8" shapeId="0" xr:uid="{E3A62A3B-C6B3-4F05-B17E-50321E4A91BA}">
      <text>
        <t>[Threaded comment]
Your version of Excel allows you to read this threaded comment; however, any edits to it will get removed if the file is opened in a newer version of Excel. Learn more: https://go.microsoft.com/fwlink/?linkid=870924
Comment:
    26th - uni bois
7th - luke stag
Cinema</t>
      </text>
    </comment>
  </commentList>
</comments>
</file>

<file path=xl/comments105.xml><?xml version="1.0" encoding="utf-8"?>
<comments xmlns="http://schemas.openxmlformats.org/spreadsheetml/2006/main" xmlns:mc="http://schemas.openxmlformats.org/markup-compatibility/2006" xmlns:xr="http://schemas.microsoft.com/office/spreadsheetml/2014/revision" mc:Ignorable="xr">
  <authors>
    <author>tc={1650C13B-1197-C94A-95E8-9F2295D1F6D9}</author>
    <author>tc={E5E85477-EC6C-2342-86A5-63412B1ED6EB}</author>
    <author>tc={E8D82B01-337A-D94F-9152-32C38727E0A3}</author>
    <author>tc={D0A228F0-1419-954A-A057-2E76E2931A42}</author>
    <author>tc={28746217-ABEC-461B-8F0C-89CE6C16060E}</author>
    <author>tc={80508609-9ECB-41D4-BFED-12913187D781}</author>
    <author>tc={787357B0-4374-4CB2-9BCC-14A7D1DDC119}</author>
    <author>tc={24DF1565-C00A-465F-9354-D7A2F1130623}</author>
    <author>tc={2170B6CA-03FF-944D-BEEC-5838B4758C81}</author>
    <author>tc={A2DDE298-9FC4-0243-BBBA-4DBCBEE26151}</author>
    <author>tc={1F36BA95-1417-EB48-8A81-30DCA13CF94B}</author>
    <author>tc={732C4314-E9FE-4645-B8EF-40763D9C02EB}</author>
    <author>tc={6C7A1166-C4ED-7D41-B399-9168E920DB0E}</author>
    <author>tc={6541FA91-423B-5944-B09B-A8FD42B48121}</author>
    <author>tc={34D57A48-BDE9-7946-9995-3C4BA97DA9D9}</author>
    <author>tc={5AABE7BE-5869-F547-A078-2318A99853CB}</author>
  </authors>
  <commentList>
    <comment ref="F21" authorId="0" shapeId="0" xr:uid="{1650C13B-1197-C94A-95E8-9F2295D1F6D9}">
      <text>
        <t xml:space="preserve">[Threaded comment]
Your version of Excel allows you to read this threaded comment; however, any edits to it will get removed if the file is opened in a newer version of Excel. Learn more: https://go.microsoft.com/fwlink/?linkid=870924
Comment:
    48 = mattress
137 = watch
Reply:
    170 = barclaycard </t>
      </text>
    </comment>
    <comment ref="F23" authorId="1" shapeId="0" xr:uid="{E5E85477-EC6C-2342-86A5-63412B1ED6EB}">
      <text>
        <t>[Threaded comment]
Your version of Excel allows you to read this threaded comment; however, any edits to it will get removed if the file is opened in a newer version of Excel. Learn more: https://go.microsoft.com/fwlink/?linkid=870924
Comment:
    10.49 = Onedrive
Nationwide
Netflix
Printing
12 = barclays avios
15 = barclaycard premium</t>
      </text>
    </comment>
    <comment ref="E27" authorId="2" shapeId="0" xr:uid="{E8D82B01-337A-D94F-9152-32C38727E0A3}">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L30" authorId="3" shapeId="0" xr:uid="{D0A228F0-1419-954A-A057-2E76E2931A42}">
      <text>
        <t>[Threaded comment]
Your version of Excel allows you to read this threaded comment; however, any edits to it will get removed if the file is opened in a newer version of Excel. Learn more: https://go.microsoft.com/fwlink/?linkid=870924
Comment:
    Haircare</t>
      </text>
    </comment>
    <comment ref="H33" authorId="4" shapeId="0" xr:uid="{28746217-ABEC-461B-8F0C-89CE6C16060E}">
      <text>
        <t>[Threaded comment]
Your version of Excel allows you to read this threaded comment; however, any edits to it will get removed if the file is opened in a newer version of Excel. Learn more: https://go.microsoft.com/fwlink/?linkid=870924
Comment:
    234 = Drone - su paid cash
128 * 2 = santorini</t>
      </text>
    </comment>
    <comment ref="L34" authorId="5" shapeId="0" xr:uid="{80508609-9ECB-41D4-BFED-12913187D781}">
      <text>
        <t>[Threaded comment]
Your version of Excel allows you to read this threaded comment; however, any edits to it will get removed if the file is opened in a newer version of Excel. Learn more: https://go.microsoft.com/fwlink/?linkid=870924
Comment:
    Railway children</t>
      </text>
    </comment>
    <comment ref="H40" authorId="6" shapeId="0" xr:uid="{787357B0-4374-4CB2-9BCC-14A7D1DDC119}">
      <text>
        <t>[Threaded comment]
Your version of Excel allows you to read this threaded comment; however, any edits to it will get removed if the file is opened in a newer version of Excel. Learn more: https://go.microsoft.com/fwlink/?linkid=870924
Comment:
    25 = shoes
62 = curry
29 = luke’s wedding gift</t>
      </text>
    </comment>
    <comment ref="H41" authorId="7" shapeId="0" xr:uid="{24DF1565-C00A-465F-9354-D7A2F1130623}">
      <text>
        <t>[Threaded comment]
Your version of Excel allows you to read this threaded comment; however, any edits to it will get removed if the file is opened in a newer version of Excel. Learn more: https://go.microsoft.com/fwlink/?linkid=870924
Comment:
    54.5 = rfd (49)
33 = transferred
22.5 = rfd (22.5)
50.09 = transferred (7 rfd pending)
42.97 = arrival pending
57.92 = arrival pending
43.97 = arrival pending
44.97 = transferred 
36.53 = arrival pending
54 - asos os
93 - zara (75 rfd, 18 tran’d)
108 - lulu os</t>
      </text>
    </comment>
    <comment ref="D48" authorId="8" shapeId="0" xr:uid="{2170B6CA-03FF-944D-BEEC-5838B4758C81}">
      <text>
        <t>[Threaded comment]
Your version of Excel allows you to read this threaded comment; however, any edits to it will get removed if the file is opened in a newer version of Excel. Learn more: https://go.microsoft.com/fwlink/?linkid=870924
Comment:
    Kris xmas - 300 from birthday / gift
Remaining 400 = 100pcm next 3 months</t>
      </text>
    </comment>
    <comment ref="D49" authorId="9" shapeId="0" xr:uid="{A2DDE298-9FC4-0243-BBBA-4DBCBEE26151}">
      <text>
        <t>[Threaded comment]
Your version of Excel allows you to read this threaded comment; however, any edits to it will get removed if the file is opened in a newer version of Excel. Learn more: https://go.microsoft.com/fwlink/?linkid=870924
Comment:
    50 = current skin budget
350 = 7 * skin budget ppm</t>
      </text>
    </comment>
    <comment ref="D55" authorId="10" shapeId="0" xr:uid="{1F36BA95-1417-EB48-8A81-30DCA13CF94B}">
      <text>
        <t>[Threaded comment]
Your version of Excel allows you to read this threaded comment; however, any edits to it will get removed if the file is opened in a newer version of Excel. Learn more: https://go.microsoft.com/fwlink/?linkid=870924
Comment:
    50 = skin
150 = kris
75 = zara refund</t>
      </text>
    </comment>
    <comment ref="D56" authorId="11" shapeId="0" xr:uid="{732C4314-E9FE-4645-B8EF-40763D9C02EB}">
      <text>
        <t>[Threaded comment]
Your version of Excel allows you to read this threaded comment; however, any edits to it will get removed if the file is opened in a newer version of Excel. Learn more: https://go.microsoft.com/fwlink/?linkid=870924
Comment:
    50 = skin
150 = kris</t>
      </text>
    </comment>
    <comment ref="D57" authorId="12" shapeId="0" xr:uid="{6C7A1166-C4ED-7D41-B399-9168E920DB0E}">
      <text>
        <t>[Threaded comment]
Your version of Excel allows you to read this threaded comment; however, any edits to it will get removed if the file is opened in a newer version of Excel. Learn more: https://go.microsoft.com/fwlink/?linkid=870924
Comment:
    50 = skin
150 = kris
300 = gift</t>
      </text>
    </comment>
    <comment ref="D58" authorId="13" shapeId="0" xr:uid="{6541FA91-423B-5944-B09B-A8FD42B48121}">
      <text>
        <t>[Threaded comment]
Your version of Excel allows you to read this threaded comment; however, any edits to it will get removed if the file is opened in a newer version of Excel. Learn more: https://go.microsoft.com/fwlink/?linkid=870924
Comment:
    50 = skin
150 = kris</t>
      </text>
    </comment>
    <comment ref="K58" authorId="14" shapeId="0" xr:uid="{34D57A48-BDE9-7946-9995-3C4BA97DA9D9}">
      <text>
        <t>[Threaded comment]
Your version of Excel allows you to read this threaded comment; however, any edits to it will get removed if the file is opened in a newer version of Excel. Learn more: https://go.microsoft.com/fwlink/?linkid=870924
Comment:
    suitcase + london hotel</t>
      </text>
    </comment>
    <comment ref="K60" authorId="15" shapeId="0" xr:uid="{5AABE7BE-5869-F547-A078-2318A99853CB}">
      <text>
        <t>[Threaded comment]
Your version of Excel allows you to read this threaded comment; however, any edits to it will get removed if the file is opened in a newer version of Excel. Learn more: https://go.microsoft.com/fwlink/?linkid=870924
Comment:
    2 * food + petrol</t>
      </text>
    </comment>
  </commentList>
</comments>
</file>

<file path=xl/comments106.xml><?xml version="1.0" encoding="utf-8"?>
<comments xmlns="http://schemas.openxmlformats.org/spreadsheetml/2006/main" xmlns:mc="http://schemas.openxmlformats.org/markup-compatibility/2006" xmlns:xr="http://schemas.microsoft.com/office/spreadsheetml/2014/revision" mc:Ignorable="xr">
  <authors>
    <author>tc={6EB5E7C0-2A37-4664-AAF6-3FB518893BDB}</author>
    <author>tc={785F0F67-CBF0-4ED1-BC0B-70840A7840BF}</author>
    <author>tc={C7956F21-03DC-4D2C-8D22-501FCA3938EB}</author>
    <author>tc={EC9E9042-1795-4ED7-8233-8EA1335EC109}</author>
    <author>tc={29EC2D76-7123-5D48-9336-FC2760036C75}</author>
    <author>tc={EB6F07CB-5E2E-BE45-B4CE-F4F24C896B74}</author>
    <author>tc={41D3F6C6-8869-2447-BFF2-F4D51014A6F4}</author>
    <author>tc={AB72B08E-ACAF-F14E-BA82-4D1D51AF6322}</author>
  </authors>
  <commentList>
    <comment ref="B2" authorId="0" shapeId="0" xr:uid="{6EB5E7C0-2A37-4664-AAF6-3FB518893BDB}">
      <text>
        <t>[Threaded comment]
Your version of Excel allows you to read this threaded comment; however, any edits to it will get removed if the file is opened in a newer version of Excel. Learn more: https://go.microsoft.com/fwlink/?linkid=870924
Comment:
    $150 food credit</t>
      </text>
    </comment>
    <comment ref="B8" authorId="1" shapeId="0" xr:uid="{785F0F67-CBF0-4ED1-BC0B-70840A7840BF}">
      <text>
        <t>[Threaded comment]
Your version of Excel allows you to read this threaded comment; however, any edits to it will get removed if the file is opened in a newer version of Excel. Learn more: https://go.microsoft.com/fwlink/?linkid=870924
Comment:
    Do we have to book seats...</t>
      </text>
    </comment>
    <comment ref="B9" authorId="2" shapeId="0" xr:uid="{C7956F21-03DC-4D2C-8D22-501FCA3938EB}">
      <text>
        <t>[Threaded comment]
Your version of Excel allows you to read this threaded comment; however, any edits to it will get removed if the file is opened in a newer version of Excel. Learn more: https://go.microsoft.com/fwlink/?linkid=870924
Comment:
    Within 72h</t>
      </text>
    </comment>
    <comment ref="B25" authorId="3" shapeId="0" xr:uid="{EC9E9042-1795-4ED7-8233-8EA1335EC109}">
      <text>
        <t xml:space="preserve">[Threaded comment]
Your version of Excel allows you to read this threaded comment; however, any edits to it will get removed if the file is opened in a newer version of Excel. Learn more: https://go.microsoft.com/fwlink/?linkid=870924
Comment:
    100 = food
50 = fuel
200 = 100 a piece from fun
112 = sin internal rfds
126.79 = tattoo deposit
160 = elephants
12 = lounge pass rfd
315 = current savings
76.5 = rfs reimbursements </t>
      </text>
    </comment>
    <comment ref="C53" authorId="4" shapeId="0" xr:uid="{29EC2D76-7123-5D48-9336-FC2760036C75}">
      <text>
        <t>[Threaded comment]
Your version of Excel allows you to read this threaded comment; however, any edits to it will get removed if the file is opened in a newer version of Excel. Learn more: https://go.microsoft.com/fwlink/?linkid=870924
Comment:
    Paid with cash</t>
      </text>
    </comment>
    <comment ref="C77" authorId="5" shapeId="0" xr:uid="{EB6F07CB-5E2E-BE45-B4CE-F4F24C896B74}">
      <text>
        <t>[Threaded comment]
Your version of Excel allows you to read this threaded comment; however, any edits to it will get removed if the file is opened in a newer version of Excel. Learn more: https://go.microsoft.com/fwlink/?linkid=870924
Comment:
    Paid with cash</t>
      </text>
    </comment>
    <comment ref="C89" authorId="6" shapeId="0" xr:uid="{41D3F6C6-8869-2447-BFF2-F4D51014A6F4}">
      <text>
        <t>[Threaded comment]
Your version of Excel allows you to read this threaded comment; however, any edits to it will get removed if the file is opened in a newer version of Excel. Learn more: https://go.microsoft.com/fwlink/?linkid=870924
Comment:
    Paid with cash</t>
      </text>
    </comment>
    <comment ref="C99" authorId="7" shapeId="0" xr:uid="{AB72B08E-ACAF-F14E-BA82-4D1D51AF6322}">
      <text>
        <t>[Threaded comment]
Your version of Excel allows you to read this threaded comment; however, any edits to it will get removed if the file is opened in a newer version of Excel. Learn more: https://go.microsoft.com/fwlink/?linkid=870924
Comment:
    Paid with cash</t>
      </text>
    </comment>
  </commentList>
</comments>
</file>

<file path=xl/comments107.xml><?xml version="1.0" encoding="utf-8"?>
<comments xmlns="http://schemas.openxmlformats.org/spreadsheetml/2006/main" xmlns:mc="http://schemas.openxmlformats.org/markup-compatibility/2006" xmlns:xr="http://schemas.microsoft.com/office/spreadsheetml/2014/revision" mc:Ignorable="xr">
  <authors>
    <author>tc={C4650B8B-4B08-42BF-9515-9EFAFEB6A0C8}</author>
    <author>tc={F495E839-55CD-4FB0-950A-8F787A5EE026}</author>
    <author>tc={FA273007-13B6-4AE4-93BA-19BDD9244A4C}</author>
  </authors>
  <commentList>
    <comment ref="E1" authorId="0" shapeId="0" xr:uid="{C4650B8B-4B08-42BF-9515-9EFAFEB6A0C8}">
      <text>
        <t>[Threaded comment]
Your version of Excel allows you to read this threaded comment; however, any edits to it will get removed if the file is opened in a newer version of Excel. Learn more: https://go.microsoft.com/fwlink/?linkid=870924
Comment:
    Hoping to get back from travel insurance</t>
      </text>
    </comment>
    <comment ref="E9" authorId="1" shapeId="0" xr:uid="{F495E839-55CD-4FB0-950A-8F787A5EE026}">
      <text>
        <t>[Threaded comment]
Your version of Excel allows you to read this threaded comment; however, any edits to it will get removed if the file is opened in a newer version of Excel. Learn more: https://go.microsoft.com/fwlink/?linkid=870924
Comment:
    Paid on barclaycard</t>
      </text>
    </comment>
    <comment ref="B19" authorId="2" shapeId="0" xr:uid="{FA273007-13B6-4AE4-93BA-19BDD9244A4C}">
      <text>
        <t>[Threaded comment]
Your version of Excel allows you to read this threaded comment; however, any edits to it will get removed if the file is opened in a newer version of Excel. Learn more: https://go.microsoft.com/fwlink/?linkid=870924
Comment:
    Old phuket - 3 nights
Kata - 7 nights</t>
      </text>
    </comment>
  </commentList>
</comments>
</file>

<file path=xl/comments108.xml><?xml version="1.0" encoding="utf-8"?>
<comments xmlns="http://schemas.openxmlformats.org/spreadsheetml/2006/main" xmlns:mc="http://schemas.openxmlformats.org/markup-compatibility/2006" xmlns:xr="http://schemas.microsoft.com/office/spreadsheetml/2014/revision" mc:Ignorable="xr">
  <authors>
    <author>tc={F0CFA819-F690-4C4B-972C-FA8B965AD81D}</author>
    <author>tc={317B4F7E-3BEF-49EC-A95D-0CC5AA1E31BD}</author>
    <author>tc={93C91AB7-3777-4C2F-A2ED-E67567AE3607}</author>
    <author>tc={C979BCBB-F810-42D3-888C-F3C30192267F}</author>
    <author>tc={52D8D081-C0F7-41D3-9CF6-6EE3E8D8BE40}</author>
    <author>tc={A01AC908-712B-43EE-9C30-95EF5972F375}</author>
    <author>tc={0FAD9218-DE0B-4CA5-B03E-A64302CEF5AE}</author>
    <author>tc={8DE820E6-D445-41D6-A79C-E51BE9DEACA3}</author>
    <author>tc={C5528F61-F499-4F7B-910F-B2082AE34A93}</author>
    <author>tc={2B1249D7-B4D4-4136-9C5F-410C8D7820F6}</author>
  </authors>
  <commentList>
    <comment ref="F17" authorId="0" shapeId="0" xr:uid="{F0CFA819-F690-4C4B-972C-FA8B965AD81D}">
      <text>
        <t>[Threaded comment]
Your version of Excel allows you to read this threaded comment; however, any edits to it will get removed if the file is opened in a newer version of Excel. Learn more: https://go.microsoft.com/fwlink/?linkid=870924
Comment:
    Reimbursed every 3 months</t>
      </text>
    </comment>
    <comment ref="F22" authorId="1" shapeId="0" xr:uid="{317B4F7E-3BEF-49EC-A95D-0CC5AA1E31BD}">
      <text>
        <t>[Threaded comment]
Your version of Excel allows you to read this threaded comment; however, any edits to it will get removed if the file is opened in a newer version of Excel. Learn more: https://go.microsoft.com/fwlink/?linkid=870924
Comment:
    Onedrive
Nationwide
Netflix
Printing
9.99 = NowTv Cinema
12 = barclays avios
8.99 = disney</t>
      </text>
    </comment>
    <comment ref="E26" authorId="2" shapeId="0" xr:uid="{93C91AB7-3777-4C2F-A2ED-E67567AE3607}">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O51" authorId="3" shapeId="0" xr:uid="{C979BCBB-F810-42D3-888C-F3C30192267F}">
      <text>
        <t>[Threaded comment]
Your version of Excel allows you to read this threaded comment; however, any edits to it will get removed if the file is opened in a newer version of Excel. Learn more: https://go.microsoft.com/fwlink/?linkid=870924
Comment:
    Loans looking to swallow with mortgage</t>
      </text>
    </comment>
    <comment ref="I52" authorId="4" shapeId="0" xr:uid="{52D8D081-C0F7-41D3-9CF6-6EE3E8D8BE40}">
      <text>
        <t>[Threaded comment]
Your version of Excel allows you to read this threaded comment; however, any edits to it will get removed if the file is opened in a newer version of Excel. Learn more: https://go.microsoft.com/fwlink/?linkid=870924
Comment:
    10k fees - Stamp duty (6750), fees, etc, leaving mortgage early
21k - Car loans
5500 - furnishing</t>
      </text>
    </comment>
    <comment ref="Q53" authorId="5" shapeId="0" xr:uid="{A01AC908-712B-43EE-9C30-95EF5972F375}">
      <text>
        <t>[Threaded comment]
Your version of Excel allows you to read this threaded comment; however, any edits to it will get removed if the file is opened in a newer version of Excel. Learn more: https://go.microsoft.com/fwlink/?linkid=870924
Comment:
    EPC B -&gt; E worst case estimate</t>
      </text>
    </comment>
    <comment ref="Q55" authorId="6" shapeId="0" xr:uid="{0FAD9218-DE0B-4CA5-B03E-A64302CEF5AE}">
      <text>
        <t>[Threaded comment]
Your version of Excel allows you to read this threaded comment; however, any edits to it will get removed if the file is opened in a newer version of Excel. Learn more: https://go.microsoft.com/fwlink/?linkid=870924
Comment:
    Both band C</t>
      </text>
    </comment>
    <comment ref="H56" authorId="7" shapeId="0" xr:uid="{8DE820E6-D445-41D6-A79C-E51BE9DEACA3}">
      <text>
        <t>[Threaded comment]
Your version of Excel allows you to read this threaded comment; however, any edits to it will get removed if the file is opened in a newer version of Excel. Learn more: https://go.microsoft.com/fwlink/?linkid=870924
Comment:
    Wrap into mortgage</t>
      </text>
    </comment>
    <comment ref="Q57" authorId="8" shapeId="0" xr:uid="{C5528F61-F499-4F7B-910F-B2082AE34A93}">
      <text>
        <t>[Threaded comment]
Your version of Excel allows you to read this threaded comment; however, any edits to it will get removed if the file is opened in a newer version of Excel. Learn more: https://go.microsoft.com/fwlink/?linkid=870924
Comment:
    Doubling decreasing cover for house</t>
      </text>
    </comment>
    <comment ref="H61" authorId="9" shapeId="0" xr:uid="{2B1249D7-B4D4-4136-9C5F-410C8D7820F6}">
      <text>
        <t>[Threaded comment]
Your version of Excel allows you to read this threaded comment; however, any edits to it will get removed if the file is opened in a newer version of Excel. Learn more: https://go.microsoft.com/fwlink/?linkid=870924
Comment:
    What’s left @ 90% LTV less major extras</t>
      </text>
    </comment>
  </commentList>
</comments>
</file>

<file path=xl/comments109.xml><?xml version="1.0" encoding="utf-8"?>
<comments xmlns="http://schemas.openxmlformats.org/spreadsheetml/2006/main" xmlns:mc="http://schemas.openxmlformats.org/markup-compatibility/2006" xmlns:xr="http://schemas.microsoft.com/office/spreadsheetml/2014/revision" mc:Ignorable="xr">
  <authors>
    <author>tc={CC9FFBD4-034C-CE4C-AC23-738864D98CE6}</author>
  </authors>
  <commentList>
    <comment ref="A5" authorId="0" shapeId="0" xr:uid="{CC9FFBD4-034C-CE4C-AC23-738864D98CE6}">
      <text>
        <t>[Threaded comment]
Your version of Excel allows you to read this threaded comment; however, any edits to it will get removed if the file is opened in a newer version of Excel. Learn more: https://go.microsoft.com/fwlink/?linkid=870924
Comment:
    25k spend by EOB JAN 26</t>
      </text>
    </comment>
  </commentList>
</comments>
</file>

<file path=xl/comments110.xml><?xml version="1.0" encoding="utf-8"?>
<comments xmlns="http://schemas.openxmlformats.org/spreadsheetml/2006/main" xmlns:mc="http://schemas.openxmlformats.org/markup-compatibility/2006" xmlns:xr="http://schemas.microsoft.com/office/spreadsheetml/2014/revision" mc:Ignorable="xr">
  <authors>
    <author>tc={8231768C-A54C-40BC-8F08-71EB4946D40A}</author>
    <author>tc={487A1E01-1E3A-47F4-89D2-91D0E1988DFF}</author>
    <author>tc={3FE7EA38-5AA3-48CA-AC36-DB142FBB75ED}</author>
    <author>tc={DE3F1515-12E0-4383-8BEA-2A6909C3B358}</author>
    <author>tc={E6FAE287-2A9A-4CB1-8931-088903B5605E}</author>
    <author>tc={4ED25BAA-0769-4F3F-8F45-CA18E94E85A4}</author>
    <author>tc={AE2C86AA-2D38-445D-81B7-1544EB8A925E}</author>
    <author>tc={E79B5B71-F789-40DB-A8A9-07B5E2E7E78D}</author>
    <author>tc={03B97215-6088-4946-827A-DD78AD1D7ACD}</author>
    <author>tc={18D1A367-CDD9-47ED-B174-8DC7794C6D9D}</author>
    <author>tc={EE4C63E7-4B6F-4EA5-A48F-471B4016BAF5}</author>
    <author>tc={0FF6C755-B54A-4792-A5AD-FADACF310A19}</author>
    <author>tc={AA284742-9FCF-471D-83CE-A28AC225F51D}</author>
    <author>tc={FD0A5C4B-3994-4C08-ACBC-6877523B39FE}</author>
    <author>tc={2653FFD8-E7EA-4431-8C4F-A9E2845BDC66}</author>
    <author>tc={AA05EB73-A277-4DE5-BF9D-56DE110F8E61}</author>
    <author>tc={DB29C27C-5C18-4614-A1A7-489995CE59DD}</author>
    <author>tc={C3982A9F-E948-4C6A-846E-DB495BC75F18}</author>
    <author>tc={E2834A07-7FBA-4EB2-9462-5AD3C0BE21C2}</author>
    <author>tc={4264E82B-051B-495E-A903-1B4E1466571D}</author>
  </authors>
  <commentList>
    <comment ref="K1" authorId="0" shapeId="0" xr:uid="{8231768C-A54C-40BC-8F08-71EB4946D40A}">
      <text>
        <t>[Threaded comment]
Your version of Excel allows you to read this threaded comment; however, any edits to it will get removed if the file is opened in a newer version of Excel. Learn more: https://go.microsoft.com/fwlink/?linkid=870924
Comment:
    Barclays Premier Matures - Upgrade Voucher</t>
      </text>
    </comment>
    <comment ref="A7" authorId="1" shapeId="0" xr:uid="{487A1E01-1E3A-47F4-89D2-91D0E1988DFF}">
      <text>
        <t>[Threaded comment]
Your version of Excel allows you to read this threaded comment; however, any edits to it will get removed if the file is opened in a newer version of Excel. Learn more: https://go.microsoft.com/fwlink/?linkid=870924
Comment:
    Includes avios shopping, hotels, bonuses etc</t>
      </text>
    </comment>
    <comment ref="B7" authorId="2" shapeId="0" xr:uid="{3FE7EA38-5AA3-48CA-AC36-DB142FBB75ED}">
      <text>
        <t>[Threaded comment]
Your version of Excel allows you to read this threaded comment; however, any edits to it will get removed if the file is opened in a newer version of Excel. Learn more: https://go.microsoft.com/fwlink/?linkid=870924
Comment:
    2k pm x 1.5</t>
      </text>
    </comment>
    <comment ref="M8" authorId="3" shapeId="0" xr:uid="{DE3F1515-12E0-4383-8BEA-2A6909C3B358}">
      <text>
        <t>[Threaded comment]
Your version of Excel allows you to read this threaded comment; however, any edits to it will get removed if the file is opened in a newer version of Excel. Learn more: https://go.microsoft.com/fwlink/?linkid=870924
Comment:
    THAILAND</t>
      </text>
    </comment>
    <comment ref="N8" authorId="4" shapeId="0" xr:uid="{E6FAE287-2A9A-4CB1-8931-088903B5605E}">
      <text>
        <t>[Threaded comment]
Your version of Excel allows you to read this threaded comment; however, any edits to it will get removed if the file is opened in a newer version of Excel. Learn more: https://go.microsoft.com/fwlink/?linkid=870924
Comment:
    Christmas</t>
      </text>
    </comment>
    <comment ref="D10" authorId="5" shapeId="0" xr:uid="{4ED25BAA-0769-4F3F-8F45-CA18E94E85A4}">
      <text>
        <t>[Threaded comment]
Your version of Excel allows you to read this threaded comment; however, any edits to it will get removed if the file is opened in a newer version of Excel. Learn more: https://go.microsoft.com/fwlink/?linkid=870924
Comment:
    Matt Barclays Bonus</t>
      </text>
    </comment>
    <comment ref="F10" authorId="6" shapeId="0" xr:uid="{AE2C86AA-2D38-445D-81B7-1544EB8A925E}">
      <text>
        <t>[Threaded comment]
Your version of Excel allows you to read this threaded comment; however, any edits to it will get removed if the file is opened in a newer version of Excel. Learn more: https://go.microsoft.com/fwlink/?linkid=870924
Comment:
    KRIS - Amex welcome</t>
      </text>
    </comment>
    <comment ref="K11" authorId="7" shapeId="0" xr:uid="{E79B5B71-F789-40DB-A8A9-07B5E2E7E78D}">
      <text>
        <t>[Threaded comment]
Your version of Excel allows you to read this threaded comment; however, any edits to it will get removed if the file is opened in a newer version of Excel. Learn more: https://go.microsoft.com/fwlink/?linkid=870924
Comment:
    Universal 2026</t>
      </text>
    </comment>
    <comment ref="B19" authorId="8" shapeId="0" xr:uid="{03B97215-6088-4946-827A-DD78AD1D7ACD}">
      <text>
        <t>[Threaded comment]
Your version of Excel allows you to read this threaded comment; however, any edits to it will get removed if the file is opened in a newer version of Excel. Learn more: https://go.microsoft.com/fwlink/?linkid=870924
Comment:
    2k pm x 1.5</t>
      </text>
    </comment>
    <comment ref="G20" authorId="9" shapeId="0" xr:uid="{18D1A367-CDD9-47ED-B174-8DC7794C6D9D}">
      <text>
        <t>[Threaded comment]
Your version of Excel allows you to read this threaded comment; however, any edits to it will get removed if the file is opened in a newer version of Excel. Learn more: https://go.microsoft.com/fwlink/?linkid=870924
Comment:
    Work trip</t>
      </text>
    </comment>
    <comment ref="H20" authorId="10" shapeId="0" xr:uid="{EE4C63E7-4B6F-4EA5-A48F-471B4016BAF5}">
      <text>
        <t>[Threaded comment]
Your version of Excel allows you to read this threaded comment; however, any edits to it will get removed if the file is opened in a newer version of Excel. Learn more: https://go.microsoft.com/fwlink/?linkid=870924
Comment:
    Summer hol</t>
      </text>
    </comment>
    <comment ref="M20" authorId="11" shapeId="0" xr:uid="{0FF6C755-B54A-4792-A5AD-FADACF310A19}">
      <text>
        <t>[Threaded comment]
Your version of Excel allows you to read this threaded comment; however, any edits to it will get removed if the file is opened in a newer version of Excel. Learn more: https://go.microsoft.com/fwlink/?linkid=870924
Comment:
    Autumn hol</t>
      </text>
    </comment>
    <comment ref="N20" authorId="12" shapeId="0" xr:uid="{AA284742-9FCF-471D-83CE-A28AC225F51D}">
      <text>
        <t>[Threaded comment]
Your version of Excel allows you to read this threaded comment; however, any edits to it will get removed if the file is opened in a newer version of Excel. Learn more: https://go.microsoft.com/fwlink/?linkid=870924
Comment:
    Christmas</t>
      </text>
    </comment>
    <comment ref="B31" authorId="13" shapeId="0" xr:uid="{FD0A5C4B-3994-4C08-ACBC-6877523B39FE}">
      <text>
        <t>[Threaded comment]
Your version of Excel allows you to read this threaded comment; however, any edits to it will get removed if the file is opened in a newer version of Excel. Learn more: https://go.microsoft.com/fwlink/?linkid=870924
Comment:
    2k pm x 1.5</t>
      </text>
    </comment>
    <comment ref="G32" authorId="14" shapeId="0" xr:uid="{2653FFD8-E7EA-4431-8C4F-A9E2845BDC66}">
      <text>
        <t>[Threaded comment]
Your version of Excel allows you to read this threaded comment; however, any edits to it will get removed if the file is opened in a newer version of Excel. Learn more: https://go.microsoft.com/fwlink/?linkid=870924
Comment:
    Work trip</t>
      </text>
    </comment>
    <comment ref="H32" authorId="15" shapeId="0" xr:uid="{AA05EB73-A277-4DE5-BF9D-56DE110F8E61}">
      <text>
        <t>[Threaded comment]
Your version of Excel allows you to read this threaded comment; however, any edits to it will get removed if the file is opened in a newer version of Excel. Learn more: https://go.microsoft.com/fwlink/?linkid=870924
Comment:
    Summer hol</t>
      </text>
    </comment>
    <comment ref="M32" authorId="16" shapeId="0" xr:uid="{DB29C27C-5C18-4614-A1A7-489995CE59DD}">
      <text>
        <t>[Threaded comment]
Your version of Excel allows you to read this threaded comment; however, any edits to it will get removed if the file is opened in a newer version of Excel. Learn more: https://go.microsoft.com/fwlink/?linkid=870924
Comment:
    Autumn hol</t>
      </text>
    </comment>
    <comment ref="N32" authorId="17" shapeId="0" xr:uid="{C3982A9F-E948-4C6A-846E-DB495BC75F18}">
      <text>
        <t>[Threaded comment]
Your version of Excel allows you to read this threaded comment; however, any edits to it will get removed if the file is opened in a newer version of Excel. Learn more: https://go.microsoft.com/fwlink/?linkid=870924
Comment:
    Christmas</t>
      </text>
    </comment>
    <comment ref="C34" authorId="18" shapeId="0" xr:uid="{E2834A07-7FBA-4EB2-9462-5AD3C0BE21C2}">
      <text>
        <t>[Threaded comment]
Your version of Excel allows you to read this threaded comment; however, any edits to it will get removed if the file is opened in a newer version of Excel. Learn more: https://go.microsoft.com/fwlink/?linkid=870924
Comment:
    Matt Sign-up AMEX</t>
      </text>
    </comment>
    <comment ref="B46" authorId="19" shapeId="0" xr:uid="{4264E82B-051B-495E-A903-1B4E1466571D}">
      <text>
        <t>[Threaded comment]
Your version of Excel allows you to read this threaded comment; however, any edits to it will get removed if the file is opened in a newer version of Excel. Learn more: https://go.microsoft.com/fwlink/?linkid=870924
Comment:
    AMEX Fee
Barclaycard Fee</t>
      </text>
    </comment>
  </commentList>
</comments>
</file>

<file path=xl/comments111.xml><?xml version="1.0" encoding="utf-8"?>
<comments xmlns="http://schemas.openxmlformats.org/spreadsheetml/2006/main" xmlns:mc="http://schemas.openxmlformats.org/markup-compatibility/2006" xmlns:xr="http://schemas.microsoft.com/office/spreadsheetml/2014/revision" mc:Ignorable="xr">
  <authors>
    <author>tc={D864FA7E-839F-1541-B4B1-4B189D6CF7C1}</author>
    <author>tc={641B42F7-2EBD-0543-AB77-E9E64B015ED1}</author>
    <author>tc={A4F792CE-0C0A-474A-BB53-0EC3155DF5B1}</author>
    <author>tc={DC9A42CA-2978-6B4B-8B4B-C2E851F50234}</author>
    <author>tc={FD4A9F37-7590-9C4D-91EA-6A5B2BB4D9B4}</author>
    <author>tc={D7AC510B-BE34-C64E-B512-C181B2C769ED}</author>
    <author>tc={72375590-D6D9-F848-BA75-C66A20501348}</author>
    <author>tc={53FAB3DB-DC03-0942-BED3-0DD09DA028C4}</author>
    <author>tc={EA64619B-A79B-9A42-9189-976D406EDF74}</author>
    <author>tc={72F4CBC1-0A0C-2647-B7D2-DAEE831C42B7}</author>
    <author>tc={7FC98A0E-E186-DC4B-B2DB-C36F3CCF871C}</author>
    <author>tc={CBB58310-6E72-F04F-A3E4-49E38949E88F}</author>
  </authors>
  <commentList>
    <comment ref="G4" authorId="0" shapeId="0" xr:uid="{D864FA7E-839F-1541-B4B1-4B189D6CF7C1}">
      <text>
        <t>[Threaded comment]
Your version of Excel allows you to read this threaded comment; however, any edits to it will get removed if the file is opened in a newer version of Excel. Learn more: https://go.microsoft.com/fwlink/?linkid=870924
Comment:
    993 = amz flip</t>
      </text>
    </comment>
    <comment ref="F21" authorId="1" shapeId="0" xr:uid="{641B42F7-2EBD-0543-AB77-E9E64B015ED1}">
      <text>
        <t xml:space="preserve">[Threaded comment]
Your version of Excel allows you to read this threaded comment; however, any edits to it will get removed if the file is opened in a newer version of Excel. Learn more: https://go.microsoft.com/fwlink/?linkid=870924
Comment:
    48 = mattress
137 = watch
Reply:
    170 = barclaycard </t>
      </text>
    </comment>
    <comment ref="F23" authorId="2" shapeId="0" xr:uid="{A4F792CE-0C0A-474A-BB53-0EC3155DF5B1}">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9.49 = kindle unlimited
0.99 = audible</t>
      </text>
    </comment>
    <comment ref="E27" authorId="3" shapeId="0" xr:uid="{DC9A42CA-2978-6B4B-8B4B-C2E851F50234}">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0" authorId="4" shapeId="0" xr:uid="{FD4A9F37-7590-9C4D-91EA-6A5B2BB4D9B4}">
      <text>
        <t>[Threaded comment]
Your version of Excel allows you to read this threaded comment; however, any edits to it will get removed if the file is opened in a newer version of Excel. Learn more: https://go.microsoft.com/fwlink/?linkid=870924
Comment:
    Latvia dentist</t>
      </text>
    </comment>
    <comment ref="J30" authorId="5" shapeId="0" xr:uid="{D7AC510B-BE34-C64E-B512-C181B2C769ED}">
      <text>
        <t>[Threaded comment]
Your version of Excel allows you to read this threaded comment; however, any edits to it will get removed if the file is opened in a newer version of Excel. Learn more: https://go.microsoft.com/fwlink/?linkid=870924
Comment:
    100 = moles
25 = fine</t>
      </text>
    </comment>
    <comment ref="H32" authorId="6" shapeId="0" xr:uid="{72375590-D6D9-F848-BA75-C66A20501348}">
      <text>
        <t>[Threaded comment]
Your version of Excel allows you to read this threaded comment; however, any edits to it will get removed if the file is opened in a newer version of Excel. Learn more: https://go.microsoft.com/fwlink/?linkid=870924
Comment:
    gucci bag</t>
      </text>
    </comment>
    <comment ref="S32" authorId="7" shapeId="0" xr:uid="{53FAB3DB-DC03-0942-BED3-0DD09DA028C4}">
      <text>
        <t>[Threaded comment]
Your version of Excel allows you to read this threaded comment; however, any edits to it will get removed if the file is opened in a newer version of Excel. Learn more: https://go.microsoft.com/fwlink/?linkid=870924
Comment:
    Uber</t>
      </text>
    </comment>
    <comment ref="H33" authorId="8" shapeId="0" xr:uid="{EA64619B-A79B-9A42-9189-976D406EDF74}">
      <text>
        <t>[Threaded comment]
Your version of Excel allows you to read this threaded comment; however, any edits to it will get removed if the file is opened in a newer version of Excel. Learn more: https://go.microsoft.com/fwlink/?linkid=870924
Comment:
    186.04 = Bangkok Hotel
95.14 = Gardens by the bay
950 = vegas 2026</t>
      </text>
    </comment>
    <comment ref="H34" authorId="9" shapeId="0" xr:uid="{72F4CBC1-0A0C-2647-B7D2-DAEE831C42B7}">
      <text>
        <t>[Threaded comment]
Your version of Excel allows you to read this threaded comment; however, any edits to it will get removed if the file is opened in a newer version of Excel. Learn more: https://go.microsoft.com/fwlink/?linkid=870924
Comment:
    Mum + dad xmas</t>
      </text>
    </comment>
    <comment ref="H52" authorId="10" shapeId="0" xr:uid="{7FC98A0E-E186-DC4B-B2DB-C36F3CCF871C}">
      <text>
        <t>[Threaded comment]
Your version of Excel allows you to read this threaded comment; however, any edits to it will get removed if the file is opened in a newer version of Excel. Learn more: https://go.microsoft.com/fwlink/?linkid=870924
Comment:
    Bangkok hotel</t>
      </text>
    </comment>
    <comment ref="H53" authorId="11" shapeId="0" xr:uid="{CBB58310-6E72-F04F-A3E4-49E38949E88F}">
      <text>
        <t>[Threaded comment]
Your version of Excel allows you to read this threaded comment; however, any edits to it will get removed if the file is opened in a newer version of Excel. Learn more: https://go.microsoft.com/fwlink/?linkid=870924
Comment:
    gardens by the bay</t>
      </text>
    </comment>
  </commentList>
</comments>
</file>

<file path=xl/comments112.xml><?xml version="1.0" encoding="utf-8"?>
<comments xmlns="http://schemas.openxmlformats.org/spreadsheetml/2006/main" xmlns:mc="http://schemas.openxmlformats.org/markup-compatibility/2006" xmlns:xr="http://schemas.microsoft.com/office/spreadsheetml/2014/revision" mc:Ignorable="xr">
  <authors>
    <author>tc={30B1BBEA-8E00-43B5-A6C5-C8FA3603FE13}</author>
  </authors>
  <commentList>
    <comment ref="A6" authorId="0" shapeId="0" xr:uid="{30B1BBEA-8E00-43B5-A6C5-C8FA3603FE13}">
      <text>
        <t>[Threaded comment]
Your version of Excel allows you to read this threaded comment; however, any edits to it will get removed if the file is opened in a newer version of Excel. Learn more: https://go.microsoft.com/fwlink/?linkid=870924
Comment:
    Refund WAS available</t>
      </text>
    </comment>
  </commentList>
</comments>
</file>

<file path=xl/comments113.xml><?xml version="1.0" encoding="utf-8"?>
<comments xmlns="http://schemas.openxmlformats.org/spreadsheetml/2006/main" xmlns:mc="http://schemas.openxmlformats.org/markup-compatibility/2006" xmlns:xr="http://schemas.microsoft.com/office/spreadsheetml/2014/revision" mc:Ignorable="xr">
  <authors>
    <author>tc={D0EF9746-3B9F-4D8E-B436-0B9EAA62D4AF}</author>
    <author>tc={52DB8332-9174-4A83-8F8C-FA9EE0C4625F}</author>
    <author>tc={5F97C29C-4646-41CD-B8DA-D8E7509AF59E}</author>
    <author>tc={A21AE610-9E4A-45F7-8976-18972DD26DF8}</author>
    <author>tc={A69BE99A-DCBF-4392-B5CB-F8509F2B31D8}</author>
    <author>tc={DA99C839-3FA5-44DF-A1EC-D1C8CB956974}</author>
    <author>tc={A648B3D9-6A72-409D-9D24-30FBB3638204}</author>
    <author>tc={C0231D88-F04F-4A0F-9E38-5DFAA2E8D312}</author>
    <author>tc={46F7D04D-6454-4773-AD43-CA36EC3FAC78}</author>
    <author>tc={D3027440-E8DC-4A17-B017-CAB5B1DADDB4}</author>
    <author>tc={5B368DC7-5F3B-4274-9519-9FF2457C1417}</author>
    <author>tc={5C3C9E3A-DC49-461C-9767-409BF5B39DDD}</author>
    <author>tc={D676BD37-ADD8-4060-9E5D-D29F247B2273}</author>
  </authors>
  <commentList>
    <comment ref="G4" authorId="0" shapeId="0" xr:uid="{D0EF9746-3B9F-4D8E-B436-0B9EAA62D4AF}">
      <text>
        <t>[Threaded comment]
Your version of Excel allows you to read this threaded comment; however, any edits to it will get removed if the file is opened in a newer version of Excel. Learn more: https://go.microsoft.com/fwlink/?linkid=870924
Comment:
    993 = amz flip</t>
      </text>
    </comment>
    <comment ref="F21" authorId="1" shapeId="0" xr:uid="{52DB8332-9174-4A83-8F8C-FA9EE0C4625F}">
      <text>
        <t xml:space="preserve">[Threaded comment]
Your version of Excel allows you to read this threaded comment; however, any edits to it will get removed if the file is opened in a newer version of Excel. Learn more: https://go.microsoft.com/fwlink/?linkid=870924
Comment:
    48 = mattress
137 = watch
Reply:
    170 = barclaycard </t>
      </text>
    </comment>
    <comment ref="F24" authorId="2" shapeId="0" xr:uid="{5F97C29C-4646-41CD-B8DA-D8E7509AF59E}">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t>
      </text>
    </comment>
    <comment ref="E28" authorId="3" shapeId="0" xr:uid="{A21AE610-9E4A-45F7-8976-18972DD26DF8}">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S33" authorId="4" shapeId="0" xr:uid="{A69BE99A-DCBF-4392-B5CB-F8509F2B31D8}">
      <text>
        <t>[Threaded comment]
Your version of Excel allows you to read this threaded comment; however, any edits to it will get removed if the file is opened in a newer version of Excel. Learn more: https://go.microsoft.com/fwlink/?linkid=870924
Comment:
    Uber</t>
      </text>
    </comment>
    <comment ref="F34" authorId="5" shapeId="0" xr:uid="{DA99C839-3FA5-44DF-A1EC-D1C8CB956974}">
      <text>
        <t>[Threaded comment]
Your version of Excel allows you to read this threaded comment; however, any edits to it will get removed if the file is opened in a newer version of Excel. Learn more: https://go.microsoft.com/fwlink/?linkid=870924
Comment:
    100 = kris
100 = food
40 = fuel
100 = matt
50 = skin
830 = base
910 = bonus
107 = tattoo rfd</t>
      </text>
    </comment>
    <comment ref="G34" authorId="6" shapeId="0" xr:uid="{A648B3D9-6A72-409D-9D24-30FBB3638204}">
      <text>
        <t>[Threaded comment]
Your version of Excel allows you to read this threaded comment; however, any edits to it will get removed if the file is opened in a newer version of Excel. Learn more: https://go.microsoft.com/fwlink/?linkid=870924
Comment:
    Cash withdrawal</t>
      </text>
    </comment>
    <comment ref="G40" authorId="7" shapeId="0" xr:uid="{C0231D88-F04F-4A0F-9E38-5DFAA2E8D312}">
      <text>
        <t>[Threaded comment]
Your version of Excel allows you to read this threaded comment; however, any edits to it will get removed if the file is opened in a newer version of Excel. Learn more: https://go.microsoft.com/fwlink/?linkid=870924
Comment:
    155+30+130 = kris phone</t>
      </text>
    </comment>
    <comment ref="H41" authorId="8" shapeId="0" xr:uid="{46F7D04D-6454-4773-AD43-CA36EC3FAC78}">
      <text>
        <t xml:space="preserve">[Threaded comment]
Your version of Excel allows you to read this threaded comment; however, any edits to it will get removed if the file is opened in a newer version of Excel. Learn more: https://go.microsoft.com/fwlink/?linkid=870924
Comment:
    21 = B&amp;Q samples + tape measure
12 = B&amp;Q samples
65 = moulding
129 = moulding v2 + paint
68 = ikea
</t>
      </text>
    </comment>
    <comment ref="H54" authorId="9" shapeId="0" xr:uid="{D3027440-E8DC-4A17-B017-CAB5B1DADDB4}">
      <text>
        <t>[Threaded comment]
Your version of Excel allows you to read this threaded comment; however, any edits to it will get removed if the file is opened in a newer version of Excel. Learn more: https://go.microsoft.com/fwlink/?linkid=870924
Comment:
    Bangkok hotel</t>
      </text>
    </comment>
    <comment ref="D61" authorId="10" shapeId="0" xr:uid="{5B368DC7-5F3B-4274-9519-9FF2457C1417}">
      <text>
        <t>[Threaded comment]
Your version of Excel allows you to read this threaded comment; however, any edits to it will get removed if the file is opened in a newer version of Excel. Learn more: https://go.microsoft.com/fwlink/?linkid=870924
Comment:
    Unitl april</t>
      </text>
    </comment>
    <comment ref="D72" authorId="11" shapeId="0" xr:uid="{5C3C9E3A-DC49-461C-9767-409BF5B39DDD}">
      <text>
        <t>[Threaded comment]
Your version of Excel allows you to read this threaded comment; however, any edits to it will get removed if the file is opened in a newer version of Excel. Learn more: https://go.microsoft.com/fwlink/?linkid=870924
Comment:
    Only there for evening on day 1, reduce budget to £100 ($130)
Already applied on current defecit (3375)</t>
      </text>
    </comment>
    <comment ref="K74" authorId="12" shapeId="0" xr:uid="{D676BD37-ADD8-4060-9E5D-D29F247B2273}">
      <text>
        <t>[Threaded comment]
Your version of Excel allows you to read this threaded comment; however, any edits to it will get removed if the file is opened in a newer version of Excel. Learn more: https://go.microsoft.com/fwlink/?linkid=870924
Comment:
    117 = in room dining</t>
      </text>
    </comment>
  </commentList>
</comments>
</file>

<file path=xl/comments114.xml><?xml version="1.0" encoding="utf-8"?>
<comments xmlns="http://schemas.openxmlformats.org/spreadsheetml/2006/main" xmlns:mc="http://schemas.openxmlformats.org/markup-compatibility/2006" xmlns:xr="http://schemas.microsoft.com/office/spreadsheetml/2014/revision" mc:Ignorable="xr">
  <authors>
    <author>tc={B19B244E-1EE7-4F9A-BD82-36B013037CA9}</author>
    <author>tc={92ECADC6-04ED-4A55-A772-C672DE682317}</author>
    <author>tc={9FE61DC3-6B04-4F06-9D80-F35223D56F63}</author>
    <author>tc={D0A3EBDB-A90A-426F-BE90-85F8A3CDB1FD}</author>
    <author>tc={0F48C0C7-1F9A-4ADB-81A1-C9533AD21E22}</author>
    <author>tc={1BB04E78-7D8D-4E4B-8785-B0536C8539B7}</author>
    <author>tc={53250DC9-7BD7-4491-909C-BFB18CD6923B}</author>
    <author>tc={0AB97FC7-5A8C-4091-BBC7-28B4F9355C69}</author>
    <author>tc={A5792831-8421-43DB-8D26-CEC1D5468942}</author>
    <author>tc={CA4C7DC0-1C50-4B58-A72F-E6F75CBF20A9}</author>
    <author>tc={B02F0719-C6FA-421E-B0B2-C533FD510CFB}</author>
    <author>tc={0F960F42-3037-4D48-AFC8-0EAF175A9810}</author>
    <author>tc={6AC7AE29-D766-436C-83FD-A041C01D039A}</author>
    <author>tc={72DE463E-DB38-4392-91A6-FB73C8E94949}</author>
    <author>tc={D7B11B92-B89A-45D0-9034-F071E204E8AE}</author>
    <author>tc={0665CEF7-B7C9-4C35-A6E8-771D3876C28E}</author>
    <author>tc={8EB3979D-5A2E-4898-BF7E-0DF7DFF45896}</author>
    <author>tc={63313A82-6AE1-074A-8440-EC042D58FE4A}</author>
    <author>tc={B5BB03E4-89E8-044E-9B76-2E697758F46B}</author>
    <author>tc={0491F483-C216-4781-BDB5-0B8135522272}</author>
    <author>tc={8900BDA2-D2FA-47F2-9D0D-9504410466E1}</author>
  </authors>
  <commentList>
    <comment ref="F20" authorId="0" shapeId="0" xr:uid="{B19B244E-1EE7-4F9A-BD82-36B013037CA9}">
      <text>
        <t xml:space="preserve">[Threaded comment]
Your version of Excel allows you to read this threaded comment; however, any edits to it will get removed if the file is opened in a newer version of Excel. Learn more: https://go.microsoft.com/fwlink/?linkid=870924
Comment:
    48 = mattress
137 = watch
Reply:
    170 = barclaycard </t>
      </text>
    </comment>
    <comment ref="F21" authorId="1" shapeId="0" xr:uid="{92ECADC6-04ED-4A55-A772-C672DE682317}">
      <text>
        <t>[Threaded comment]
Your version of Excel allows you to read this threaded comment; however, any edits to it will get removed if the file is opened in a newer version of Excel. Learn more: https://go.microsoft.com/fwlink/?linkid=870924
Comment:
    Going towards vegas</t>
      </text>
    </comment>
    <comment ref="F23" authorId="2" shapeId="0" xr:uid="{9FE61DC3-6B04-4F06-9D80-F35223D56F63}">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t>
      </text>
    </comment>
    <comment ref="E27" authorId="3" shapeId="0" xr:uid="{D0A3EBDB-A90A-426F-BE90-85F8A3CDB1FD}">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G30" authorId="4" shapeId="0" xr:uid="{0F48C0C7-1F9A-4ADB-81A1-C9533AD21E22}">
      <text>
        <t>[Threaded comment]
Your version of Excel allows you to read this threaded comment; however, any edits to it will get removed if the file is opened in a newer version of Excel. Learn more: https://go.microsoft.com/fwlink/?linkid=870924
Comment:
    40 = babu</t>
      </text>
    </comment>
    <comment ref="H30" authorId="5" shapeId="0" xr:uid="{1BB04E78-7D8D-4E4B-8785-B0536C8539B7}">
      <text>
        <t>[Threaded comment]
Your version of Excel allows you to read this threaded comment; however, any edits to it will get removed if the file is opened in a newer version of Excel. Learn more: https://go.microsoft.com/fwlink/?linkid=870924
Comment:
    9.95 = hose spray gun
60 = medical form</t>
      </text>
    </comment>
    <comment ref="F33" authorId="6" shapeId="0" xr:uid="{53250DC9-7BD7-4491-909C-BFB18CD6923B}">
      <text>
        <t>[Threaded comment]
Your version of Excel allows you to read this threaded comment; however, any edits to it will get removed if the file is opened in a newer version of Excel. Learn more: https://go.microsoft.com/fwlink/?linkid=870924
Comment:
    100 = kris
100 = food
40 = fuel
100 = matt
50 = skin
830 = base
910 = bonus
107 = tattoo rfd</t>
      </text>
    </comment>
    <comment ref="H34" authorId="7" shapeId="0" xr:uid="{0AB97FC7-5A8C-4091-BBC7-28B4F9355C69}">
      <text>
        <t>[Threaded comment]
Your version of Excel allows you to read this threaded comment; however, any edits to it will get removed if the file is opened in a newer version of Excel. Learn more: https://go.microsoft.com/fwlink/?linkid=870924
Comment:
    24.99 = milners kids
23.19 = alfie
40.14 = gifts</t>
      </text>
    </comment>
    <comment ref="G39" authorId="8" shapeId="0" xr:uid="{A5792831-8421-43DB-8D26-CEC1D5468942}">
      <text>
        <t>[Threaded comment]
Your version of Excel allows you to read this threaded comment; however, any edits to it will get removed if the file is opened in a newer version of Excel. Learn more: https://go.microsoft.com/fwlink/?linkid=870924
Comment:
    cash</t>
      </text>
    </comment>
    <comment ref="H39" authorId="9" shapeId="0" xr:uid="{CA4C7DC0-1C50-4B58-A72F-E6F75CBF20A9}">
      <text>
        <t>[Threaded comment]
Your version of Excel allows you to read this threaded comment; however, any edits to it will get removed if the file is opened in a newer version of Excel. Learn more: https://go.microsoft.com/fwlink/?linkid=870924
Comment:
    4.99 = movie
2.1 = coop
3.5 = coop
0.9 = soothers
2.2 = coop</t>
      </text>
    </comment>
    <comment ref="J39" authorId="10" shapeId="0" xr:uid="{B02F0719-C6FA-421E-B0B2-C533FD510CFB}">
      <text>
        <t>[Threaded comment]
Your version of Excel allows you to read this threaded comment; however, any edits to it will get removed if the file is opened in a newer version of Excel. Learn more: https://go.microsoft.com/fwlink/?linkid=870924
Comment:
    14 = zimmer parking
3.84 = balance
12 = tong blanket</t>
      </text>
    </comment>
    <comment ref="G40" authorId="11" shapeId="0" xr:uid="{0F960F42-3037-4D48-AFC8-0EAF175A9810}">
      <text>
        <t>[Threaded comment]
Your version of Excel allows you to read this threaded comment; however, any edits to it will get removed if the file is opened in a newer version of Excel. Learn more: https://go.microsoft.com/fwlink/?linkid=870924
Comment:
    Carpet clean</t>
      </text>
    </comment>
    <comment ref="H40" authorId="12" shapeId="0" xr:uid="{6AC7AE29-D766-436C-83FD-A041C01D039A}">
      <text>
        <t>[Threaded comment]
Your version of Excel allows you to read this threaded comment; however, any edits to it will get removed if the file is opened in a newer version of Excel. Learn more: https://go.microsoft.com/fwlink/?linkid=870924
Comment:
    22.37 = tesco
16 = b&amp;m
18.07 = asda
99.17 = aldi
43.8 = fortnum</t>
      </text>
    </comment>
    <comment ref="J40" authorId="13" shapeId="0" xr:uid="{72DE463E-DB38-4392-91A6-FB73C8E94949}">
      <text>
        <t>[Threaded comment]
Your version of Excel allows you to read this threaded comment; however, any edits to it will get removed if the file is opened in a newer version of Excel. Learn more: https://go.microsoft.com/fwlink/?linkid=870924
Comment:
    56.99 = tree
15 = dunelm</t>
      </text>
    </comment>
    <comment ref="F43" authorId="14" shapeId="0" xr:uid="{D7B11B92-B89A-45D0-9034-F071E204E8AE}">
      <text>
        <t>[Threaded comment]
Your version of Excel allows you to read this threaded comment; however, any edits to it will get removed if the file is opened in a newer version of Excel. Learn more: https://go.microsoft.com/fwlink/?linkid=870924
Comment:
    2783 = base
300 = xmas gift
120 = iphone drawdown
191 = elephant refund</t>
      </text>
    </comment>
    <comment ref="F44" authorId="15" shapeId="0" xr:uid="{0665CEF7-B7C9-4C35-A6E8-771D3876C28E}">
      <text>
        <t>[Threaded comment]
Your version of Excel allows you to read this threaded comment; however, any edits to it will get removed if the file is opened in a newer version of Excel. Learn more: https://go.microsoft.com/fwlink/?linkid=870924
Comment:
    50 = skin</t>
      </text>
    </comment>
    <comment ref="G48" authorId="16" shapeId="0" xr:uid="{8EB3979D-5A2E-4898-BF7E-0DF7DFF45896}">
      <text>
        <t>[Threaded comment]
Your version of Excel allows you to read this threaded comment; however, any edits to it will get removed if the file is opened in a newer version of Excel. Learn more: https://go.microsoft.com/fwlink/?linkid=870924
Comment:
    3579.86 = wage
5 = barclays cashback
20 = iphone drawdown
Rest = kris</t>
      </text>
    </comment>
    <comment ref="N52" authorId="17" shapeId="0" xr:uid="{63313A82-6AE1-074A-8440-EC042D58FE4A}">
      <text>
        <t>[Threaded comment]
Your version of Excel allows you to read this threaded comment; however, any edits to it will get removed if the file is opened in a newer version of Excel. Learn more: https://go.microsoft.com/fwlink/?linkid=870924
Comment:
    348.38 rollover</t>
      </text>
    </comment>
    <comment ref="N53" authorId="18" shapeId="0" xr:uid="{B5BB03E4-89E8-044E-9B76-2E697758F46B}">
      <text>
        <t>[Threaded comment]
Your version of Excel allows you to read this threaded comment; however, any edits to it will get removed if the file is opened in a newer version of Excel. Learn more: https://go.microsoft.com/fwlink/?linkid=870924
Comment:
    Rolled over: 29.78</t>
      </text>
    </comment>
    <comment ref="H58" authorId="19" shapeId="0" xr:uid="{0491F483-C216-4781-BDB5-0B8135522272}">
      <text>
        <t>[Threaded comment]
Your version of Excel allows you to read this threaded comment; however, any edits to it will get removed if the file is opened in a newer version of Excel. Learn more: https://go.microsoft.com/fwlink/?linkid=870924
Comment:
    Rest next month</t>
      </text>
    </comment>
    <comment ref="K71" authorId="20" shapeId="0" xr:uid="{8900BDA2-D2FA-47F2-9D0D-9504410466E1}">
      <text>
        <t>[Threaded comment]
Your version of Excel allows you to read this threaded comment; however, any edits to it will get removed if the file is opened in a newer version of Excel. Learn more: https://go.microsoft.com/fwlink/?linkid=870924
Comment:
    117 = in room dining</t>
      </text>
    </comment>
  </commentList>
</comments>
</file>

<file path=xl/comments115.xml><?xml version="1.0" encoding="utf-8"?>
<comments xmlns="http://schemas.openxmlformats.org/spreadsheetml/2006/main" xmlns:mc="http://schemas.openxmlformats.org/markup-compatibility/2006" xmlns:xr="http://schemas.microsoft.com/office/spreadsheetml/2014/revision" mc:Ignorable="xr">
  <authors>
    <author>tc={A6E3D725-B282-4ED7-8B23-0BD5DA1E0D90}</author>
    <author>tc={61475C08-4FC6-E94F-87CF-49EF41FE93EC}</author>
    <author>tc={1B56D4E1-5B4A-7E46-BC92-5B3AD93E8BEE}</author>
    <author>tc={38F81884-E4AE-2C40-AAD8-495928B2C60D}</author>
    <author>tc={C8B63CEF-1BA8-714D-88EA-9D29640E7223}</author>
    <author>tc={F68BC6F6-431F-C346-8414-397589768DD7}</author>
    <author>tc={BDB5EFBC-580D-9F46-BEC7-BDB671C493E0}</author>
    <author>tc={A8409600-C47F-F74F-87F3-8DA587C65F2C}</author>
    <author>tc={A95A4395-51B0-7745-AA46-6717E1A9F851}</author>
    <author>tc={7B9747AE-463E-4E4D-B47B-D096F28B6CE4}</author>
    <author>tc={3236EA45-E9C2-3F4E-A97C-B90BF9768CE5}</author>
    <author>tc={2E4E23D4-ADCB-964E-9A96-DD0652B1ED86}</author>
    <author>tc={75DD2459-B93F-6A4D-9740-D20C4E61F423}</author>
    <author>tc={F06D9E02-DDE7-46E3-99CA-00BAD065505C}</author>
    <author>tc={E273D6F5-8495-4920-9151-DD11A527321D}</author>
  </authors>
  <commentList>
    <comment ref="K4" authorId="0" shapeId="0" xr:uid="{A6E3D725-B282-4ED7-8B23-0BD5DA1E0D90}">
      <text>
        <t>[Threaded comment]
Your version of Excel allows you to read this threaded comment; however, any edits to it will get removed if the file is opened in a newer version of Excel. Learn more: https://go.microsoft.com/fwlink/?linkid=870924
Comment:
    64 - kris ins rollover</t>
      </text>
    </comment>
    <comment ref="J6" authorId="1" shapeId="0" xr:uid="{61475C08-4FC6-E94F-87CF-49EF41FE93EC}">
      <text>
        <t>[Threaded comment]
Your version of Excel allows you to read this threaded comment; however, any edits to it will get removed if the file is opened in a newer version of Excel. Learn more: https://go.microsoft.com/fwlink/?linkid=870924
Comment:
    29.78 = rollover</t>
      </text>
    </comment>
    <comment ref="H7" authorId="2" shapeId="0" xr:uid="{1B56D4E1-5B4A-7E46-BC92-5B3AD93E8BEE}">
      <text>
        <t>[Threaded comment]
Your version of Excel allows you to read this threaded comment; however, any edits to it will get removed if the file is opened in a newer version of Excel. Learn more: https://go.microsoft.com/fwlink/?linkid=870924
Comment:
    M&amp;S Rollover</t>
      </text>
    </comment>
    <comment ref="F15" authorId="3" shapeId="0" xr:uid="{38F81884-E4AE-2C40-AAD8-495928B2C60D}">
      <text>
        <t>[Threaded comment]
Your version of Excel allows you to read this threaded comment; however, any edits to it will get removed if the file is opened in a newer version of Excel. Learn more: https://go.microsoft.com/fwlink/?linkid=870924
Comment:
    -5 for rewards</t>
      </text>
    </comment>
    <comment ref="F20" authorId="4" shapeId="0" xr:uid="{C8B63CEF-1BA8-714D-88EA-9D29640E7223}">
      <text>
        <t>[Threaded comment]
Your version of Excel allows you to read this threaded comment; however, any edits to it will get removed if the file is opened in a newer version of Excel. Learn more: https://go.microsoft.com/fwlink/?linkid=870924
Comment:
    48 = mattress
137 = watch
Reply:
    170 = barclaycard 
Reply:
    137.5 - moved to savings</t>
      </text>
    </comment>
    <comment ref="F21" authorId="5" shapeId="0" xr:uid="{F68BC6F6-431F-C346-8414-397589768DD7}">
      <text>
        <t>[Threaded comment]
Your version of Excel allows you to read this threaded comment; however, any edits to it will get removed if the file is opened in a newer version of Excel. Learn more: https://go.microsoft.com/fwlink/?linkid=870924
Comment:
    Going towards vegas</t>
      </text>
    </comment>
    <comment ref="F24" authorId="6" shapeId="0" xr:uid="{BDB5EFBC-580D-9F46-BEC7-BDB671C493E0}">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t>
      </text>
    </comment>
    <comment ref="E28" authorId="7" shapeId="0" xr:uid="{A8409600-C47F-F74F-87F3-8DA587C65F2C}">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5" authorId="8" shapeId="0" xr:uid="{A95A4395-51B0-7745-AA46-6717E1A9F851}">
      <text>
        <t xml:space="preserve">[Threaded comment]
Your version of Excel allows you to read this threaded comment; however, any edits to it will get removed if the file is opened in a newer version of Excel. Learn more: https://go.microsoft.com/fwlink/?linkid=870924
Comment:
    kris extra bday - 180 will return
</t>
      </text>
    </comment>
    <comment ref="J35" authorId="9" shapeId="0" xr:uid="{7B9747AE-463E-4E4D-B47B-D096F28B6CE4}">
      <text>
        <t>[Threaded comment]
Your version of Excel allows you to read this threaded comment; however, any edits to it will get removed if the file is opened in a newer version of Excel. Learn more: https://go.microsoft.com/fwlink/?linkid=870924
Comment:
    auntie julie bday
5 = church charity</t>
      </text>
    </comment>
    <comment ref="F41" authorId="10" shapeId="0" xr:uid="{3236EA45-E9C2-3F4E-A97C-B90BF9768CE5}">
      <text>
        <t>[Threaded comment]
Your version of Excel allows you to read this threaded comment; however, any edits to it will get removed if the file is opened in a newer version of Excel. Learn more: https://go.microsoft.com/fwlink/?linkid=870924
Comment:
    3389.36 = base</t>
      </text>
    </comment>
    <comment ref="F42" authorId="11" shapeId="0" xr:uid="{2E4E23D4-ADCB-964E-9A96-DD0652B1ED86}">
      <text>
        <t>[Threaded comment]
Your version of Excel allows you to read this threaded comment; however, any edits to it will get removed if the file is opened in a newer version of Excel. Learn more: https://go.microsoft.com/fwlink/?linkid=870924
Comment:
    50 = skin</t>
      </text>
    </comment>
    <comment ref="G45" authorId="12" shapeId="0" xr:uid="{75DD2459-B93F-6A4D-9740-D20C4E61F423}">
      <text>
        <t>[Threaded comment]
Your version of Excel allows you to read this threaded comment; however, any edits to it will get removed if the file is opened in a newer version of Excel. Learn more: https://go.microsoft.com/fwlink/?linkid=870924
Comment:
    3579.86 = wage
5 = barclays cashback
20 = iphone drawdown
Rest = kris</t>
      </text>
    </comment>
    <comment ref="F78" authorId="13" shapeId="0" xr:uid="{F06D9E02-DDE7-46E3-99CA-00BAD065505C}">
      <text>
        <t>[Threaded comment]
Your version of Excel allows you to read this threaded comment; however, any edits to it will get removed if the file is opened in a newer version of Excel. Learn more: https://go.microsoft.com/fwlink/?linkid=870924
Comment:
    % if pay bump is $</t>
      </text>
    </comment>
    <comment ref="F79" authorId="14" shapeId="0" xr:uid="{E273D6F5-8495-4920-9151-DD11A527321D}">
      <text>
        <t>[Threaded comment]
Your version of Excel allows you to read this threaded comment; however, any edits to it will get removed if the file is opened in a newer version of Excel. Learn more: https://go.microsoft.com/fwlink/?linkid=870924
Comment:
    % if pay rise = £</t>
      </text>
    </comment>
  </commentList>
</comments>
</file>

<file path=xl/comments116.xml><?xml version="1.0" encoding="utf-8"?>
<comments xmlns="http://schemas.openxmlformats.org/spreadsheetml/2006/main" xmlns:mc="http://schemas.openxmlformats.org/markup-compatibility/2006" xmlns:xr="http://schemas.microsoft.com/office/spreadsheetml/2014/revision" mc:Ignorable="xr">
  <authors>
    <author>tc={C166401C-8EA8-4665-BC2B-C0F1E1A736AB}</author>
    <author>tc={90CCA049-7595-3340-A728-ED0747E1926A}</author>
    <author>tc={A0BC4017-60E1-4CC2-B344-6B5CB077A99B}</author>
    <author>tc={6A436E2E-1F53-470F-AED2-37FBDCBE8524}</author>
    <author>tc={D37A5CBE-8A8A-E949-997B-4052066F8452}</author>
    <author>tc={D5290616-9F92-C445-82E6-0A68F4A315E5}</author>
    <author>tc={D5F357C5-61DB-4C7F-AF17-F37C7E3DA275}</author>
    <author>tc={40F821B2-569E-452A-A63F-89B2A0A5A848}</author>
    <author>tc={4BA281BA-461E-4D0A-9209-57B76FCA46D2}</author>
    <author>tc={B3B15E21-8876-5948-9183-434D22EE0AAF}</author>
    <author>tc={2A653943-251D-5A49-8102-298461F96003}</author>
    <author>tc={670D8A0C-AD1B-4B83-8ACD-1A9F6DCD9FE9}</author>
    <author>tc={7451BC42-7369-4EC8-8833-40CC55DEE764}</author>
    <author>tc={51FBD5A5-D124-4824-B69E-196B0FCE4459}</author>
    <author>tc={375F2763-A7BE-4D4F-8A9B-5AD177B2690A}</author>
    <author>tc={0B4E7BAA-02F3-460C-86D5-DABCBF430FDF}</author>
    <author>tc={070D8CCB-2777-4FA5-91EE-6472BECFCBF4}</author>
    <author>tc={D98CC1D5-4990-40F3-99EF-89D6E9D1765C}</author>
    <author>tc={8EF7A09E-6FBA-427C-9161-BD69A540AF4B}</author>
    <author>tc={E358C058-68AB-416A-997C-4BC521FC3C41}</author>
    <author>tc={9A8A1286-4122-E040-8AB2-65E9BD7F770A}</author>
    <author>tc={0500B72D-CC74-4D58-970F-AAF3690FA900}</author>
    <author>tc={D49B74C0-D1E7-854F-B4C5-ABB15221E68A}</author>
    <author>tc={173FFC6A-EDEE-4226-8CD6-73703271B273}</author>
    <author>tc={94E34B90-F198-4F25-B5F2-4161F4A5331E}</author>
    <author>tc={BC1E75AC-ACE4-A348-96DD-7AE2EB6B53E6}</author>
  </authors>
  <commentList>
    <comment ref="F13" authorId="0" shapeId="0" xr:uid="{C166401C-8EA8-4665-BC2B-C0F1E1A736AB}">
      <text>
        <t>[Threaded comment]
Your version of Excel allows you to read this threaded comment; however, any edits to it will get removed if the file is opened in a newer version of Excel. Learn more: https://go.microsoft.com/fwlink/?linkid=870924
Comment:
    Renews May 2026</t>
      </text>
    </comment>
    <comment ref="F15" authorId="1" shapeId="0" xr:uid="{90CCA049-7595-3340-A728-ED0747E1926A}">
      <text>
        <t>[Threaded comment]
Your version of Excel allows you to read this threaded comment; however, any edits to it will get removed if the file is opened in a newer version of Excel. Learn more: https://go.microsoft.com/fwlink/?linkid=870924
Comment:
    -5 for rewards</t>
      </text>
    </comment>
    <comment ref="F16" authorId="2" shapeId="0" xr:uid="{A0BC4017-60E1-4CC2-B344-6B5CB077A99B}">
      <text>
        <t>[Threaded comment]
Your version of Excel allows you to read this threaded comment; however, any edits to it will get removed if the file is opened in a newer version of Excel. Learn more: https://go.microsoft.com/fwlink/?linkid=870924
Comment:
    Renewal: Aug 2026</t>
      </text>
    </comment>
    <comment ref="F17" authorId="3" shapeId="0" xr:uid="{6A436E2E-1F53-470F-AED2-37FBDCBE8524}">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0" authorId="4" shapeId="0" xr:uid="{D37A5CBE-8A8A-E949-997B-4052066F8452}">
      <text>
        <t>[Threaded comment]
Your version of Excel allows you to read this threaded comment; however, any edits to it will get removed if the file is opened in a newer version of Excel. Learn more: https://go.microsoft.com/fwlink/?linkid=870924
Comment:
    48 = mattress
137 = watch
Reply:
    170 = barclaycard 
Reply:
    137.5 - moved to savings</t>
      </text>
    </comment>
    <comment ref="F21" authorId="5" shapeId="0" xr:uid="{D5290616-9F92-C445-82E6-0A68F4A315E5}">
      <text>
        <t>[Threaded comment]
Your version of Excel allows you to read this threaded comment; however, any edits to it will get removed if the file is opened in a newer version of Excel. Learn more: https://go.microsoft.com/fwlink/?linkid=870924
Comment:
    Going towards vegas</t>
      </text>
    </comment>
    <comment ref="F23" authorId="6" shapeId="0" xr:uid="{D5F357C5-61DB-4C7F-AF17-F37C7E3DA275}">
      <text>
        <t>[Threaded comment]
Your version of Excel allows you to read this threaded comment; however, any edits to it will get removed if the file is opened in a newer version of Excel. Learn more: https://go.microsoft.com/fwlink/?linkid=870924
Comment:
    50 = ?
17 = haircut</t>
      </text>
    </comment>
    <comment ref="H24" authorId="7" shapeId="0" xr:uid="{40F821B2-569E-452A-A63F-89B2A0A5A848}">
      <text>
        <t>[Threaded comment]
Your version of Excel allows you to read this threaded comment; however, any edits to it will get removed if the file is opened in a newer version of Excel. Learn more: https://go.microsoft.com/fwlink/?linkid=870924
Comment:
    gynecologist</t>
      </text>
    </comment>
    <comment ref="J24" authorId="8" shapeId="0" xr:uid="{4BA281BA-461E-4D0A-9209-57B76FCA46D2}">
      <text>
        <t>[Threaded comment]
Your version of Excel allows you to read this threaded comment; however, any edits to it will get removed if the file is opened in a newer version of Excel. Learn more: https://go.microsoft.com/fwlink/?linkid=870924
Comment:
    5.97 = coolant
14 = dvla</t>
      </text>
    </comment>
    <comment ref="F25" authorId="9" shapeId="0" xr:uid="{B3B15E21-8876-5948-9183-434D22EE0AAF}">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9" authorId="10" shapeId="0" xr:uid="{2A653943-251D-5A49-8102-298461F96003}">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0" authorId="11" shapeId="0" xr:uid="{670D8A0C-AD1B-4B83-8ACD-1A9F6DCD9FE9}">
      <text>
        <t>[Threaded comment]
Your version of Excel allows you to read this threaded comment; however, any edits to it will get removed if the file is opened in a newer version of Excel. Learn more: https://go.microsoft.com/fwlink/?linkid=870924
Comment:
    Halfords premium (MOT etc)</t>
      </text>
    </comment>
    <comment ref="G31" authorId="12" shapeId="0" xr:uid="{7451BC42-7369-4EC8-8833-40CC55DEE764}">
      <text>
        <t>[Threaded comment]
Your version of Excel allows you to read this threaded comment; however, any edits to it will get removed if the file is opened in a newer version of Excel. Learn more: https://go.microsoft.com/fwlink/?linkid=870924
Comment:
    107 = Benjamin bentley fee
70 = kris scan</t>
      </text>
    </comment>
    <comment ref="H31" authorId="13" shapeId="0" xr:uid="{51FBD5A5-D124-4824-B69E-196B0FCE4459}">
      <text>
        <t>[Threaded comment]
Your version of Excel allows you to read this threaded comment; however, any edits to it will get removed if the file is opened in a newer version of Excel. Learn more: https://go.microsoft.com/fwlink/?linkid=870924
Comment:
    107.99 = vax</t>
      </text>
    </comment>
    <comment ref="H32" authorId="14" shapeId="0" xr:uid="{375F2763-A7BE-4D4F-8A9B-5AD177B2690A}">
      <text>
        <t>[Threaded comment]
Your version of Excel allows you to read this threaded comment; however, any edits to it will get removed if the file is opened in a newer version of Excel. Learn more: https://go.microsoft.com/fwlink/?linkid=870924
Comment:
    30 = dentist deposit</t>
      </text>
    </comment>
    <comment ref="J32" authorId="15" shapeId="0" xr:uid="{0B4E7BAA-02F3-460C-86D5-DABCBF430FDF}">
      <text>
        <t>[Threaded comment]
Your version of Excel allows you to read this threaded comment; however, any edits to it will get removed if the file is opened in a newer version of Excel. Learn more: https://go.microsoft.com/fwlink/?linkid=870924
Comment:
    Luna hc</t>
      </text>
    </comment>
    <comment ref="H35" authorId="16" shapeId="0" xr:uid="{070D8CCB-2777-4FA5-91EE-6472BECFCBF4}">
      <text>
        <t>[Threaded comment]
Your version of Excel allows you to read this threaded comment; however, any edits to it will get removed if the file is opened in a newer version of Excel. Learn more: https://go.microsoft.com/fwlink/?linkid=870924
Comment:
    21 = alfie present
180.96 = mothers day
15.95 = bothams (valentines)</t>
      </text>
    </comment>
    <comment ref="J35" authorId="17" shapeId="0" xr:uid="{D98CC1D5-4990-40F3-99EF-89D6E9D1765C}">
      <text>
        <t>[Threaded comment]
Your version of Excel allows you to read this threaded comment; however, any edits to it will get removed if the file is opened in a newer version of Excel. Learn more: https://go.microsoft.com/fwlink/?linkid=870924
Comment:
    Valentines old post office</t>
      </text>
    </comment>
    <comment ref="H44" authorId="18" shapeId="0" xr:uid="{8EF7A09E-6FBA-427C-9161-BD69A540AF4B}">
      <text>
        <t>[Threaded comment]
Your version of Excel allows you to read this threaded comment; however, any edits to it will get removed if the file is opened in a newer version of Excel. Learn more: https://go.microsoft.com/fwlink/?linkid=870924
Comment:
    18 = cinema
15 = keyboard
4.2 = coop
3.25 = coop
10.99 = cinema
7.95 = cinema
51.03 = batteries + keyboard
.06 = cinema
5.95 = cinema
14.99 = bronte books</t>
      </text>
    </comment>
    <comment ref="J44" authorId="19" shapeId="0" xr:uid="{E358C058-68AB-416A-997C-4BC521FC3C41}">
      <text>
        <t>[Threaded comment]
Your version of Excel allows you to read this threaded comment; however, any edits to it will get removed if the file is opened in a newer version of Excel. Learn more: https://go.microsoft.com/fwlink/?linkid=870924
Comment:
    3
3.98
27.5 = wine night</t>
      </text>
    </comment>
    <comment ref="F45" authorId="20" shapeId="0" xr:uid="{9A8A1286-4122-E040-8AB2-65E9BD7F770A}">
      <text>
        <t>[Threaded comment]
Your version of Excel allows you to read this threaded comment; however, any edits to it will get removed if the file is opened in a newer version of Excel. Learn more: https://go.microsoft.com/fwlink/?linkid=870924
Comment:
    64 = rosita insurance</t>
      </text>
    </comment>
    <comment ref="H45" authorId="21" shapeId="0" xr:uid="{0500B72D-CC74-4D58-970F-AAF3690FA900}">
      <text>
        <t>[Threaded comment]
Your version of Excel allows you to read this threaded comment; however, any edits to it will get removed if the file is opened in a newer version of Excel. Learn more: https://go.microsoft.com/fwlink/?linkid=870924
Comment:
    Santorini rfd</t>
      </text>
    </comment>
    <comment ref="F46" authorId="22" shapeId="0" xr:uid="{D49B74C0-D1E7-854F-B4C5-ABB15221E68A}">
      <text>
        <t>[Threaded comment]
Your version of Excel allows you to read this threaded comment; however, any edits to it will get removed if the file is opened in a newer version of Excel. Learn more: https://go.microsoft.com/fwlink/?linkid=870924
Comment:
    50 = skin
118 = sin refunds</t>
      </text>
    </comment>
    <comment ref="H47" authorId="23" shapeId="0" xr:uid="{173FFC6A-EDEE-4226-8CD6-73703271B273}">
      <text>
        <t>[Threaded comment]
Your version of Excel allows you to read this threaded comment; however, any edits to it will get removed if the file is opened in a newer version of Excel. Learn more: https://go.microsoft.com/fwlink/?linkid=870924
Comment:
    18.5 = h&amp;b
7.99 = amz
16.99 = amz
12.99 = amz
58 = train
14.96 = amz
6.1 = amz
5.48 = amz
10.59 = train
5.48 = amz
9.49 = amz
2.29 = amz
4.73 = amz
3.6 = train
34 = cosy c
3.2 = trian
2.6 = train</t>
      </text>
    </comment>
    <comment ref="J47" authorId="24" shapeId="0" xr:uid="{94E34B90-F198-4F25-B5F2-4161F4A5331E}">
      <text>
        <t>[Threaded comment]
Your version of Excel allows you to read this threaded comment; however, any edits to it will get removed if the file is opened in a newer version of Excel. Learn more: https://go.microsoft.com/fwlink/?linkid=870924
Comment:
    53 = old post office
49 = equafleece</t>
      </text>
    </comment>
    <comment ref="G49" authorId="25" shapeId="0" xr:uid="{BC1E75AC-ACE4-A348-96DD-7AE2EB6B53E6}">
      <text>
        <t>[Threaded comment]
Your version of Excel allows you to read this threaded comment; however, any edits to it will get removed if the file is opened in a newer version of Excel. Learn more: https://go.microsoft.com/fwlink/?linkid=870924
Comment:
    3579.86 = wage
5 = barclays cashback
20 = iphone drawdown
Rest = kris</t>
      </text>
    </comment>
  </commentList>
</comments>
</file>

<file path=xl/comments117.xml><?xml version="1.0" encoding="utf-8"?>
<comments xmlns="http://schemas.openxmlformats.org/spreadsheetml/2006/main" xmlns:mc="http://schemas.openxmlformats.org/markup-compatibility/2006" xmlns:xr="http://schemas.microsoft.com/office/spreadsheetml/2014/revision" mc:Ignorable="xr">
  <authors>
    <author>tc={B976B0BB-BD92-4699-A120-172AECAC280A}</author>
  </authors>
  <commentList>
    <comment ref="E6" authorId="0" shapeId="0" xr:uid="{B976B0BB-BD92-4699-A120-172AECAC280A}">
      <text>
        <t>[Threaded comment]
Your version of Excel allows you to read this threaded comment; however, any edits to it will get removed if the file is opened in a newer version of Excel. Learn more: https://go.microsoft.com/fwlink/?linkid=870924
Comment:
    Every 3-5 years</t>
      </text>
    </comment>
  </commentList>
</comments>
</file>

<file path=xl/comments118.xml><?xml version="1.0" encoding="utf-8"?>
<comments xmlns="http://schemas.openxmlformats.org/spreadsheetml/2006/main" xmlns:mc="http://schemas.openxmlformats.org/markup-compatibility/2006" xmlns:xr="http://schemas.microsoft.com/office/spreadsheetml/2014/revision" mc:Ignorable="xr">
  <authors>
    <author>tc={BA495B3B-246C-FF4C-AFE9-0B1F8E60FCF3}</author>
    <author>tc={5BB65F57-59C0-8D48-9C32-95E5A0A9D6F0}</author>
    <author>tc={6F7974E1-6318-4E1E-B536-C178E879F7E4}</author>
    <author>tc={E1DC8B79-5D2D-4DD4-9C2F-04E88E384980}</author>
    <author>tc={6E6DC4DC-CF76-834A-B131-AB48896ADF30}</author>
    <author>tc={F2D90D3B-9F61-4EDB-81DE-B079E3026D1D}</author>
    <author>tc={AB87245E-A215-3047-BEDC-11E82F41773D}</author>
    <author>tc={C1A43CFE-BDF3-8A4C-9996-21C8B89D5AC4}</author>
  </authors>
  <commentList>
    <comment ref="D2" authorId="0" shapeId="0" xr:uid="{BA495B3B-246C-FF4C-AFE9-0B1F8E60FCF3}">
      <text>
        <t>[Threaded comment]
Your version of Excel allows you to read this threaded comment; however, any edits to it will get removed if the file is opened in a newer version of Excel. Learn more: https://go.microsoft.com/fwlink/?linkid=870924
Comment:
    Changeable once per year - last changed in Dec 2025</t>
      </text>
    </comment>
    <comment ref="E4" authorId="1" shapeId="0" xr:uid="{5BB65F57-59C0-8D48-9C32-95E5A0A9D6F0}">
      <text>
        <t>[Threaded comment]
Your version of Excel allows you to read this threaded comment; however, any edits to it will get removed if the file is opened in a newer version of Excel. Learn more: https://go.microsoft.com/fwlink/?linkid=870924
Comment:
    Already close to billing date</t>
      </text>
    </comment>
    <comment ref="E6" authorId="2" shapeId="0" xr:uid="{6F7974E1-6318-4E1E-B536-C178E879F7E4}">
      <text>
        <t>[Threaded comment]
Your version of Excel allows you to read this threaded comment; however, any edits to it will get removed if the file is opened in a newer version of Excel. Learn more: https://go.microsoft.com/fwlink/?linkid=870924
Comment:
    Already close to billing date</t>
      </text>
    </comment>
    <comment ref="D9" authorId="3" shapeId="0" xr:uid="{E1DC8B79-5D2D-4DD4-9C2F-04E88E384980}">
      <text>
        <t>[Threaded comment]
Your version of Excel allows you to read this threaded comment; however, any edits to it will get removed if the file is opened in a newer version of Excel. Learn more: https://go.microsoft.com/fwlink/?linkid=870924
Comment:
    Asked on 27th, they could only move it to the 22nd. Should I ask 5-7 days earlier?</t>
      </text>
    </comment>
    <comment ref="E15" authorId="4" shapeId="0" xr:uid="{6E6DC4DC-CF76-834A-B131-AB48896ADF30}">
      <text>
        <t>[Threaded comment]
Your version of Excel allows you to read this threaded comment; however, any edits to it will get removed if the file is opened in a newer version of Excel. Learn more: https://go.microsoft.com/fwlink/?linkid=870924
Comment:
    Try again in Jan</t>
      </text>
    </comment>
    <comment ref="A17" authorId="5" shapeId="0" xr:uid="{F2D90D3B-9F61-4EDB-81DE-B079E3026D1D}">
      <text>
        <t>[Threaded comment]
Your version of Excel allows you to read this threaded comment; however, any edits to it will get removed if the file is opened in a newer version of Excel. Learn more: https://go.microsoft.com/fwlink/?linkid=870924
Comment:
    Could only move one policy, the other would be in arrears and moving would cause a double payment</t>
      </text>
    </comment>
    <comment ref="D27" authorId="6" shapeId="0" xr:uid="{AB87245E-A215-3047-BEDC-11E82F41773D}">
      <text>
        <t>[Threaded comment]
Your version of Excel allows you to read this threaded comment; however, any edits to it will get removed if the file is opened in a newer version of Excel. Learn more: https://go.microsoft.com/fwlink/?linkid=870924
Comment:
    Call 0800 15 22 888</t>
      </text>
    </comment>
    <comment ref="C28" authorId="7" shapeId="0" xr:uid="{C1A43CFE-BDF3-8A4C-9996-21C8B89D5AC4}">
      <text>
        <t>[Threaded comment]
Your version of Excel allows you to read this threaded comment; however, any edits to it will get removed if the file is opened in a newer version of Excel. Learn more: https://go.microsoft.com/fwlink/?linkid=870924
Comment:
    Last day of month</t>
      </text>
    </comment>
  </commentList>
</comments>
</file>

<file path=xl/comments119.xml><?xml version="1.0" encoding="utf-8"?>
<comments xmlns="http://schemas.openxmlformats.org/spreadsheetml/2006/main" xmlns:mc="http://schemas.openxmlformats.org/markup-compatibility/2006" xmlns:xr="http://schemas.microsoft.com/office/spreadsheetml/2014/revision" mc:Ignorable="xr">
  <authors>
    <author>tc={71CD5D72-DFFC-4E68-BB26-8B91ED0AA56A}</author>
    <author>tc={46B7549C-920A-471F-B30F-0A32A67F6080}</author>
    <author>tc={26C43D81-F8FF-4D09-9A3F-D3EEC618A747}</author>
    <author>tc={5381FA19-862E-4C7D-90C9-7989B83BCBE6}</author>
    <author>tc={48FFC043-804D-40BD-8880-B3252D7641F8}</author>
    <author>tc={99FCC4AF-259D-4AB6-B1CF-F594B0BFE23C}</author>
    <author>tc={606E0239-B75B-4908-BA63-BA3DEB8C2F52}</author>
    <author>tc={974B549F-4DFF-4270-90B1-08CB4259F1D3}</author>
    <author>tc={F28EA45B-C70F-497F-AF09-F3B94CF835E2}</author>
    <author>tc={DE88CC17-A6A9-470B-90D4-56CB43D54C10}</author>
    <author>tc={A44BA57C-5E92-42E5-8ED8-2DEEF337E863}</author>
    <author>tc={FBA381D0-4D23-4BF7-BBB4-C3B53E5B11CF}</author>
    <author>tc={5E33EAFC-EA41-49F3-92E9-0F1041ED860E}</author>
    <author>tc={89D141B9-1714-47F5-8F86-38C7C9F7D515}</author>
    <author>tc={274CB9BF-CAA2-4032-9FDC-124B5058CF85}</author>
    <author>tc={0CAC8945-8B69-49BF-92AD-8F8756486969}</author>
    <author>tc={890162A7-A94C-47D0-9340-D5D680F4AA4C}</author>
    <author>tc={6B5C743C-838E-496B-96A7-6E46CFD7616E}</author>
    <author>tc={5FFAA724-B077-4A0F-841B-954113C74A4C}</author>
    <author>tc={18262B4F-7E86-421A-96F6-E8405C866310}</author>
    <author>tc={77641F00-767E-4A1B-8029-A48CAF3547B1}</author>
    <author>tc={39CA4CD0-F0EE-4B39-9453-0C98FBC45588}</author>
    <author>tc={04750342-48A5-4562-ABBD-7A892F458821}</author>
    <author>tc={68BA0176-44C0-4847-B793-03D0DB85D4F3}</author>
    <author>tc={77B42D44-5C2F-41C0-9895-F5429B42F347}</author>
    <author>tc={C7F69C43-965D-4374-ADE7-6E712731FAE1}</author>
    <author>tc={96F0645B-38EE-498C-9FC3-8A25C9665139}</author>
    <author>tc={B6D60E53-65A6-4F47-9E18-0247ACB4B40C}</author>
    <author>tc={D246B196-A3C4-4BF3-9DA4-B5BD9BFD5E3C}</author>
    <author>tc={3031BEE3-DAAC-43D5-A29B-2789C86E1591}</author>
    <author>tc={F4519749-657A-41B6-86E5-C6746E390DC0}</author>
    <author>tc={7B7600CD-DCCE-4571-9C86-B76DB0135C51}</author>
    <author>tc={D4BB86C7-BFD8-4AEE-A608-A6009D194D19}</author>
    <author>tc={584A8FAF-4FB8-41C8-AA7B-CADACEB313C2}</author>
    <author>tc={56322D17-CC5D-4D3F-9B4E-241C3B7DC0E4}</author>
    <author>tc={F22DAE65-C205-45A3-B581-2B366F62A99F}</author>
    <author>tc={112FFD0E-CF39-E044-8FA4-FC2A1217F3C4}</author>
    <author>tc={B49049A9-881E-4F4D-A26A-C0E2FB676630}</author>
    <author>tc={14958433-0643-4226-98EA-056F10B3D0C7}</author>
    <author>tc={776788B7-5327-49A6-96AD-CC9ED3A70DBA}</author>
    <author>tc={3245F4B0-D9A1-4201-B20A-E761E812672C}</author>
    <author>tc={EF5F49C2-13CA-4781-85D0-A7E45B959584}</author>
    <author>tc={5DFBEA87-2A57-4288-8968-8997F2D14FE3}</author>
    <author>tc={FE867E8C-BC4A-4504-B466-5936085513C3}</author>
    <author>tc={E1E295B1-434F-49CE-A3F4-FD7CA6326953}</author>
    <author>tc={0FFAFFF4-8577-49C1-BB97-E2C269D4B0CA}</author>
    <author>tc={951A540D-54C7-4053-A6D2-BAA6F4E9AFC9}</author>
    <author>tc={562EA5C0-B03B-4F0A-86D9-9D7AA404D481}</author>
    <author>tc={92058090-B4DD-46A9-96E8-EE339D5DC6D3}</author>
    <author>tc={1084079F-B75D-46A2-98D5-FE5EB48A38E1}</author>
    <author>tc={0B1F758D-78C2-4F95-BE8D-773F8D92B6B9}</author>
    <author>tc={B1524E57-7F93-4D5F-99F2-46FBC34CCFC8}</author>
    <author>tc={673BF27E-1217-4C14-80F1-FAD70C212910}</author>
    <author>tc={1399A89C-5D46-4C83-9C55-E89EF7FD1D4E}</author>
    <author>tc={CBA5011A-D388-45E0-94D7-5179DCBC2FBB}</author>
    <author>tc={DBFA3520-54F3-4E33-907E-F7A75EAB9891}</author>
    <author>tc={9C97D516-BCCD-4CB8-BC86-999BE7581433}</author>
    <author>tc={7D6C74E4-BC57-451D-8F55-1F4FBE5CABE3}</author>
    <author>tc={1D1027B6-F2D0-4485-978F-9F154984B517}</author>
    <author>tc={CC050207-61E6-42BA-9611-309AABBDB739}</author>
    <author>tc={B2908895-E743-4A22-98CB-FB048CB5F902}</author>
    <author>tc={BCE56CA5-2AE9-4F7D-8522-78B507FA634D}</author>
    <author>tc={597F3C15-3050-49C4-B285-23AD5AFE96A7}</author>
    <author>tc={D28A5706-07ED-4FC7-968A-1B395940F056}</author>
    <author>tc={430C2401-6139-4339-A37A-DC5C6A5FB7BD}</author>
    <author>tc={15D1BF27-7790-41E8-9CB9-9A1DB9132EF2}</author>
    <author>tc={F2D89743-10F1-4FC7-BB53-5B3EAC8CCE86}</author>
    <author>tc={F5D5D89B-B218-463D-AE01-3A011629C1D5}</author>
    <author>tc={9001FF65-E71D-452F-A2C4-F7E612A39B21}</author>
    <author>tc={0FDBEFE2-049D-44B9-96ED-7730A80561DA}</author>
    <author>tc={B1B59C3A-7019-4FE9-A954-69CE9DD311B0}</author>
    <author>tc={F3AE6B9A-8D38-4D3B-8627-4D8529D8F48C}</author>
    <author>tc={EFD6AF81-9A8B-4AE5-97B5-41B7C7A0CE9A}</author>
    <author>tc={A9C04755-04B8-4032-BF9A-38A06430318F}</author>
    <author>tc={C3656A71-D26B-4273-B03B-6ECBFD15F87A}</author>
    <author>tc={14E70E79-2FCA-4B74-9A5A-31B8CF1B1FA2}</author>
    <author>tc={84890584-DE80-4237-BFCA-F79DADBD9B40}</author>
    <author>tc={156C2C05-6002-4B9F-8C43-86C302486099}</author>
    <author>tc={8FC3BCA8-0A7F-4174-B5BB-E3BD56CC120C}</author>
    <author>tc={B9141356-841C-4EEE-84A4-B0FB6E1087C0}</author>
    <author>tc={0057D56D-F0D1-4F11-8A35-08B88BF29059}</author>
    <author>tc={E54649FF-A894-4599-B923-45FF22CA606F}</author>
    <author>tc={BCB2C43B-5C2F-49C6-B5FC-6E860B8A1679}</author>
    <author>tc={F7899A79-08AA-4EAD-A7AC-93889A405A5E}</author>
    <author>tc={2D03B90D-DB75-41DF-B9C3-B62D8E8AB154}</author>
    <author>tc={48858568-14B2-485D-8C2C-65F0FCE7209D}</author>
    <author>tc={616AF26E-7419-4C93-BD64-27358DF9B3D8}</author>
    <author>tc={D05306C7-515B-4429-95A5-2324D834ACF1}</author>
    <author>tc={FD59C873-4F3A-4EB4-AB35-B9CBE8A2D4B2}</author>
    <author>tc={A20C9864-0058-4A0C-AF98-7A6E27EF9775}</author>
    <author>tc={6B83A119-7B54-4921-BF48-A7E86C8AF02B}</author>
    <author>tc={F6EA948E-1824-4124-8004-3694C003548B}</author>
    <author>tc={9F2C6024-BD75-4814-9D44-A4ED33C02AD0}</author>
    <author>tc={6B8FC8A7-BB45-4630-9C46-CF1A82DE17DE}</author>
    <author>tc={55B32921-B942-4FD4-BA36-9D730D4C406E}</author>
    <author>tc={05D236B1-C38E-4ACC-9591-79F2274ECC8C}</author>
    <author>tc={55057CE3-CB83-4716-B96B-50DA38859B9D}</author>
    <author>tc={5AEB7C2A-ACF7-451B-9EDF-AAB450EBD3EC}</author>
    <author>tc={5D2B45E8-9812-4BCC-8274-C4DC450B9347}</author>
    <author>tc={4F41E719-86E1-4514-9AB2-50E9A4ADD18E}</author>
    <author>tc={34067F1B-E20A-44EA-B9CF-A6A923767093}</author>
    <author>tc={423592A4-DCC9-4DE9-9C26-B45F2EDADBA1}</author>
    <author>tc={518D6C41-091B-404B-83A8-9F5DEF83CDCD}</author>
    <author>tc={27379B02-38AB-4621-80C0-CF9EB93FCE7C}</author>
    <author>tc={8E9901B2-F3A3-4E7C-A72E-A166E408A4AA}</author>
    <author>tc={AB145828-9E31-47F5-8AC7-2641BEB53B7E}</author>
    <author>tc={0DFFD671-B883-4297-9FDE-66F542658B6F}</author>
    <author>tc={0CA74709-6264-4A80-A91F-E30546714954}</author>
    <author>tc={E291E865-6995-2848-941F-99CD2BF03E5D}</author>
    <author>tc={073E39C1-CA6E-4415-A4D4-EE4B6BBAC6DF}</author>
    <author>tc={BE8EFE52-041A-4DD1-B52C-5FFAD80395FC}</author>
    <author>tc={4559E558-F152-464A-9FE2-07A5E551B2B8}</author>
    <author>tc={88C7978E-62A3-4184-8E06-B6683B0F1205}</author>
    <author>tc={CBF88476-3458-42C0-BB67-F349A85354AC}</author>
    <author>tc={84A0CAE3-75A6-4D80-9751-0091D0A90104}</author>
    <author>tc={CF60018A-D086-475E-870F-310873F20E15}</author>
    <author>tc={A0C0CCEC-9A22-4A89-9315-3E3B71A28ACC}</author>
    <author>tc={B5F96C1E-4FC6-410F-A41B-D49F7EC14106}</author>
    <author>tc={B8758560-A323-46F7-9FFD-F93409FDFB95}</author>
    <author>tc={08DA14DB-2D71-4CF2-AC13-617B0DE9D019}</author>
    <author>tc={C6BF438E-0087-41A4-959F-1636C06715AE}</author>
    <author>tc={46A72634-4EA6-4059-AD94-7F151CCF82DB}</author>
    <author>tc={2333DC0A-1E7E-4936-8611-0385276503F9}</author>
    <author>tc={EB304326-C4DA-466D-8344-9AFE71E4A41B}</author>
    <author>tc={A442ADD9-C7E5-4128-9E8E-785FE02F68E8}</author>
    <author>tc={AD92731B-8426-4153-AD6F-7A011C63BFC7}</author>
    <author>tc={8290EBD7-FE0B-4DC7-B74D-B1F6107B67E3}</author>
    <author>tc={20AF780E-FA0A-4E8B-96A9-22DCFA4035BE}</author>
    <author>tc={CEE72364-E1B9-425E-B84A-D416685B37C5}</author>
    <author>tc={133AB4F8-55AC-49D8-821E-772ED57F5358}</author>
    <author>tc={2BF8F956-46D1-426C-A621-BBFB432D2FD0}</author>
    <author>tc={B383A1D2-54ED-47AA-8BFF-91E93A238AD5}</author>
    <author>tc={35CAB7CC-C5EB-4004-8F42-0FCA170EBADA}</author>
    <author>tc={EACEB7CF-4F30-45C8-8DD0-BFA72DB88C5D}</author>
    <author>tc={56C5CFD4-8DC7-4B56-BC45-3027AF60784B}</author>
    <author>tc={6CE83862-535A-42E3-8030-CCB0489A35EA}</author>
    <author>tc={1335F1B5-FD99-4017-BE2E-5ADD6E36D250}</author>
    <author>tc={EEAE09AB-7EB7-49CF-8BFA-DEEB5BA09C93}</author>
    <author>tc={98A003D0-9E6F-4D7D-A678-739C702C17CB}</author>
    <author>tc={91E86FBA-012B-4892-9DC6-A2A4EC4585DA}</author>
    <author>tc={68AE6DA9-09C9-4EF8-975F-424F7AE1E210}</author>
    <author>tc={289A227A-5BCB-4BCC-B1D4-36CCF16153BD}</author>
    <author>tc={6F1E7241-7B47-4FD0-906A-E57C0F977ED1}</author>
    <author>tc={2848A9F7-AEC5-487A-BB1C-BE7A5CBE5237}</author>
    <author>tc={682C684A-D713-4D6E-801B-762D89A1CF33}</author>
    <author>tc={0D421C41-9116-448E-BF11-88FA9CC17F33}</author>
    <author>tc={4424F4C2-916C-471E-AB3C-8ECD568E73C3}</author>
    <author>tc={90F49F7A-0832-41D8-B390-B9722B4B5B3B}</author>
    <author>tc={98DD6D00-1BA3-43DE-9A0A-A8424AA1AC25}</author>
    <author>tc={3F5AB386-7F50-4F47-B922-20EE935AAFC0}</author>
    <author>tc={09CBB6B6-2888-49B9-9BA7-B9172A23577B}</author>
    <author>tc={CB039603-1FC9-45C5-8989-59D6850549F6}</author>
    <author>tc={C8BC74A0-1625-4E59-B5F2-8164194C2BEF}</author>
    <author>tc={B5240384-B578-4492-9C5E-2524C35F5FC6}</author>
    <author>tc={9D9515DA-9748-4974-9B0A-CF369812B933}</author>
    <author>tc={0ABFD1F8-80C4-4D8E-A18A-C126C5D00463}</author>
    <author>tc={2F886747-91BC-497E-8BF3-86336761C40B}</author>
    <author>tc={54AD0B21-7A77-4014-849D-C260E98F03BA}</author>
    <author>tc={76388C09-F162-4F55-9D9A-8E893938CE01}</author>
    <author>tc={8FF89B29-EE9F-40C1-B84C-F373EF8A22F3}</author>
    <author>tc={A352D321-0292-482E-AFB9-3D402916C2B4}</author>
    <author>tc={D45D60ED-E361-4B60-80CE-AAD6B4D19957}</author>
    <author>tc={168199CE-6523-44E3-B1C0-270A281CE114}</author>
    <author>tc={5E7929A1-25F7-4523-9F6A-0A71E9D182AC}</author>
    <author>tc={AED7AAE0-8880-4871-8E9A-FA918006230B}</author>
    <author>tc={DD0BDD77-64B4-4E3B-B98C-7E3D82045F8E}</author>
    <author>tc={DF4F67C2-DC34-4536-BAD1-13178C2F9BA3}</author>
    <author>tc={2D511D78-6265-41A0-A1B8-64F376A8E7B7}</author>
    <author>tc={6218F8A2-C50C-4FCD-9AD5-F1BE000B8C38}</author>
    <author>tc={25E67008-91D8-46A3-87BE-247EF0C5ADA2}</author>
    <author>tc={E17C3A15-8141-4998-99CE-F046D824F426}</author>
    <author>tc={9E954C92-ED36-4040-9E37-0F8695E97784}</author>
    <author>tc={13017B96-A055-4DF3-89CB-E7B58C71066C}</author>
    <author>tc={6F142EC7-5671-4ECE-9203-C8A0BECDDE42}</author>
    <author>tc={7BAD7D26-D244-4DC7-AD94-5966282C11ED}</author>
    <author>tc={1EC3814F-3DC1-42FC-9450-9DA9E88D8C6B}</author>
    <author>tc={7BE9C83A-3308-4988-9EE5-D6649C4A0C47}</author>
    <author>tc={919ABA47-008E-40AD-ABDC-7C5B59689926}</author>
    <author>tc={9828DC44-2898-48A1-BFAC-015B9211A059}</author>
    <author>tc={8FF1949C-423A-457E-9405-3071DB2E3377}</author>
    <author>tc={47A41C94-F594-4C06-8D2D-39652FC57682}</author>
    <author>tc={6BA7EF9D-FC12-4126-AD41-22A30BFA1ACA}</author>
    <author>tc={4C73A93A-C625-42C0-B038-09C747871BE3}</author>
    <author>tc={A2A09946-035D-42DB-A870-ED3C3E3B7A20}</author>
    <author>tc={0A280931-290A-4CF6-A98C-1E427CE99D37}</author>
    <author>tc={47A91C59-1B31-4CE9-B7F4-10AD26F54AC4}</author>
    <author>tc={A471778E-E0F5-4F52-B3F0-908DE7DC5F05}</author>
    <author>tc={DD3361AB-4B14-4505-80F3-D74A51D70337}</author>
    <author>tc={15B961D2-396E-4D4E-A9E9-26A39CBAFC55}</author>
    <author>tc={FB7E3DB4-D3CE-4CB1-986F-7AB0BC51CC2B}</author>
    <author>tc={2D6638B4-4AE0-4E9F-93AA-12DD89B3A7E6}</author>
    <author>tc={429D2230-EBEF-4EBD-835F-8FDC83B7D1B8}</author>
    <author>tc={3AC9E84F-FA3D-4B14-93CA-0C2CDBE8CD87}</author>
    <author>tc={F8C75D5D-87DC-4802-86D5-03342C021CED}</author>
    <author>tc={C7EA5171-16C7-4F61-9546-AEADB1B6D793}</author>
    <author>tc={580DA63F-566C-493D-B639-4B1010E911F3}</author>
    <author>tc={104AFCB5-CC77-45A8-B79D-CC029B5064E9}</author>
    <author>tc={35123EC1-8BAF-489A-BF4E-1C31CF181ECC}</author>
  </authors>
  <commentList>
    <comment ref="G2" authorId="0" shapeId="0" xr:uid="{71CD5D72-DFFC-4E68-BB26-8B91ED0AA56A}">
      <text>
        <t>[Threaded comment]
Your version of Excel allows you to read this threaded comment; however, any edits to it will get removed if the file is opened in a newer version of Excel. Learn more: https://go.microsoft.com/fwlink/?linkid=870924
Comment:
    1 year anniversary
Reply:
    italy w hills</t>
      </text>
    </comment>
    <comment ref="K2" authorId="1" shapeId="0" xr:uid="{46B7549C-920A-471F-B30F-0A32A67F6080}">
      <text>
        <t>[Threaded comment]
Your version of Excel allows you to read this threaded comment; however, any edits to it will get removed if the file is opened in a newer version of Excel. Learn more: https://go.microsoft.com/fwlink/?linkid=870924
Comment:
    Matt 30th</t>
      </text>
    </comment>
    <comment ref="L2" authorId="2" shapeId="0" xr:uid="{26C43D81-F8FF-4D09-9A3F-D3EEC618A747}">
      <text>
        <t>[Threaded comment]
Your version of Excel allows you to read this threaded comment; however, any edits to it will get removed if the file is opened in a newer version of Excel. Learn more: https://go.microsoft.com/fwlink/?linkid=870924
Comment:
    10 year anniversary</t>
      </text>
    </comment>
    <comment ref="N2" authorId="3" shapeId="0" xr:uid="{5381FA19-862E-4C7D-90C9-7989B83BCBE6}">
      <text>
        <t>[Threaded comment]
Your version of Excel allows you to read this threaded comment; however, any edits to it will get removed if the file is opened in a newer version of Excel. Learn more: https://go.microsoft.com/fwlink/?linkid=870924
Comment:
    Kris 30th</t>
      </text>
    </comment>
    <comment ref="C3" authorId="4" shapeId="0" xr:uid="{48FFC043-804D-40BD-8880-B3252D7641F8}">
      <text>
        <t>[Threaded comment]
Your version of Excel allows you to read this threaded comment; however, any edits to it will get removed if the file is opened in a newer version of Excel. Learn more: https://go.microsoft.com/fwlink/?linkid=870924
Comment:
    1578 - bonus
40 - earphone sale
40 - watch sale
30 - gift budget (honey voucher, amz voucher)
25 - dress return
30 - kris wage (lulu top)
120 - cash
36 - matt fun (van gogh)</t>
      </text>
    </comment>
    <comment ref="D3" authorId="5" shapeId="0" xr:uid="{99FCC4AF-259D-4AB6-B1CF-F594B0BFE23C}">
      <text>
        <t>[Threaded comment]
Your version of Excel allows you to read this threaded comment; however, any edits to it will get removed if the file is opened in a newer version of Excel. Learn more: https://go.microsoft.com/fwlink/?linkid=870924
Comment:
    75 - Matt fun for opera
325 - extra bonus</t>
      </text>
    </comment>
    <comment ref="E3" authorId="6" shapeId="0" xr:uid="{606E0239-B75B-4908-BA63-BA3DEB8C2F52}">
      <text>
        <t>[Threaded comment]
Your version of Excel allows you to read this threaded comment; however, any edits to it will get removed if the file is opened in a newer version of Excel. Learn more: https://go.microsoft.com/fwlink/?linkid=870924
Comment:
    100 - cashback claim
400 - sales
400 - pension rfd</t>
      </text>
    </comment>
    <comment ref="F3" authorId="7" shapeId="0" xr:uid="{974B549F-4DFF-4270-90B1-08CB4259F1D3}">
      <text>
        <t>[Threaded comment]
Your version of Excel allows you to read this threaded comment; however, any edits to it will get removed if the file is opened in a newer version of Excel. Learn more: https://go.microsoft.com/fwlink/?linkid=870924
Comment:
    200 - matt fun
200 - kris fun</t>
      </text>
    </comment>
    <comment ref="H3" authorId="8" shapeId="0" xr:uid="{F28EA45B-C70F-497F-AF09-F3B94CF835E2}">
      <text>
        <t>[Threaded comment]
Your version of Excel allows you to read this threaded comment; however, any edits to it will get removed if the file is opened in a newer version of Excel. Learn more: https://go.microsoft.com/fwlink/?linkid=870924
Comment:
    90 - fitness
300 - amex cashback
1225 - remortgage excess</t>
      </text>
    </comment>
    <comment ref="I3" authorId="9" shapeId="0" xr:uid="{DE88CC17-A6A9-470B-90D4-56CB43D54C10}">
      <text>
        <t>[Threaded comment]
Your version of Excel allows you to read this threaded comment; however, any edits to it will get removed if the file is opened in a newer version of Excel. Learn more: https://go.microsoft.com/fwlink/?linkid=870924
Comment:
    1000 - bonus</t>
      </text>
    </comment>
    <comment ref="K3" authorId="10" shapeId="0" xr:uid="{A44BA57C-5E92-42E5-8ED8-2DEEF337E863}">
      <text>
        <t>[Threaded comment]
Your version of Excel allows you to read this threaded comment; however, any edits to it will get removed if the file is opened in a newer version of Excel. Learn more: https://go.microsoft.com/fwlink/?linkid=870924
Comment:
    90 - fitness</t>
      </text>
    </comment>
    <comment ref="L3" authorId="11" shapeId="0" xr:uid="{FBA381D0-4D23-4BF7-BBB4-C3B53E5B11CF}">
      <text>
        <t>[Threaded comment]
Your version of Excel allows you to read this threaded comment; however, any edits to it will get removed if the file is opened in a newer version of Excel. Learn more: https://go.microsoft.com/fwlink/?linkid=870924
Comment:
    800 - bonus</t>
      </text>
    </comment>
    <comment ref="N3" authorId="12" shapeId="0" xr:uid="{5E33EAFC-EA41-49F3-92E9-0F1041ED860E}">
      <text>
        <t>[Threaded comment]
Your version of Excel allows you to read this threaded comment; however, any edits to it will get removed if the file is opened in a newer version of Excel. Learn more: https://go.microsoft.com/fwlink/?linkid=870924
Comment:
    90 - fitness</t>
      </text>
    </comment>
    <comment ref="D4" authorId="13" shapeId="0" xr:uid="{89D141B9-1714-47F5-8F86-38C7C9F7D515}">
      <text>
        <t>[Threaded comment]
Your version of Excel allows you to read this threaded comment; however, any edits to it will get removed if the file is opened in a newer version of Excel. Learn more: https://go.microsoft.com/fwlink/?linkid=870924
Comment:
    +90 cash
+40 cash</t>
      </text>
    </comment>
    <comment ref="I5" authorId="14" shapeId="0" xr:uid="{274CB9BF-CAA2-4032-9FDC-124B5058CF85}">
      <text>
        <t>[Threaded comment]
Your version of Excel allows you to read this threaded comment; however, any edits to it will get removed if the file is opened in a newer version of Excel. Learn more: https://go.microsoft.com/fwlink/?linkid=870924
Comment:
    BMW MOT + Service</t>
      </text>
    </comment>
    <comment ref="L5" authorId="15" shapeId="0" xr:uid="{0CAC8945-8B69-49BF-92AD-8F8756486969}">
      <text>
        <t>[Threaded comment]
Your version of Excel allows you to read this threaded comment; however, any edits to it will get removed if the file is opened in a newer version of Excel. Learn more: https://go.microsoft.com/fwlink/?linkid=870924
Comment:
    Audi MOT + Service</t>
      </text>
    </comment>
    <comment ref="E6" authorId="16" shapeId="0" xr:uid="{890162A7-A94C-47D0-9340-D5D680F4AA4C}">
      <text>
        <t>[Threaded comment]
Your version of Excel allows you to read this threaded comment; however, any edits to it will get removed if the file is opened in a newer version of Excel. Learn more: https://go.microsoft.com/fwlink/?linkid=870924
Comment:
    Car respray</t>
      </text>
    </comment>
    <comment ref="G6" authorId="17" shapeId="0" xr:uid="{6B5C743C-838E-496B-96A7-6E46CFD7616E}">
      <text>
        <t>[Threaded comment]
Your version of Excel allows you to read this threaded comment; however, any edits to it will get removed if the file is opened in a newer version of Excel. Learn more: https://go.microsoft.com/fwlink/?linkid=870924
Comment:
    Car repair</t>
      </text>
    </comment>
    <comment ref="C9" authorId="18" shapeId="0" xr:uid="{5FFAA724-B077-4A0F-841B-954113C74A4C}">
      <text>
        <t>[Threaded comment]
Your version of Excel allows you to read this threaded comment; however, any edits to it will get removed if the file is opened in a newer version of Excel. Learn more: https://go.microsoft.com/fwlink/?linkid=870924
Comment:
    Valentines day</t>
      </text>
    </comment>
    <comment ref="D9" authorId="19" shapeId="0" xr:uid="{18262B4F-7E86-421A-96F6-E8405C866310}">
      <text>
        <t>[Threaded comment]
Your version of Excel allows you to read this threaded comment; however, any edits to it will get removed if the file is opened in a newer version of Excel. Learn more: https://go.microsoft.com/fwlink/?linkid=870924
Comment:
    Mothers day
National womens day</t>
      </text>
    </comment>
    <comment ref="E9" authorId="20" shapeId="0" xr:uid="{77641F00-767E-4A1B-8029-A48CAF3547B1}">
      <text>
        <t>[Threaded comment]
Your version of Excel allows you to read this threaded comment; however, any edits to it will get removed if the file is opened in a newer version of Excel. Learn more: https://go.microsoft.com/fwlink/?linkid=870924
Comment:
    Mum anniversary</t>
      </text>
    </comment>
    <comment ref="G9" authorId="21" shapeId="0" xr:uid="{39CA4CD0-F0EE-4B39-9453-0C98FBC45588}">
      <text>
        <t>[Threaded comment]
Your version of Excel allows you to read this threaded comment; however, any edits to it will get removed if the file is opened in a newer version of Excel. Learn more: https://go.microsoft.com/fwlink/?linkid=870924
Comment:
    Fathers day</t>
      </text>
    </comment>
    <comment ref="H9" authorId="22" shapeId="0" xr:uid="{04750342-48A5-4562-ABBD-7A892F458821}">
      <text>
        <t>[Threaded comment]
Your version of Excel allows you to read this threaded comment; however, any edits to it will get removed if the file is opened in a newer version of Excel. Learn more: https://go.microsoft.com/fwlink/?linkid=870924
Comment:
    Name day</t>
      </text>
    </comment>
    <comment ref="K9" authorId="23" shapeId="0" xr:uid="{68BA0176-44C0-4847-B793-03D0DB85D4F3}">
      <text>
        <t>[Threaded comment]
Your version of Excel allows you to read this threaded comment; however, any edits to it will get removed if the file is opened in a newer version of Excel. Learn more: https://go.microsoft.com/fwlink/?linkid=870924
Comment:
    Anniversary</t>
      </text>
    </comment>
    <comment ref="M9" authorId="24" shapeId="0" xr:uid="{77B42D44-5C2F-41C0-9895-F5429B42F347}">
      <text>
        <t>[Threaded comment]
Your version of Excel allows you to read this threaded comment; however, any edits to it will get removed if the file is opened in a newer version of Excel. Learn more: https://go.microsoft.com/fwlink/?linkid=870924
Comment:
    Xmas</t>
      </text>
    </comment>
    <comment ref="N9" authorId="25" shapeId="0" xr:uid="{C7F69C43-965D-4374-ADE7-6E712731FAE1}">
      <text>
        <t>[Threaded comment]
Your version of Excel allows you to read this threaded comment; however, any edits to it will get removed if the file is opened in a newer version of Excel. Learn more: https://go.microsoft.com/fwlink/?linkid=870924
Comment:
    Xmas</t>
      </text>
    </comment>
    <comment ref="E11" authorId="26" shapeId="0" xr:uid="{96F0645B-38EE-498C-9FC3-8A25C9665139}">
      <text>
        <t>[Threaded comment]
Your version of Excel allows you to read this threaded comment; however, any edits to it will get removed if the file is opened in a newer version of Excel. Learn more: https://go.microsoft.com/fwlink/?linkid=870924
Comment:
    400 - italy flights
270 - scotland cabin
645 - scotland</t>
      </text>
    </comment>
    <comment ref="F11" authorId="27" shapeId="0" xr:uid="{B6D60E53-65A6-4F47-9E18-0247ACB4B40C}">
      <text>
        <t>[Threaded comment]
Your version of Excel allows you to read this threaded comment; however, any edits to it will get removed if the file is opened in a newer version of Excel. Learn more: https://go.microsoft.com/fwlink/?linkid=870924
Comment:
    Scotland</t>
      </text>
    </comment>
    <comment ref="H11" authorId="28" shapeId="0" xr:uid="{D246B196-A3C4-4BF3-9DA4-B5BD9BFD5E3C}">
      <text>
        <t>[Threaded comment]
Your version of Excel allows you to read this threaded comment; however, any edits to it will get removed if the file is opened in a newer version of Excel. Learn more: https://go.microsoft.com/fwlink/?linkid=870924
Comment:
    Italy</t>
      </text>
    </comment>
    <comment ref="K11" authorId="29" shapeId="0" xr:uid="{3031BEE3-DAAC-43D5-A29B-2789C86E1591}">
      <text>
        <t>[Threaded comment]
Your version of Excel allows you to read this threaded comment; however, any edits to it will get removed if the file is opened in a newer version of Excel. Learn more: https://go.microsoft.com/fwlink/?linkid=870924
Comment:
    Latvia</t>
      </text>
    </comment>
    <comment ref="N11" authorId="30" shapeId="0" xr:uid="{F4519749-657A-41B6-86E5-C6746E390DC0}">
      <text>
        <t>[Threaded comment]
Your version of Excel allows you to read this threaded comment; however, any edits to it will get removed if the file is opened in a newer version of Excel. Learn more: https://go.microsoft.com/fwlink/?linkid=870924
Comment:
    Philippines</t>
      </text>
    </comment>
    <comment ref="G19" authorId="31" shapeId="0" xr:uid="{7B7600CD-DCCE-4571-9C86-B76DB0135C51}">
      <text>
        <t>[Threaded comment]
Your version of Excel allows you to read this threaded comment; however, any edits to it will get removed if the file is opened in a newer version of Excel. Learn more: https://go.microsoft.com/fwlink/?linkid=870924
Comment:
    1 year anniversary</t>
      </text>
    </comment>
    <comment ref="J19" authorId="32" shapeId="0" xr:uid="{D4BB86C7-BFD8-4AEE-A608-A6009D194D19}">
      <text>
        <t>[Threaded comment]
Your version of Excel allows you to read this threaded comment; however, any edits to it will get removed if the file is opened in a newer version of Excel. Learn more: https://go.microsoft.com/fwlink/?linkid=870924
Comment:
    £300 AMEX RENEWAL</t>
      </text>
    </comment>
    <comment ref="K19" authorId="33" shapeId="0" xr:uid="{584A8FAF-4FB8-41C8-AA7B-CADACEB313C2}">
      <text>
        <t>[Threaded comment]
Your version of Excel allows you to read this threaded comment; however, any edits to it will get removed if the file is opened in a newer version of Excel. Learn more: https://go.microsoft.com/fwlink/?linkid=870924
Comment:
    Matt 30th</t>
      </text>
    </comment>
    <comment ref="L19" authorId="34" shapeId="0" xr:uid="{56322D17-CC5D-4D3F-9B4E-241C3B7DC0E4}">
      <text>
        <t>[Threaded comment]
Your version of Excel allows you to read this threaded comment; however, any edits to it will get removed if the file is opened in a newer version of Excel. Learn more: https://go.microsoft.com/fwlink/?linkid=870924
Comment:
    10 year anniversary</t>
      </text>
    </comment>
    <comment ref="N19" authorId="35" shapeId="0" xr:uid="{F22DAE65-C205-45A3-B581-2B366F62A99F}">
      <text>
        <t>[Threaded comment]
Your version of Excel allows you to read this threaded comment; however, any edits to it will get removed if the file is opened in a newer version of Excel. Learn more: https://go.microsoft.com/fwlink/?linkid=870924
Comment:
    Kris 30th</t>
      </text>
    </comment>
    <comment ref="C20" authorId="36" shapeId="0" xr:uid="{112FFD0E-CF39-E044-8FA4-FC2A1217F3C4}">
      <text>
        <t>[Threaded comment]
Your version of Excel allows you to read this threaded comment; however, any edits to it will get removed if the file is opened in a newer version of Excel. Learn more: https://go.microsoft.com/fwlink/?linkid=870924
Comment:
    Pre savings</t>
      </text>
    </comment>
    <comment ref="D20" authorId="37" shapeId="0" xr:uid="{B49049A9-881E-4F4D-A26A-C0E2FB676630}">
      <text>
        <t>[Threaded comment]
Your version of Excel allows you to read this threaded comment; however, any edits to it will get removed if the file is opened in a newer version of Excel. Learn more: https://go.microsoft.com/fwlink/?linkid=870924
Comment:
    Bonus</t>
      </text>
    </comment>
    <comment ref="F20" authorId="38" shapeId="0" xr:uid="{14958433-0643-4226-98EA-056F10B3D0C7}">
      <text>
        <t>[Threaded comment]
Your version of Excel allows you to read this threaded comment; however, any edits to it will get removed if the file is opened in a newer version of Excel. Learn more: https://go.microsoft.com/fwlink/?linkid=870924
Comment:
    200 - matt fun
200 - kris fun</t>
      </text>
    </comment>
    <comment ref="G20" authorId="39" shapeId="0" xr:uid="{776788B7-5327-49A6-96AD-CC9ED3A70DBA}">
      <text>
        <t>[Threaded comment]
Your version of Excel allows you to read this threaded comment; however, any edits to it will get removed if the file is opened in a newer version of Excel. Learn more: https://go.microsoft.com/fwlink/?linkid=870924
Comment:
    480 - sales</t>
      </text>
    </comment>
    <comment ref="H20" authorId="40" shapeId="0" xr:uid="{3245F4B0-D9A1-4201-B20A-E761E812672C}">
      <text>
        <t xml:space="preserve">[Threaded comment]
Your version of Excel allows you to read this threaded comment; however, any edits to it will get removed if the file is opened in a newer version of Excel. Learn more: https://go.microsoft.com/fwlink/?linkid=870924
Comment:
    400 - sales
</t>
      </text>
    </comment>
    <comment ref="I20" authorId="41" shapeId="0" xr:uid="{EF5F49C2-13CA-4781-85D0-A7E45B959584}">
      <text>
        <t>[Threaded comment]
Your version of Excel allows you to read this threaded comment; however, any edits to it will get removed if the file is opened in a newer version of Excel. Learn more: https://go.microsoft.com/fwlink/?linkid=870924
Comment:
    1000 - bonus (hoping for extra 200)
90 - get moving
40 - phone
935 - extras
700 - extra from loan consolidation + payment break</t>
      </text>
    </comment>
    <comment ref="J20" authorId="42" shapeId="0" xr:uid="{5DFBEA87-2A57-4288-8968-8997F2D14FE3}">
      <text>
        <t>[Threaded comment]
Your version of Excel allows you to read this threaded comment; however, any edits to it will get removed if the file is opened in a newer version of Excel. Learn more: https://go.microsoft.com/fwlink/?linkid=870924
Comment:
    487 - loan payment break</t>
      </text>
    </comment>
    <comment ref="K20" authorId="43" shapeId="0" xr:uid="{FE867E8C-BC4A-4504-B466-5936085513C3}">
      <text>
        <t>[Threaded comment]
Your version of Excel allows you to read this threaded comment; however, any edits to it will get removed if the file is opened in a newer version of Excel. Learn more: https://go.microsoft.com/fwlink/?linkid=870924
Comment:
    90 - fitness
100 - bank interest</t>
      </text>
    </comment>
    <comment ref="L20" authorId="44" shapeId="0" xr:uid="{E1E295B1-434F-49CE-A3F4-FD7CA6326953}">
      <text>
        <t>[Threaded comment]
Your version of Excel allows you to read this threaded comment; however, any edits to it will get removed if the file is opened in a newer version of Excel. Learn more: https://go.microsoft.com/fwlink/?linkid=870924
Comment:
    800 - bonus</t>
      </text>
    </comment>
    <comment ref="N20" authorId="45" shapeId="0" xr:uid="{0FFAFFF4-8577-49C1-BB97-E2C269D4B0CA}">
      <text>
        <t>[Threaded comment]
Your version of Excel allows you to read this threaded comment; however, any edits to it will get removed if the file is opened in a newer version of Excel. Learn more: https://go.microsoft.com/fwlink/?linkid=870924
Comment:
    90 - fitness</t>
      </text>
    </comment>
    <comment ref="D21" authorId="46" shapeId="0" xr:uid="{951A540D-54C7-4053-A6D2-BAA6F4E9AFC9}">
      <text>
        <t>[Threaded comment]
Your version of Excel allows you to read this threaded comment; however, any edits to it will get removed if the file is opened in a newer version of Excel. Learn more: https://go.microsoft.com/fwlink/?linkid=870924
Comment:
    +90 cash</t>
      </text>
    </comment>
    <comment ref="F21" authorId="47" shapeId="0" xr:uid="{562EA5C0-B03B-4F0A-86D9-9D7AA404D481}">
      <text>
        <t>[Threaded comment]
Your version of Excel allows you to read this threaded comment; however, any edits to it will get removed if the file is opened in a newer version of Excel. Learn more: https://go.microsoft.com/fwlink/?linkid=870924
Comment:
    ACTUAL</t>
      </text>
    </comment>
    <comment ref="C22" authorId="48" shapeId="0" xr:uid="{92058090-B4DD-46A9-96E8-EE339D5DC6D3}">
      <text>
        <t>[Threaded comment]
Your version of Excel allows you to read this threaded comment; however, any edits to it will get removed if the file is opened in a newer version of Excel. Learn more: https://go.microsoft.com/fwlink/?linkid=870924
Comment:
    Rosita service</t>
      </text>
    </comment>
    <comment ref="G22" authorId="49" shapeId="0" xr:uid="{1084079F-B75D-46A2-98D5-FE5EB48A38E1}">
      <text>
        <t>[Threaded comment]
Your version of Excel allows you to read this threaded comment; however, any edits to it will get removed if the file is opened in a newer version of Excel. Learn more: https://go.microsoft.com/fwlink/?linkid=870924
Comment:
    Rosita MOT</t>
      </text>
    </comment>
    <comment ref="H22" authorId="50" shapeId="0" xr:uid="{0B1F758D-78C2-4F95-BE8D-773F8D92B6B9}">
      <text>
        <t>[Threaded comment]
Your version of Excel allows you to read this threaded comment; however, any edits to it will get removed if the file is opened in a newer version of Excel. Learn more: https://go.microsoft.com/fwlink/?linkid=870924
Comment:
    BMW MOT + Service</t>
      </text>
    </comment>
    <comment ref="L22" authorId="51" shapeId="0" xr:uid="{B1524E57-7F93-4D5F-99F2-46FBC34CCFC8}">
      <text>
        <t>[Threaded comment]
Your version of Excel allows you to read this threaded comment; however, any edits to it will get removed if the file is opened in a newer version of Excel. Learn more: https://go.microsoft.com/fwlink/?linkid=870924
Comment:
    Rosita MOT</t>
      </text>
    </comment>
    <comment ref="C26" authorId="52" shapeId="0" xr:uid="{673BF27E-1217-4C14-80F1-FAD70C212910}">
      <text>
        <t>[Threaded comment]
Your version of Excel allows you to read this threaded comment; however, any edits to it will get removed if the file is opened in a newer version of Excel. Learn more: https://go.microsoft.com/fwlink/?linkid=870924
Comment:
    Valentines day</t>
      </text>
    </comment>
    <comment ref="D26" authorId="53" shapeId="0" xr:uid="{1399A89C-5D46-4C83-9C55-E89EF7FD1D4E}">
      <text>
        <t>[Threaded comment]
Your version of Excel allows you to read this threaded comment; however, any edits to it will get removed if the file is opened in a newer version of Excel. Learn more: https://go.microsoft.com/fwlink/?linkid=870924
Comment:
    Mothers day
National womens day
Inesa bday
Tanya bday</t>
      </text>
    </comment>
    <comment ref="E26" authorId="54" shapeId="0" xr:uid="{CBA5011A-D388-45E0-94D7-5179DCBC2FBB}">
      <text>
        <t>[Threaded comment]
Your version of Excel allows you to read this threaded comment; however, any edits to it will get removed if the file is opened in a newer version of Excel. Learn more: https://go.microsoft.com/fwlink/?linkid=870924
Comment:
    Dad birthday
Mum + dad anniversary</t>
      </text>
    </comment>
    <comment ref="F26" authorId="55" shapeId="0" xr:uid="{DBFA3520-54F3-4E33-907E-F7A75EAB9891}">
      <text>
        <t>[Threaded comment]
Your version of Excel allows you to read this threaded comment; however, any edits to it will get removed if the file is opened in a newer version of Excel. Learn more: https://go.microsoft.com/fwlink/?linkid=870924
Comment:
    anniversary</t>
      </text>
    </comment>
    <comment ref="G26" authorId="56" shapeId="0" xr:uid="{9C97D516-BCCD-4CB8-BC86-999BE7581433}">
      <text>
        <t>[Threaded comment]
Your version of Excel allows you to read this threaded comment; however, any edits to it will get removed if the file is opened in a newer version of Excel. Learn more: https://go.microsoft.com/fwlink/?linkid=870924
Comment:
    Fathers day</t>
      </text>
    </comment>
    <comment ref="H26" authorId="57" shapeId="0" xr:uid="{7D6C74E4-BC57-451D-8F55-1F4FBE5CABE3}">
      <text>
        <t>[Threaded comment]
Your version of Excel allows you to read this threaded comment; however, any edits to it will get removed if the file is opened in a newer version of Excel. Learn more: https://go.microsoft.com/fwlink/?linkid=870924
Comment:
    Name day</t>
      </text>
    </comment>
    <comment ref="K26" authorId="58" shapeId="0" xr:uid="{1D1027B6-F2D0-4485-978F-9F154984B517}">
      <text>
        <t>[Threaded comment]
Your version of Excel allows you to read this threaded comment; however, any edits to it will get removed if the file is opened in a newer version of Excel. Learn more: https://go.microsoft.com/fwlink/?linkid=870924
Comment:
    Anniversary</t>
      </text>
    </comment>
    <comment ref="M26" authorId="59" shapeId="0" xr:uid="{CC050207-61E6-42BA-9611-309AABBDB739}">
      <text>
        <t>[Threaded comment]
Your version of Excel allows you to read this threaded comment; however, any edits to it will get removed if the file is opened in a newer version of Excel. Learn more: https://go.microsoft.com/fwlink/?linkid=870924
Comment:
    Xmas</t>
      </text>
    </comment>
    <comment ref="N26" authorId="60" shapeId="0" xr:uid="{B2908895-E743-4A22-98CB-FB048CB5F902}">
      <text>
        <t>[Threaded comment]
Your version of Excel allows you to read this threaded comment; however, any edits to it will get removed if the file is opened in a newer version of Excel. Learn more: https://go.microsoft.com/fwlink/?linkid=870924
Comment:
    NYE - 130: MAY Transferred 130 to friend</t>
      </text>
    </comment>
    <comment ref="C29" authorId="61" shapeId="0" xr:uid="{BCE56CA5-2AE9-4F7D-8522-78B507FA634D}">
      <text>
        <t>[Threaded comment]
Your version of Excel allows you to read this threaded comment; however, any edits to it will get removed if the file is opened in a newer version of Excel. Learn more: https://go.microsoft.com/fwlink/?linkid=870924
Comment:
    2k Vietnam
500 orlando
800 morocco</t>
      </text>
    </comment>
    <comment ref="D29" authorId="62" shapeId="0" xr:uid="{597F3C15-3050-49C4-B285-23AD5AFE96A7}">
      <text>
        <t>[Threaded comment]
Your version of Excel allows you to read this threaded comment; however, any edits to it will get removed if the file is opened in a newer version of Excel. Learn more: https://go.microsoft.com/fwlink/?linkid=870924
Comment:
    Car finance feeder</t>
      </text>
    </comment>
    <comment ref="E29" authorId="63" shapeId="0" xr:uid="{D28A5706-07ED-4FC7-968A-1B395940F056}">
      <text>
        <t>[Threaded comment]
Your version of Excel allows you to read this threaded comment; however, any edits to it will get removed if the file is opened in a newer version of Excel. Learn more: https://go.microsoft.com/fwlink/?linkid=870924
Comment:
    Maldives flights + hotel</t>
      </text>
    </comment>
    <comment ref="I30" authorId="64" shapeId="0" xr:uid="{430C2401-6139-4339-A37A-DC5C6A5FB7BD}">
      <text>
        <t>[Threaded comment]
Your version of Excel allows you to read this threaded comment; however, any edits to it will get removed if the file is opened in a newer version of Excel. Learn more: https://go.microsoft.com/fwlink/?linkid=870924
Comment:
    Needling 
Filler</t>
      </text>
    </comment>
    <comment ref="G36" authorId="65" shapeId="0" xr:uid="{15D1BF27-7790-41E8-9CB9-9A1DB9132EF2}">
      <text>
        <t>[Threaded comment]
Your version of Excel allows you to read this threaded comment; however, any edits to it will get removed if the file is opened in a newer version of Excel. Learn more: https://go.microsoft.com/fwlink/?linkid=870924
Comment:
    1 year anniversary</t>
      </text>
    </comment>
    <comment ref="K36" authorId="66" shapeId="0" xr:uid="{F2D89743-10F1-4FC7-BB53-5B3EAC8CCE86}">
      <text>
        <t>[Threaded comment]
Your version of Excel allows you to read this threaded comment; however, any edits to it will get removed if the file is opened in a newer version of Excel. Learn more: https://go.microsoft.com/fwlink/?linkid=870924
Comment:
    Matt 30th</t>
      </text>
    </comment>
    <comment ref="L36" authorId="67" shapeId="0" xr:uid="{F5D5D89B-B218-463D-AE01-3A011629C1D5}">
      <text>
        <t>[Threaded comment]
Your version of Excel allows you to read this threaded comment; however, any edits to it will get removed if the file is opened in a newer version of Excel. Learn more: https://go.microsoft.com/fwlink/?linkid=870924
Comment:
    10 year anniversary</t>
      </text>
    </comment>
    <comment ref="N36" authorId="68" shapeId="0" xr:uid="{9001FF65-E71D-452F-A2C4-F7E612A39B21}">
      <text>
        <t>[Threaded comment]
Your version of Excel allows you to read this threaded comment; however, any edits to it will get removed if the file is opened in a newer version of Excel. Learn more: https://go.microsoft.com/fwlink/?linkid=870924
Comment:
    Kris 30th</t>
      </text>
    </comment>
    <comment ref="D37" authorId="69" shapeId="0" xr:uid="{0FDBEFE2-049D-44B9-96ED-7730A80561DA}">
      <text>
        <t>[Threaded comment]
Your version of Excel allows you to read this threaded comment; however, any edits to it will get removed if the file is opened in a newer version of Excel. Learn more: https://go.microsoft.com/fwlink/?linkid=870924
Comment:
    75 - Matt fun for opera
325 - extra bonus</t>
      </text>
    </comment>
    <comment ref="E37" authorId="70" shapeId="0" xr:uid="{B1B59C3A-7019-4FE9-A954-69CE9DD311B0}">
      <text>
        <t>[Threaded comment]
Your version of Excel allows you to read this threaded comment; however, any edits to it will get removed if the file is opened in a newer version of Excel. Learn more: https://go.microsoft.com/fwlink/?linkid=870924
Comment:
    100 - cashback claim
700 - sales
400 - pension rfd</t>
      </text>
    </comment>
    <comment ref="F37" authorId="71" shapeId="0" xr:uid="{F3AE6B9A-8D38-4D3B-8627-4D8529D8F48C}">
      <text>
        <t>[Threaded comment]
Your version of Excel allows you to read this threaded comment; however, any edits to it will get removed if the file is opened in a newer version of Excel. Learn more: https://go.microsoft.com/fwlink/?linkid=870924
Comment:
    200 - matt fun
200 - kris fun</t>
      </text>
    </comment>
    <comment ref="H37" authorId="72" shapeId="0" xr:uid="{EFD6AF81-9A8B-4AE5-97B5-41B7C7A0CE9A}">
      <text>
        <t>[Threaded comment]
Your version of Excel allows you to read this threaded comment; however, any edits to it will get removed if the file is opened in a newer version of Excel. Learn more: https://go.microsoft.com/fwlink/?linkid=870924
Comment:
    90 - fitness
300 - amex cashback
1225 - remortgage excess</t>
      </text>
    </comment>
    <comment ref="I37" authorId="73" shapeId="0" xr:uid="{A9C04755-04B8-4032-BF9A-38A06430318F}">
      <text>
        <t>[Threaded comment]
Your version of Excel allows you to read this threaded comment; however, any edits to it will get removed if the file is opened in a newer version of Excel. Learn more: https://go.microsoft.com/fwlink/?linkid=870924
Comment:
    1000 - bonus
160 - cash</t>
      </text>
    </comment>
    <comment ref="K37" authorId="74" shapeId="0" xr:uid="{C3656A71-D26B-4273-B03B-6ECBFD15F87A}">
      <text>
        <t>[Threaded comment]
Your version of Excel allows you to read this threaded comment; however, any edits to it will get removed if the file is opened in a newer version of Excel. Learn more: https://go.microsoft.com/fwlink/?linkid=870924
Comment:
    90 - fitness</t>
      </text>
    </comment>
    <comment ref="L37" authorId="75" shapeId="0" xr:uid="{14E70E79-2FCA-4B74-9A5A-31B8CF1B1FA2}">
      <text>
        <t>[Threaded comment]
Your version of Excel allows you to read this threaded comment; however, any edits to it will get removed if the file is opened in a newer version of Excel. Learn more: https://go.microsoft.com/fwlink/?linkid=870924
Comment:
    800 - bonus</t>
      </text>
    </comment>
    <comment ref="N37" authorId="76" shapeId="0" xr:uid="{84890584-DE80-4237-BFCA-F79DADBD9B40}">
      <text>
        <t>[Threaded comment]
Your version of Excel allows you to read this threaded comment; however, any edits to it will get removed if the file is opened in a newer version of Excel. Learn more: https://go.microsoft.com/fwlink/?linkid=870924
Comment:
    90 - fitness</t>
      </text>
    </comment>
    <comment ref="D38" authorId="77" shapeId="0" xr:uid="{156C2C05-6002-4B9F-8C43-86C302486099}">
      <text>
        <t>[Threaded comment]
Your version of Excel allows you to read this threaded comment; however, any edits to it will get removed if the file is opened in a newer version of Excel. Learn more: https://go.microsoft.com/fwlink/?linkid=870924
Comment:
    +90 cash</t>
      </text>
    </comment>
    <comment ref="C39" authorId="78" shapeId="0" xr:uid="{8FC3BCA8-0A7F-4174-B5BB-E3BD56CC120C}">
      <text>
        <t>[Threaded comment]
Your version of Excel allows you to read this threaded comment; however, any edits to it will get removed if the file is opened in a newer version of Excel. Learn more: https://go.microsoft.com/fwlink/?linkid=870924
Comment:
    Rosita service</t>
      </text>
    </comment>
    <comment ref="G39" authorId="79" shapeId="0" xr:uid="{B9141356-841C-4EEE-84A4-B0FB6E1087C0}">
      <text>
        <t>[Threaded comment]
Your version of Excel allows you to read this threaded comment; however, any edits to it will get removed if the file is opened in a newer version of Excel. Learn more: https://go.microsoft.com/fwlink/?linkid=870924
Comment:
    Rosita MOT</t>
      </text>
    </comment>
    <comment ref="H39" authorId="80" shapeId="0" xr:uid="{0057D56D-F0D1-4F11-8A35-08B88BF29059}">
      <text>
        <t>[Threaded comment]
Your version of Excel allows you to read this threaded comment; however, any edits to it will get removed if the file is opened in a newer version of Excel. Learn more: https://go.microsoft.com/fwlink/?linkid=870924
Comment:
    BMW MOT + Service</t>
      </text>
    </comment>
    <comment ref="L39" authorId="81" shapeId="0" xr:uid="{E54649FF-A894-4599-B923-45FF22CA606F}">
      <text>
        <t>[Threaded comment]
Your version of Excel allows you to read this threaded comment; however, any edits to it will get removed if the file is opened in a newer version of Excel. Learn more: https://go.microsoft.com/fwlink/?linkid=870924
Comment:
    Audi MOT + Service</t>
      </text>
    </comment>
    <comment ref="N39" authorId="82" shapeId="0" xr:uid="{BCB2C43B-5C2F-49C6-B5FC-6E860B8A1679}">
      <text>
        <t>[Threaded comment]
Your version of Excel allows you to read this threaded comment; however, any edits to it will get removed if the file is opened in a newer version of Excel. Learn more: https://go.microsoft.com/fwlink/?linkid=870924
Comment:
    Rosita service + MOT</t>
      </text>
    </comment>
    <comment ref="C43" authorId="83" shapeId="0" xr:uid="{F7899A79-08AA-4EAD-A7AC-93889A405A5E}">
      <text>
        <t>[Threaded comment]
Your version of Excel allows you to read this threaded comment; however, any edits to it will get removed if the file is opened in a newer version of Excel. Learn more: https://go.microsoft.com/fwlink/?linkid=870924
Comment:
    Valentines day</t>
      </text>
    </comment>
    <comment ref="D43" authorId="84" shapeId="0" xr:uid="{2D03B90D-DB75-41DF-B9C3-B62D8E8AB154}">
      <text>
        <t>[Threaded comment]
Your version of Excel allows you to read this threaded comment; however, any edits to it will get removed if the file is opened in a newer version of Excel. Learn more: https://go.microsoft.com/fwlink/?linkid=870924
Comment:
    Mothers day
National womens day</t>
      </text>
    </comment>
    <comment ref="E43" authorId="85" shapeId="0" xr:uid="{48858568-14B2-485D-8C2C-65F0FCE7209D}">
      <text>
        <t>[Threaded comment]
Your version of Excel allows you to read this threaded comment; however, any edits to it will get removed if the file is opened in a newer version of Excel. Learn more: https://go.microsoft.com/fwlink/?linkid=870924
Comment:
    Mum anniversary
Dad birthday</t>
      </text>
    </comment>
    <comment ref="G43" authorId="86" shapeId="0" xr:uid="{616AF26E-7419-4C93-BD64-27358DF9B3D8}">
      <text>
        <t>[Threaded comment]
Your version of Excel allows you to read this threaded comment; however, any edits to it will get removed if the file is opened in a newer version of Excel. Learn more: https://go.microsoft.com/fwlink/?linkid=870924
Comment:
    Fathers day</t>
      </text>
    </comment>
    <comment ref="H43" authorId="87" shapeId="0" xr:uid="{D05306C7-515B-4429-95A5-2324D834ACF1}">
      <text>
        <t>[Threaded comment]
Your version of Excel allows you to read this threaded comment; however, any edits to it will get removed if the file is opened in a newer version of Excel. Learn more: https://go.microsoft.com/fwlink/?linkid=870924
Comment:
    Name day</t>
      </text>
    </comment>
    <comment ref="K43" authorId="88" shapeId="0" xr:uid="{FD59C873-4F3A-4EB4-AB35-B9CBE8A2D4B2}">
      <text>
        <t>[Threaded comment]
Your version of Excel allows you to read this threaded comment; however, any edits to it will get removed if the file is opened in a newer version of Excel. Learn more: https://go.microsoft.com/fwlink/?linkid=870924
Comment:
    Anniversary</t>
      </text>
    </comment>
    <comment ref="M43" authorId="89" shapeId="0" xr:uid="{A20C9864-0058-4A0C-AF98-7A6E27EF9775}">
      <text>
        <t>[Threaded comment]
Your version of Excel allows you to read this threaded comment; however, any edits to it will get removed if the file is opened in a newer version of Excel. Learn more: https://go.microsoft.com/fwlink/?linkid=870924
Comment:
    Xmas</t>
      </text>
    </comment>
    <comment ref="N43" authorId="90" shapeId="0" xr:uid="{6B83A119-7B54-4921-BF48-A7E86C8AF02B}">
      <text>
        <t>[Threaded comment]
Your version of Excel allows you to read this threaded comment; however, any edits to it will get removed if the file is opened in a newer version of Excel. Learn more: https://go.microsoft.com/fwlink/?linkid=870924
Comment:
    Xmas</t>
      </text>
    </comment>
    <comment ref="I44" authorId="91" shapeId="0" xr:uid="{F6EA948E-1824-4124-8004-3694C003548B}">
      <text>
        <t>[Threaded comment]
Your version of Excel allows you to read this threaded comment; however, any edits to it will get removed if the file is opened in a newer version of Excel. Learn more: https://go.microsoft.com/fwlink/?linkid=870924
Comment:
    AMEX Fee - will max quickly then get pro-rata rfd</t>
      </text>
    </comment>
    <comment ref="G45" authorId="92" shapeId="0" xr:uid="{9F2C6024-BD75-4814-9D44-A4ED33C02AD0}">
      <text>
        <t>[Threaded comment]
Your version of Excel allows you to read this threaded comment; however, any edits to it will get removed if the file is opened in a newer version of Excel. Learn more: https://go.microsoft.com/fwlink/?linkid=870924
Comment:
    Latvia
Reply:
    Cornwall + cotswolds</t>
      </text>
    </comment>
    <comment ref="I45" authorId="93" shapeId="0" xr:uid="{6B8FC8A7-BB45-4630-9C46-CF1A82DE17DE}">
      <text>
        <t>[Threaded comment]
Your version of Excel allows you to read this threaded comment; however, any edits to it will get removed if the file is opened in a newer version of Excel. Learn more: https://go.microsoft.com/fwlink/?linkid=870924
Comment:
    Italy</t>
      </text>
    </comment>
    <comment ref="L45" authorId="94" shapeId="0" xr:uid="{55B32921-B942-4FD4-BA36-9D730D4C406E}">
      <text>
        <t>[Threaded comment]
Your version of Excel allows you to read this threaded comment; however, any edits to it will get removed if the file is opened in a newer version of Excel. Learn more: https://go.microsoft.com/fwlink/?linkid=870924
Comment:
    Thailand
Phoenix flights
Reply:
    Could potentially save 700 on hotel</t>
      </text>
    </comment>
    <comment ref="G54" authorId="95" shapeId="0" xr:uid="{05D236B1-C38E-4ACC-9591-79F2274ECC8C}">
      <text>
        <t>[Threaded comment]
Your version of Excel allows you to read this threaded comment; however, any edits to it will get removed if the file is opened in a newer version of Excel. Learn more: https://go.microsoft.com/fwlink/?linkid=870924
Comment:
    1 year anniversary</t>
      </text>
    </comment>
    <comment ref="K54" authorId="96" shapeId="0" xr:uid="{55057CE3-CB83-4716-B96B-50DA38859B9D}">
      <text>
        <t>[Threaded comment]
Your version of Excel allows you to read this threaded comment; however, any edits to it will get removed if the file is opened in a newer version of Excel. Learn more: https://go.microsoft.com/fwlink/?linkid=870924
Comment:
    Matt 30th</t>
      </text>
    </comment>
    <comment ref="L54" authorId="97" shapeId="0" xr:uid="{5AEB7C2A-ACF7-451B-9EDF-AAB450EBD3EC}">
      <text>
        <t>[Threaded comment]
Your version of Excel allows you to read this threaded comment; however, any edits to it will get removed if the file is opened in a newer version of Excel. Learn more: https://go.microsoft.com/fwlink/?linkid=870924
Comment:
    10 year anniversary</t>
      </text>
    </comment>
    <comment ref="N54" authorId="98" shapeId="0" xr:uid="{5D2B45E8-9812-4BCC-8274-C4DC450B9347}">
      <text>
        <t>[Threaded comment]
Your version of Excel allows you to read this threaded comment; however, any edits to it will get removed if the file is opened in a newer version of Excel. Learn more: https://go.microsoft.com/fwlink/?linkid=870924
Comment:
    Kris 30th</t>
      </text>
    </comment>
    <comment ref="C55" authorId="99" shapeId="0" xr:uid="{4F41E719-86E1-4514-9AB2-50E9A4ADD18E}">
      <text>
        <t>[Threaded comment]
Your version of Excel allows you to read this threaded comment; however, any edits to it will get removed if the file is opened in a newer version of Excel. Learn more: https://go.microsoft.com/fwlink/?linkid=870924
Comment:
    150 = kris scotland contribution</t>
      </text>
    </comment>
    <comment ref="D55" authorId="100" shapeId="0" xr:uid="{34067F1B-E20A-44EA-B9CF-A6A923767093}">
      <text>
        <t>[Threaded comment]
Your version of Excel allows you to read this threaded comment; however, any edits to it will get removed if the file is opened in a newer version of Excel. Learn more: https://go.microsoft.com/fwlink/?linkid=870924
Comment:
    2000 + 700 = bonus
640 = ebay sales (not gaurunteed)</t>
      </text>
    </comment>
    <comment ref="E55" authorId="101" shapeId="0" xr:uid="{423592A4-DCC9-4DE9-9C26-B45F2EDADBA1}">
      <text>
        <t>[Threaded comment]
Your version of Excel allows you to read this threaded comment; however, any edits to it will get removed if the file is opened in a newer version of Excel. Learn more: https://go.microsoft.com/fwlink/?linkid=870924
Comment:
    100 - matt extra FB for scotland
100 - kris extra FB for scotland
70 = food / fuel budget for scotland</t>
      </text>
    </comment>
    <comment ref="F55" authorId="102" shapeId="0" xr:uid="{518D6C41-091B-404B-83A8-9F5DEF83CDCD}">
      <text>
        <t>[Threaded comment]
Your version of Excel allows you to read this threaded comment; however, any edits to it will get removed if the file is opened in a newer version of Excel. Learn more: https://go.microsoft.com/fwlink/?linkid=870924
Comment:
    50 = quarterly incentive</t>
      </text>
    </comment>
    <comment ref="I55" authorId="103" shapeId="0" xr:uid="{27379B02-38AB-4621-80C0-CF9EB93FCE7C}">
      <text>
        <t>[Threaded comment]
Your version of Excel allows you to read this threaded comment; however, any edits to it will get removed if the file is opened in a newer version of Excel. Learn more: https://go.microsoft.com/fwlink/?linkid=870924
Comment:
    950 - bonus
50 - quarterly incentive</t>
      </text>
    </comment>
    <comment ref="K55" authorId="104" shapeId="0" xr:uid="{8E9901B2-F3A3-4E7C-A72E-A166E408A4AA}">
      <text>
        <t>[Threaded comment]
Your version of Excel allows you to read this threaded comment; however, any edits to it will get removed if the file is opened in a newer version of Excel. Learn more: https://go.microsoft.com/fwlink/?linkid=870924
Comment:
    90 - fitness</t>
      </text>
    </comment>
    <comment ref="L55" authorId="105" shapeId="0" xr:uid="{AB145828-9E31-47F5-8AC7-2641BEB53B7E}">
      <text>
        <t>[Threaded comment]
Your version of Excel allows you to read this threaded comment; however, any edits to it will get removed if the file is opened in a newer version of Excel. Learn more: https://go.microsoft.com/fwlink/?linkid=870924
Comment:
    500 - bonus
50 = quarterly incentive</t>
      </text>
    </comment>
    <comment ref="N55" authorId="106" shapeId="0" xr:uid="{0DFFD671-B883-4297-9FDE-66F542658B6F}">
      <text>
        <t>[Threaded comment]
Your version of Excel allows you to read this threaded comment; however, any edits to it will get removed if the file is opened in a newer version of Excel. Learn more: https://go.microsoft.com/fwlink/?linkid=870924
Comment:
    90 - fitness</t>
      </text>
    </comment>
    <comment ref="D56" authorId="107" shapeId="0" xr:uid="{0CA74709-6264-4A80-A91F-E30546714954}">
      <text>
        <t>[Threaded comment]
Your version of Excel allows you to read this threaded comment; however, any edits to it will get removed if the file is opened in a newer version of Excel. Learn more: https://go.microsoft.com/fwlink/?linkid=870924
Comment:
    +90 cash
+78.65 = balance</t>
      </text>
    </comment>
    <comment ref="H57" authorId="108" shapeId="0" xr:uid="{E291E865-6995-2848-941F-99CD2BF03E5D}">
      <text>
        <t>[Threaded comment]
Your version of Excel allows you to read this threaded comment; however, any edits to it will get removed if the file is opened in a newer version of Excel. Learn more: https://go.microsoft.com/fwlink/?linkid=870924
Comment:
    BMW Service + MOT</t>
      </text>
    </comment>
    <comment ref="I57" authorId="109" shapeId="0" xr:uid="{073E39C1-CA6E-4415-A4D4-EE4B6BBAC6DF}">
      <text>
        <t>[Threaded comment]
Your version of Excel allows you to read this threaded comment; however, any edits to it will get removed if the file is opened in a newer version of Excel. Learn more: https://go.microsoft.com/fwlink/?linkid=870924
Comment:
    BMW MOT + Service</t>
      </text>
    </comment>
    <comment ref="L57" authorId="110" shapeId="0" xr:uid="{BE8EFE52-041A-4DD1-B52C-5FFAD80395FC}">
      <text>
        <t>[Threaded comment]
Your version of Excel allows you to read this threaded comment; however, any edits to it will get removed if the file is opened in a newer version of Excel. Learn more: https://go.microsoft.com/fwlink/?linkid=870924
Comment:
    Audi MOT + Service</t>
      </text>
    </comment>
    <comment ref="C61" authorId="111" shapeId="0" xr:uid="{4559E558-F152-464A-9FE2-07A5E551B2B8}">
      <text>
        <t>[Threaded comment]
Your version of Excel allows you to read this threaded comment; however, any edits to it will get removed if the file is opened in a newer version of Excel. Learn more: https://go.microsoft.com/fwlink/?linkid=870924
Comment:
    Valentines day
180 = mothers day booking early</t>
      </text>
    </comment>
    <comment ref="D61" authorId="112" shapeId="0" xr:uid="{88C7978E-62A3-4184-8E06-B6683B0F1205}">
      <text>
        <t>[Threaded comment]
Your version of Excel allows you to read this threaded comment; however, any edits to it will get removed if the file is opened in a newer version of Excel. Learn more: https://go.microsoft.com/fwlink/?linkid=870924
Comment:
    Mothers day
National womens day
-180 = mothers day booking early</t>
      </text>
    </comment>
    <comment ref="E61" authorId="113" shapeId="0" xr:uid="{CBF88476-3458-42C0-BB67-F349A85354AC}">
      <text>
        <t>[Threaded comment]
Your version of Excel allows you to read this threaded comment; however, any edits to it will get removed if the file is opened in a newer version of Excel. Learn more: https://go.microsoft.com/fwlink/?linkid=870924
Comment:
    Mum anniversary</t>
      </text>
    </comment>
    <comment ref="F61" authorId="114" shapeId="0" xr:uid="{84A0CAE3-75A6-4D80-9751-0091D0A90104}">
      <text>
        <t>[Threaded comment]
Your version of Excel allows you to read this threaded comment; however, any edits to it will get removed if the file is opened in a newer version of Excel. Learn more: https://go.microsoft.com/fwlink/?linkid=870924
Comment:
    -100 = anniversary -&gt; italy</t>
      </text>
    </comment>
    <comment ref="G61" authorId="115" shapeId="0" xr:uid="{CF60018A-D086-475E-870F-310873F20E15}">
      <text>
        <t>[Threaded comment]
Your version of Excel allows you to read this threaded comment; however, any edits to it will get removed if the file is opened in a newer version of Excel. Learn more: https://go.microsoft.com/fwlink/?linkid=870924
Comment:
    -50 = citizenship -&gt; italy</t>
      </text>
    </comment>
    <comment ref="H61" authorId="116" shapeId="0" xr:uid="{A0C0CCEC-9A22-4A89-9315-3E3B71A28ACC}">
      <text>
        <t>[Threaded comment]
Your version of Excel allows you to read this threaded comment; however, any edits to it will get removed if the file is opened in a newer version of Excel. Learn more: https://go.microsoft.com/fwlink/?linkid=870924
Comment:
    -50 = Name day -&gt; italy</t>
      </text>
    </comment>
    <comment ref="J61" authorId="117" shapeId="0" xr:uid="{B5F96C1E-4FC6-410F-A41B-D49F7EC14106}">
      <text>
        <t>[Threaded comment]
Your version of Excel allows you to read this threaded comment; however, any edits to it will get removed if the file is opened in a newer version of Excel. Learn more: https://go.microsoft.com/fwlink/?linkid=870924
Comment:
    -150 = Matt bday going to LA</t>
      </text>
    </comment>
    <comment ref="K61" authorId="118" shapeId="0" xr:uid="{B8758560-A323-46F7-9FFD-F93409FDFB95}">
      <text>
        <t>[Threaded comment]
Your version of Excel allows you to read this threaded comment; however, any edits to it will get removed if the file is opened in a newer version of Excel. Learn more: https://go.microsoft.com/fwlink/?linkid=870924
Comment:
    Anniversary</t>
      </text>
    </comment>
    <comment ref="M61" authorId="119" shapeId="0" xr:uid="{08DA14DB-2D71-4CF2-AC13-617B0DE9D019}">
      <text>
        <t>[Threaded comment]
Your version of Excel allows you to read this threaded comment; however, any edits to it will get removed if the file is opened in a newer version of Excel. Learn more: https://go.microsoft.com/fwlink/?linkid=870924
Comment:
    Xmas
300 less for kris surgery jan</t>
      </text>
    </comment>
    <comment ref="N61" authorId="120" shapeId="0" xr:uid="{C6BF438E-0087-41A4-959F-1636C06715AE}">
      <text>
        <t>[Threaded comment]
Your version of Excel allows you to read this threaded comment; however, any edits to it will get removed if the file is opened in a newer version of Excel. Learn more: https://go.microsoft.com/fwlink/?linkid=870924
Comment:
    Xmas</t>
      </text>
    </comment>
    <comment ref="C62" authorId="121" shapeId="0" xr:uid="{46A72634-4EA6-4059-AD94-7F151CCF82DB}">
      <text>
        <t>[Threaded comment]
Your version of Excel allows you to read this threaded comment; however, any edits to it will get removed if the file is opened in a newer version of Excel. Learn more: https://go.microsoft.com/fwlink/?linkid=870924
Comment:
    Red squirrel</t>
      </text>
    </comment>
    <comment ref="D63" authorId="122" shapeId="0" xr:uid="{2333DC0A-1E7E-4936-8611-0385276503F9}">
      <text>
        <t>[Threaded comment]
Your version of Excel allows you to read this threaded comment; however, any edits to it will get removed if the file is opened in a newer version of Excel. Learn more: https://go.microsoft.com/fwlink/?linkid=870924
Comment:
    Vegas balancing</t>
      </text>
    </comment>
    <comment ref="C64" authorId="123" shapeId="0" xr:uid="{EB304326-C4DA-466D-8344-9AFE71E4A41B}">
      <text>
        <t>[Threaded comment]
Your version of Excel allows you to read this threaded comment; however, any edits to it will get removed if the file is opened in a newer version of Excel. Learn more: https://go.microsoft.com/fwlink/?linkid=870924
Comment:
    Antelope canyon</t>
      </text>
    </comment>
    <comment ref="I64" authorId="124" shapeId="0" xr:uid="{A442ADD9-C7E5-4128-9E8E-785FE02F68E8}">
      <text>
        <t>[Threaded comment]
Your version of Excel allows you to read this threaded comment; however, any edits to it will get removed if the file is opened in a newer version of Excel. Learn more: https://go.microsoft.com/fwlink/?linkid=870924
Comment:
    LA / Antelope refund</t>
      </text>
    </comment>
    <comment ref="K65" authorId="125" shapeId="0" xr:uid="{AD92731B-8426-4153-AD6F-7A011C63BFC7}">
      <text>
        <t>[Threaded comment]
Your version of Excel allows you to read this threaded comment; however, any edits to it will get removed if the file is opened in a newer version of Excel. Learn more: https://go.microsoft.com/fwlink/?linkid=870924
Comment:
    LA + Phoenix</t>
      </text>
    </comment>
    <comment ref="F66" authorId="126" shapeId="0" xr:uid="{8290EBD7-FE0B-4DC7-B74D-B1F6107B67E3}">
      <text>
        <t>[Threaded comment]
Your version of Excel allows you to read this threaded comment; however, any edits to it will get removed if the file is opened in a newer version of Excel. Learn more: https://go.microsoft.com/fwlink/?linkid=870924
Comment:
    latvia</t>
      </text>
    </comment>
    <comment ref="G68" authorId="127" shapeId="0" xr:uid="{20AF780E-FA0A-4E8B-96A9-22DCFA4035BE}">
      <text>
        <t>[Threaded comment]
Your version of Excel allows you to read this threaded comment; however, any edits to it will get removed if the file is opened in a newer version of Excel. Learn more: https://go.microsoft.com/fwlink/?linkid=870924
Comment:
    Kris - venice, will top up w/ bonuses to replace summer budget</t>
      </text>
    </comment>
    <comment ref="C73" authorId="128" shapeId="0" xr:uid="{CEE72364-E1B9-425E-B84A-D416685B37C5}">
      <text>
        <t>[Threaded comment]
Your version of Excel allows you to read this threaded comment; however, any edits to it will get removed if the file is opened in a newer version of Excel. Learn more: https://go.microsoft.com/fwlink/?linkid=870924
Comment:
    2 x bluecrest healthchecks</t>
      </text>
    </comment>
    <comment ref="E80" authorId="129" shapeId="0" xr:uid="{133AB4F8-55AC-49D8-821E-772ED57F5358}">
      <text>
        <t>[Threaded comment]
Your version of Excel allows you to read this threaded comment; however, any edits to it will get removed if the file is opened in a newer version of Excel. Learn more: https://go.microsoft.com/fwlink/?linkid=870924
Comment:
    13.99 = giraffe for vinny
20.25 = vinny gift
144.39 = b&amp;q
17.65 = easter things
28.7 = rob + sarah engagement</t>
      </text>
    </comment>
    <comment ref="G80" authorId="130" shapeId="0" xr:uid="{2BF8F956-46D1-426C-A621-BBFB432D2FD0}">
      <text>
        <t>[Threaded comment]
Your version of Excel allows you to read this threaded comment; however, any edits to it will get removed if the file is opened in a newer version of Excel. Learn more: https://go.microsoft.com/fwlink/?linkid=870924
Comment:
    30.93 = paula + luke baby gifts</t>
      </text>
    </comment>
    <comment ref="G83" authorId="131" shapeId="0" xr:uid="{B383A1D2-54ED-47AA-8BFF-91E93A238AD5}">
      <text>
        <t>[Threaded comment]
Your version of Excel allows you to read this threaded comment; however, any edits to it will get removed if the file is opened in a newer version of Excel. Learn more: https://go.microsoft.com/fwlink/?linkid=870924
Comment:
    1 year anniversary</t>
      </text>
    </comment>
    <comment ref="K83" authorId="132" shapeId="0" xr:uid="{35CAB7CC-C5EB-4004-8F42-0FCA170EBADA}">
      <text>
        <t>[Threaded comment]
Your version of Excel allows you to read this threaded comment; however, any edits to it will get removed if the file is opened in a newer version of Excel. Learn more: https://go.microsoft.com/fwlink/?linkid=870924
Comment:
    Matt 30th</t>
      </text>
    </comment>
    <comment ref="L83" authorId="133" shapeId="0" xr:uid="{EACEB7CF-4F30-45C8-8DD0-BFA72DB88C5D}">
      <text>
        <t>[Threaded comment]
Your version of Excel allows you to read this threaded comment; however, any edits to it will get removed if the file is opened in a newer version of Excel. Learn more: https://go.microsoft.com/fwlink/?linkid=870924
Comment:
    10 year anniversary</t>
      </text>
    </comment>
    <comment ref="N83" authorId="134" shapeId="0" xr:uid="{56C5CFD4-8DC7-4B56-BC45-3027AF60784B}">
      <text>
        <t>[Threaded comment]
Your version of Excel allows you to read this threaded comment; however, any edits to it will get removed if the file is opened in a newer version of Excel. Learn more: https://go.microsoft.com/fwlink/?linkid=870924
Comment:
    Kris 30th</t>
      </text>
    </comment>
    <comment ref="C84" authorId="135" shapeId="0" xr:uid="{6CE83862-535A-42E3-8030-CCB0489A35EA}">
      <text>
        <t>[Threaded comment]
Your version of Excel allows you to read this threaded comment; however, any edits to it will get removed if the file is opened in a newer version of Excel. Learn more: https://go.microsoft.com/fwlink/?linkid=870924
Comment:
    900 - kris balance for surgery
50 = quarterly incentive</t>
      </text>
    </comment>
    <comment ref="D84" authorId="136" shapeId="0" xr:uid="{1335F1B5-FD99-4017-BE2E-5ADD6E36D250}">
      <text>
        <t>[Threaded comment]
Your version of Excel allows you to read this threaded comment; however, any edits to it will get removed if the file is opened in a newer version of Excel. Learn more: https://go.microsoft.com/fwlink/?linkid=870924
Comment:
    75 - Matt fun for opera
325 - extra bonus</t>
      </text>
    </comment>
    <comment ref="F84" authorId="137" shapeId="0" xr:uid="{EEAE09AB-7EB7-49CF-8BFA-DEEB5BA09C93}">
      <text>
        <t>[Threaded comment]
Your version of Excel allows you to read this threaded comment; however, any edits to it will get removed if the file is opened in a newer version of Excel. Learn more: https://go.microsoft.com/fwlink/?linkid=870924
Comment:
    50 = quarterly incentive</t>
      </text>
    </comment>
    <comment ref="H84" authorId="138" shapeId="0" xr:uid="{98A003D0-9E6F-4D7D-A678-739C702C17CB}">
      <text>
        <t>[Threaded comment]
Your version of Excel allows you to read this threaded comment; however, any edits to it will get removed if the file is opened in a newer version of Excel. Learn more: https://go.microsoft.com/fwlink/?linkid=870924
Comment:
    90 - fitness
300 - amex cashback
1225 - remortgage excess</t>
      </text>
    </comment>
    <comment ref="I84" authorId="139" shapeId="0" xr:uid="{91E86FBA-012B-4892-9DC6-A2A4EC4585DA}">
      <text>
        <t>[Threaded comment]
Your version of Excel allows you to read this threaded comment; however, any edits to it will get removed if the file is opened in a newer version of Excel. Learn more: https://go.microsoft.com/fwlink/?linkid=870924
Comment:
    950 - bonus
50 = quarterly incentive</t>
      </text>
    </comment>
    <comment ref="K84" authorId="140" shapeId="0" xr:uid="{68AE6DA9-09C9-4EF8-975F-424F7AE1E210}">
      <text>
        <t>[Threaded comment]
Your version of Excel allows you to read this threaded comment; however, any edits to it will get removed if the file is opened in a newer version of Excel. Learn more: https://go.microsoft.com/fwlink/?linkid=870924
Comment:
    90 - fitness</t>
      </text>
    </comment>
    <comment ref="L84" authorId="141" shapeId="0" xr:uid="{289A227A-5BCB-4BCC-B1D4-36CCF16153BD}">
      <text>
        <t>[Threaded comment]
Your version of Excel allows you to read this threaded comment; however, any edits to it will get removed if the file is opened in a newer version of Excel. Learn more: https://go.microsoft.com/fwlink/?linkid=870924
Comment:
    500 - bonus
50 = quarterly incentive</t>
      </text>
    </comment>
    <comment ref="N84" authorId="142" shapeId="0" xr:uid="{6F1E7241-7B47-4FD0-906A-E57C0F977ED1}">
      <text>
        <t>[Threaded comment]
Your version of Excel allows you to read this threaded comment; however, any edits to it will get removed if the file is opened in a newer version of Excel. Learn more: https://go.microsoft.com/fwlink/?linkid=870924
Comment:
    90 - fitness</t>
      </text>
    </comment>
    <comment ref="D85" authorId="143" shapeId="0" xr:uid="{2848A9F7-AEC5-487A-BB1C-BE7A5CBE5237}">
      <text>
        <t>[Threaded comment]
Your version of Excel allows you to read this threaded comment; however, any edits to it will get removed if the file is opened in a newer version of Excel. Learn more: https://go.microsoft.com/fwlink/?linkid=870924
Comment:
    +90 cash</t>
      </text>
    </comment>
    <comment ref="C86" authorId="144" shapeId="0" xr:uid="{682C684A-D713-4D6E-801B-762D89A1CF33}">
      <text>
        <t>[Threaded comment]
Your version of Excel allows you to read this threaded comment; however, any edits to it will get removed if the file is opened in a newer version of Excel. Learn more: https://go.microsoft.com/fwlink/?linkid=870924
Comment:
    Rosita service + MOT</t>
      </text>
    </comment>
    <comment ref="H86" authorId="145" shapeId="0" xr:uid="{0D421C41-9116-448E-BF11-88FA9CC17F33}">
      <text>
        <t>[Threaded comment]
Your version of Excel allows you to read this threaded comment; however, any edits to it will get removed if the file is opened in a newer version of Excel. Learn more: https://go.microsoft.com/fwlink/?linkid=870924
Comment:
    BMW Service + MOT</t>
      </text>
    </comment>
    <comment ref="I86" authorId="146" shapeId="0" xr:uid="{4424F4C2-916C-471E-AB3C-8ECD568E73C3}">
      <text>
        <t>[Threaded comment]
Your version of Excel allows you to read this threaded comment; however, any edits to it will get removed if the file is opened in a newer version of Excel. Learn more: https://go.microsoft.com/fwlink/?linkid=870924
Comment:
    BMW MOT + Service</t>
      </text>
    </comment>
    <comment ref="L86" authorId="147" shapeId="0" xr:uid="{90F49F7A-0832-41D8-B390-B9722B4B5B3B}">
      <text>
        <t>[Threaded comment]
Your version of Excel allows you to read this threaded comment; however, any edits to it will get removed if the file is opened in a newer version of Excel. Learn more: https://go.microsoft.com/fwlink/?linkid=870924
Comment:
    Audi MOT + Service</t>
      </text>
    </comment>
    <comment ref="N86" authorId="148" shapeId="0" xr:uid="{98DD6D00-1BA3-43DE-9A0A-A8424AA1AC25}">
      <text>
        <t>[Threaded comment]
Your version of Excel allows you to read this threaded comment; however, any edits to it will get removed if the file is opened in a newer version of Excel. Learn more: https://go.microsoft.com/fwlink/?linkid=870924
Comment:
    Rosita MOT + Service</t>
      </text>
    </comment>
    <comment ref="C90" authorId="149" shapeId="0" xr:uid="{3F5AB386-7F50-4F47-B922-20EE935AAFC0}">
      <text>
        <t>[Threaded comment]
Your version of Excel allows you to read this threaded comment; however, any edits to it will get removed if the file is opened in a newer version of Excel. Learn more: https://go.microsoft.com/fwlink/?linkid=870924
Comment:
    Valentines day</t>
      </text>
    </comment>
    <comment ref="D90" authorId="150" shapeId="0" xr:uid="{09CBB6B6-2888-49B9-9BA7-B9172A23577B}">
      <text>
        <t>[Threaded comment]
Your version of Excel allows you to read this threaded comment; however, any edits to it will get removed if the file is opened in a newer version of Excel. Learn more: https://go.microsoft.com/fwlink/?linkid=870924
Comment:
    Mothers day
National womens day</t>
      </text>
    </comment>
    <comment ref="E90" authorId="151" shapeId="0" xr:uid="{CB039603-1FC9-45C5-8989-59D6850549F6}">
      <text>
        <t>[Threaded comment]
Your version of Excel allows you to read this threaded comment; however, any edits to it will get removed if the file is opened in a newer version of Excel. Learn more: https://go.microsoft.com/fwlink/?linkid=870924
Comment:
    Mum anniversary</t>
      </text>
    </comment>
    <comment ref="G90" authorId="152" shapeId="0" xr:uid="{C8BC74A0-1625-4E59-B5F2-8164194C2BEF}">
      <text>
        <t>[Threaded comment]
Your version of Excel allows you to read this threaded comment; however, any edits to it will get removed if the file is opened in a newer version of Excel. Learn more: https://go.microsoft.com/fwlink/?linkid=870924
Comment:
    -100 aniversary in bali</t>
      </text>
    </comment>
    <comment ref="H90" authorId="153" shapeId="0" xr:uid="{B5240384-B578-4492-9C5E-2524C35F5FC6}">
      <text>
        <t>[Threaded comment]
Your version of Excel allows you to read this threaded comment; however, any edits to it will get removed if the file is opened in a newer version of Excel. Learn more: https://go.microsoft.com/fwlink/?linkid=870924
Comment:
    Name day</t>
      </text>
    </comment>
    <comment ref="J90" authorId="154" shapeId="0" xr:uid="{9D9515DA-9748-4974-9B0A-CF369812B933}">
      <text>
        <t>[Threaded comment]
Your version of Excel allows you to read this threaded comment; however, any edits to it will get removed if the file is opened in a newer version of Excel. Learn more: https://go.microsoft.com/fwlink/?linkid=870924
Comment:
    -150 = Matt bday going to LA</t>
      </text>
    </comment>
    <comment ref="K90" authorId="155" shapeId="0" xr:uid="{0ABFD1F8-80C4-4D8E-A18A-C126C5D00463}">
      <text>
        <t>[Threaded comment]
Your version of Excel allows you to read this threaded comment; however, any edits to it will get removed if the file is opened in a newer version of Excel. Learn more: https://go.microsoft.com/fwlink/?linkid=870924
Comment:
    Anniversary</t>
      </text>
    </comment>
    <comment ref="M90" authorId="156" shapeId="0" xr:uid="{2F886747-91BC-497E-8BF3-86336761C40B}">
      <text>
        <t>[Threaded comment]
Your version of Excel allows you to read this threaded comment; however, any edits to it will get removed if the file is opened in a newer version of Excel. Learn more: https://go.microsoft.com/fwlink/?linkid=870924
Comment:
    Xmas</t>
      </text>
    </comment>
    <comment ref="N90" authorId="157" shapeId="0" xr:uid="{54AD0B21-7A77-4014-849D-C260E98F03BA}">
      <text>
        <t>[Threaded comment]
Your version of Excel allows you to read this threaded comment; however, any edits to it will get removed if the file is opened in a newer version of Excel. Learn more: https://go.microsoft.com/fwlink/?linkid=870924
Comment:
    Xmas</t>
      </text>
    </comment>
    <comment ref="B91" authorId="158" shapeId="0" xr:uid="{76388C09-F162-4F55-9D9A-8E893938CE01}">
      <text>
        <t>[Threaded comment]
Your version of Excel allows you to read this threaded comment; however, any edits to it will get removed if the file is opened in a newer version of Excel. Learn more: https://go.microsoft.com/fwlink/?linkid=870924
Comment:
    Increase this year</t>
      </text>
    </comment>
    <comment ref="C91" authorId="159" shapeId="0" xr:uid="{8FF89B29-EE9F-40C1-B84C-F373EF8A22F3}">
      <text>
        <t>[Threaded comment]
Your version of Excel allows you to read this threaded comment; however, any edits to it will get removed if the file is opened in a newer version of Excel. Learn more: https://go.microsoft.com/fwlink/?linkid=870924
Comment:
    Universal 26 park tickets</t>
      </text>
    </comment>
    <comment ref="G91" authorId="160" shapeId="0" xr:uid="{A352D321-0292-482E-AFB9-3D402916C2B4}">
      <text>
        <t>[Threaded comment]
Your version of Excel allows you to read this threaded comment; however, any edits to it will get removed if the file is opened in a newer version of Excel. Learn more: https://go.microsoft.com/fwlink/?linkid=870924
Comment:
    Dolomites</t>
      </text>
    </comment>
    <comment ref="K91" authorId="161" shapeId="0" xr:uid="{D45D60ED-E361-4B60-80CE-AAD6B4D19957}">
      <text>
        <t>[Threaded comment]
Your version of Excel allows you to read this threaded comment; however, any edits to it will get removed if the file is opened in a newer version of Excel. Learn more: https://go.microsoft.com/fwlink/?linkid=870924
Comment:
    Greece</t>
      </text>
    </comment>
    <comment ref="C97" authorId="162" shapeId="0" xr:uid="{168199CE-6523-44E3-B1C0-270A281CE114}">
      <text>
        <t>[Threaded comment]
Your version of Excel allows you to read this threaded comment; however, any edits to it will get removed if the file is opened in a newer version of Excel. Learn more: https://go.microsoft.com/fwlink/?linkid=870924
Comment:
    Matt dentist
2 x bluecrest healthchecks</t>
      </text>
    </comment>
    <comment ref="H97" authorId="163" shapeId="0" xr:uid="{5E7929A1-25F7-4523-9F6A-0A71E9D182AC}">
      <text>
        <t>[Threaded comment]
Your version of Excel allows you to read this threaded comment; however, any edits to it will get removed if the file is opened in a newer version of Excel. Learn more: https://go.microsoft.com/fwlink/?linkid=870924
Comment:
    latvia</t>
      </text>
    </comment>
    <comment ref="G105" authorId="164" shapeId="0" xr:uid="{AED7AAE0-8880-4871-8E9A-FA918006230B}">
      <text>
        <t>[Threaded comment]
Your version of Excel allows you to read this threaded comment; however, any edits to it will get removed if the file is opened in a newer version of Excel. Learn more: https://go.microsoft.com/fwlink/?linkid=870924
Comment:
    1 year anniversary</t>
      </text>
    </comment>
    <comment ref="H105" authorId="165" shapeId="0" xr:uid="{DD0BDD77-64B4-4E3B-B98C-7E3D82045F8E}">
      <text>
        <t>[Threaded comment]
Your version of Excel allows you to read this threaded comment; however, any edits to it will get removed if the file is opened in a newer version of Excel. Learn more: https://go.microsoft.com/fwlink/?linkid=870924
Comment:
    REMORTGAGING</t>
      </text>
    </comment>
    <comment ref="K105" authorId="166" shapeId="0" xr:uid="{DF4F67C2-DC34-4536-BAD1-13178C2F9BA3}">
      <text>
        <t>[Threaded comment]
Your version of Excel allows you to read this threaded comment; however, any edits to it will get removed if the file is opened in a newer version of Excel. Learn more: https://go.microsoft.com/fwlink/?linkid=870924
Comment:
    Matt 30th</t>
      </text>
    </comment>
    <comment ref="L105" authorId="167" shapeId="0" xr:uid="{2D511D78-6265-41A0-A1B8-64F376A8E7B7}">
      <text>
        <t>[Threaded comment]
Your version of Excel allows you to read this threaded comment; however, any edits to it will get removed if the file is opened in a newer version of Excel. Learn more: https://go.microsoft.com/fwlink/?linkid=870924
Comment:
    10 year anniversary</t>
      </text>
    </comment>
    <comment ref="N105" authorId="168" shapeId="0" xr:uid="{6218F8A2-C50C-4FCD-9AD5-F1BE000B8C38}">
      <text>
        <t>[Threaded comment]
Your version of Excel allows you to read this threaded comment; however, any edits to it will get removed if the file is opened in a newer version of Excel. Learn more: https://go.microsoft.com/fwlink/?linkid=870924
Comment:
    Kris 30th</t>
      </text>
    </comment>
    <comment ref="C106" authorId="169" shapeId="0" xr:uid="{25E67008-91D8-46A3-87BE-247EF0C5ADA2}">
      <text>
        <t>[Threaded comment]
Your version of Excel allows you to read this threaded comment; however, any edits to it will get removed if the file is opened in a newer version of Excel. Learn more: https://go.microsoft.com/fwlink/?linkid=870924
Comment:
    1578 - bonus
40 - earphone sale
40 - watch sale
30 - gift budget (honey voucher, amz voucher)
25 - dress return
30 - kris wage (lulu top)
120 - cash
36 - matt fun (van gogh)</t>
      </text>
    </comment>
    <comment ref="D106" authorId="170" shapeId="0" xr:uid="{E17C3A15-8141-4998-99CE-F046D824F426}">
      <text>
        <t>[Threaded comment]
Your version of Excel allows you to read this threaded comment; however, any edits to it will get removed if the file is opened in a newer version of Excel. Learn more: https://go.microsoft.com/fwlink/?linkid=870924
Comment:
    75 - Matt fun for opera
325 - extra bonus</t>
      </text>
    </comment>
    <comment ref="E106" authorId="171" shapeId="0" xr:uid="{9E954C92-ED36-4040-9E37-0F8695E97784}">
      <text>
        <t>[Threaded comment]
Your version of Excel allows you to read this threaded comment; however, any edits to it will get removed if the file is opened in a newer version of Excel. Learn more: https://go.microsoft.com/fwlink/?linkid=870924
Comment:
    100 - cashback claim
700 - sales
400 - pension rfd</t>
      </text>
    </comment>
    <comment ref="F106" authorId="172" shapeId="0" xr:uid="{13017B96-A055-4DF3-89CB-E7B58C71066C}">
      <text>
        <t>[Threaded comment]
Your version of Excel allows you to read this threaded comment; however, any edits to it will get removed if the file is opened in a newer version of Excel. Learn more: https://go.microsoft.com/fwlink/?linkid=870924
Comment:
    200 - matt fun
200 - kris fun</t>
      </text>
    </comment>
    <comment ref="H106" authorId="173" shapeId="0" xr:uid="{6F142EC7-5671-4ECE-9203-C8A0BECDDE42}">
      <text>
        <t>[Threaded comment]
Your version of Excel allows you to read this threaded comment; however, any edits to it will get removed if the file is opened in a newer version of Excel. Learn more: https://go.microsoft.com/fwlink/?linkid=870924
Comment:
    90 - fitness
300 - amex cashback
1225 - remortgage excess</t>
      </text>
    </comment>
    <comment ref="I106" authorId="174" shapeId="0" xr:uid="{7BAD7D26-D244-4DC7-AD94-5966282C11ED}">
      <text>
        <t>[Threaded comment]
Your version of Excel allows you to read this threaded comment; however, any edits to it will get removed if the file is opened in a newer version of Excel. Learn more: https://go.microsoft.com/fwlink/?linkid=870924
Comment:
    1000 - bonus</t>
      </text>
    </comment>
    <comment ref="K106" authorId="175" shapeId="0" xr:uid="{1EC3814F-3DC1-42FC-9450-9DA9E88D8C6B}">
      <text>
        <t>[Threaded comment]
Your version of Excel allows you to read this threaded comment; however, any edits to it will get removed if the file is opened in a newer version of Excel. Learn more: https://go.microsoft.com/fwlink/?linkid=870924
Comment:
    90 - fitness</t>
      </text>
    </comment>
    <comment ref="L106" authorId="176" shapeId="0" xr:uid="{7BE9C83A-3308-4988-9EE5-D6649C4A0C47}">
      <text>
        <t>[Threaded comment]
Your version of Excel allows you to read this threaded comment; however, any edits to it will get removed if the file is opened in a newer version of Excel. Learn more: https://go.microsoft.com/fwlink/?linkid=870924
Comment:
    800 - bonus</t>
      </text>
    </comment>
    <comment ref="N106" authorId="177" shapeId="0" xr:uid="{919ABA47-008E-40AD-ABDC-7C5B59689926}">
      <text>
        <t>[Threaded comment]
Your version of Excel allows you to read this threaded comment; however, any edits to it will get removed if the file is opened in a newer version of Excel. Learn more: https://go.microsoft.com/fwlink/?linkid=870924
Comment:
    90 - fitness</t>
      </text>
    </comment>
    <comment ref="D107" authorId="178" shapeId="0" xr:uid="{9828DC44-2898-48A1-BFAC-015B9211A059}">
      <text>
        <t>[Threaded comment]
Your version of Excel allows you to read this threaded comment; however, any edits to it will get removed if the file is opened in a newer version of Excel. Learn more: https://go.microsoft.com/fwlink/?linkid=870924
Comment:
    +90 cash</t>
      </text>
    </comment>
    <comment ref="C108" authorId="179" shapeId="0" xr:uid="{8FF1949C-423A-457E-9405-3071DB2E3377}">
      <text>
        <t>[Threaded comment]
Your version of Excel allows you to read this threaded comment; however, any edits to it will get removed if the file is opened in a newer version of Excel. Learn more: https://go.microsoft.com/fwlink/?linkid=870924
Comment:
    Rosita service + MOT</t>
      </text>
    </comment>
    <comment ref="G108" authorId="180" shapeId="0" xr:uid="{47A41C94-F594-4C06-8D2D-39652FC57682}">
      <text>
        <t>[Threaded comment]
Your version of Excel allows you to read this threaded comment; however, any edits to it will get removed if the file is opened in a newer version of Excel. Learn more: https://go.microsoft.com/fwlink/?linkid=870924
Comment:
    Rosita MOT</t>
      </text>
    </comment>
    <comment ref="I108" authorId="181" shapeId="0" xr:uid="{6BA7EF9D-FC12-4126-AD41-22A30BFA1ACA}">
      <text>
        <t>[Threaded comment]
Your version of Excel allows you to read this threaded comment; however, any edits to it will get removed if the file is opened in a newer version of Excel. Learn more: https://go.microsoft.com/fwlink/?linkid=870924
Comment:
    BMW MOT + Service</t>
      </text>
    </comment>
    <comment ref="L108" authorId="182" shapeId="0" xr:uid="{4C73A93A-C625-42C0-B038-09C747871BE3}">
      <text>
        <t>[Threaded comment]
Your version of Excel allows you to read this threaded comment; however, any edits to it will get removed if the file is opened in a newer version of Excel. Learn more: https://go.microsoft.com/fwlink/?linkid=870924
Comment:
    Audi MOT + Service</t>
      </text>
    </comment>
    <comment ref="C111" authorId="183" shapeId="0" xr:uid="{A2A09946-035D-42DB-A870-ED3C3E3B7A20}">
      <text>
        <t>[Threaded comment]
Your version of Excel allows you to read this threaded comment; however, any edits to it will get removed if the file is opened in a newer version of Excel. Learn more: https://go.microsoft.com/fwlink/?linkid=870924
Comment:
    Valentines day</t>
      </text>
    </comment>
    <comment ref="D111" authorId="184" shapeId="0" xr:uid="{0A280931-290A-4CF6-A98C-1E427CE99D37}">
      <text>
        <t>[Threaded comment]
Your version of Excel allows you to read this threaded comment; however, any edits to it will get removed if the file is opened in a newer version of Excel. Learn more: https://go.microsoft.com/fwlink/?linkid=870924
Comment:
    Mothers day
National womens day</t>
      </text>
    </comment>
    <comment ref="E111" authorId="185" shapeId="0" xr:uid="{47A91C59-1B31-4CE9-B7F4-10AD26F54AC4}">
      <text>
        <t>[Threaded comment]
Your version of Excel allows you to read this threaded comment; however, any edits to it will get removed if the file is opened in a newer version of Excel. Learn more: https://go.microsoft.com/fwlink/?linkid=870924
Comment:
    Mum anniversary</t>
      </text>
    </comment>
    <comment ref="G111" authorId="186" shapeId="0" xr:uid="{A471778E-E0F5-4F52-B3F0-908DE7DC5F05}">
      <text>
        <t>[Threaded comment]
Your version of Excel allows you to read this threaded comment; however, any edits to it will get removed if the file is opened in a newer version of Excel. Learn more: https://go.microsoft.com/fwlink/?linkid=870924
Comment:
    -100 aniversary in bali</t>
      </text>
    </comment>
    <comment ref="H111" authorId="187" shapeId="0" xr:uid="{DD3361AB-4B14-4505-80F3-D74A51D70337}">
      <text>
        <t>[Threaded comment]
Your version of Excel allows you to read this threaded comment; however, any edits to it will get removed if the file is opened in a newer version of Excel. Learn more: https://go.microsoft.com/fwlink/?linkid=870924
Comment:
    Name day</t>
      </text>
    </comment>
    <comment ref="J111" authorId="188" shapeId="0" xr:uid="{15B961D2-396E-4D4E-A9E9-26A39CBAFC55}">
      <text>
        <t>[Threaded comment]
Your version of Excel allows you to read this threaded comment; however, any edits to it will get removed if the file is opened in a newer version of Excel. Learn more: https://go.microsoft.com/fwlink/?linkid=870924
Comment:
    -150 = Matt bday going to LA</t>
      </text>
    </comment>
    <comment ref="K111" authorId="189" shapeId="0" xr:uid="{FB7E3DB4-D3CE-4CB1-986F-7AB0BC51CC2B}">
      <text>
        <t>[Threaded comment]
Your version of Excel allows you to read this threaded comment; however, any edits to it will get removed if the file is opened in a newer version of Excel. Learn more: https://go.microsoft.com/fwlink/?linkid=870924
Comment:
    Anniversary</t>
      </text>
    </comment>
    <comment ref="M111" authorId="190" shapeId="0" xr:uid="{2D6638B4-4AE0-4E9F-93AA-12DD89B3A7E6}">
      <text>
        <t>[Threaded comment]
Your version of Excel allows you to read this threaded comment; however, any edits to it will get removed if the file is opened in a newer version of Excel. Learn more: https://go.microsoft.com/fwlink/?linkid=870924
Comment:
    Xmas</t>
      </text>
    </comment>
    <comment ref="N111" authorId="191" shapeId="0" xr:uid="{429D2230-EBEF-4EBD-835F-8FDC83B7D1B8}">
      <text>
        <t>[Threaded comment]
Your version of Excel allows you to read this threaded comment; however, any edits to it will get removed if the file is opened in a newer version of Excel. Learn more: https://go.microsoft.com/fwlink/?linkid=870924
Comment:
    Xmas</t>
      </text>
    </comment>
    <comment ref="K112" authorId="192" shapeId="0" xr:uid="{3AC9E84F-FA3D-4B14-93CA-0C2CDBE8CD87}">
      <text>
        <t>[Threaded comment]
Your version of Excel allows you to read this threaded comment; however, any edits to it will get removed if the file is opened in a newer version of Excel. Learn more: https://go.microsoft.com/fwlink/?linkid=870924
Comment:
    Universal - hotel + spending</t>
      </text>
    </comment>
    <comment ref="C113" authorId="193" shapeId="0" xr:uid="{F8C75D5D-87DC-4802-86D5-03342C021CED}">
      <text>
        <t>[Threaded comment]
Your version of Excel allows you to read this threaded comment; however, any edits to it will get removed if the file is opened in a newer version of Excel. Learn more: https://go.microsoft.com/fwlink/?linkid=870924
Comment:
    Universal 26 park tickets</t>
      </text>
    </comment>
    <comment ref="F113" authorId="194" shapeId="0" xr:uid="{C7EA5171-16C7-4F61-9546-AEADB1B6D793}">
      <text>
        <t>[Threaded comment]
Your version of Excel allows you to read this threaded comment; however, any edits to it will get removed if the file is opened in a newer version of Excel. Learn more: https://go.microsoft.com/fwlink/?linkid=870924
Comment:
    Universal new park</t>
      </text>
    </comment>
    <comment ref="C115" authorId="195" shapeId="0" xr:uid="{580DA63F-566C-493D-B639-4B1010E911F3}">
      <text>
        <t>[Threaded comment]
Your version of Excel allows you to read this threaded comment; however, any edits to it will get removed if the file is opened in a newer version of Excel. Learn more: https://go.microsoft.com/fwlink/?linkid=870924
Comment:
    Matt dentist
2 x bluecrest healthchecks</t>
      </text>
    </comment>
    <comment ref="H115" authorId="196" shapeId="0" xr:uid="{104AFCB5-CC77-45A8-B79D-CC029B5064E9}">
      <text>
        <t>[Threaded comment]
Your version of Excel allows you to read this threaded comment; however, any edits to it will get removed if the file is opened in a newer version of Excel. Learn more: https://go.microsoft.com/fwlink/?linkid=870924
Comment:
    latvia</t>
      </text>
    </comment>
    <comment ref="I199" authorId="197" shapeId="0" xr:uid="{35123EC1-8BAF-489A-BF4E-1C31CF181ECC}">
      <text>
        <t>[Threaded comment]
Your version of Excel allows you to read this threaded comment; however, any edits to it will get removed if the file is opened in a newer version of Excel. Learn more: https://go.microsoft.com/fwlink/?linkid=870924
Comment:
    Petrol MHEV AWD insurance update</t>
      </text>
    </comment>
  </commentList>
</comments>
</file>

<file path=xl/comments120.xml><?xml version="1.0" encoding="utf-8"?>
<comments xmlns="http://schemas.openxmlformats.org/spreadsheetml/2006/main" xmlns:mc="http://schemas.openxmlformats.org/markup-compatibility/2006" xmlns:xr="http://schemas.microsoft.com/office/spreadsheetml/2014/revision" mc:Ignorable="xr">
  <authors>
    <author>tc={1611BE6F-5257-4636-BB21-61BA3666C30C}</author>
    <author>tc={43A04163-AE69-422D-ACAD-F5C48B2090D1}</author>
    <author>tc={CC374EBF-22AF-4FC0-8885-E17B4095349A}</author>
    <author>tc={83BB257F-7B45-4C76-8C00-2F87C7156669}</author>
    <author>tc={9D7B8462-18B3-F24D-90DE-4BEAEDBD4F30}</author>
    <author>tc={7A41AC34-9CF0-4D88-AD9A-0E90A5223C3C}</author>
    <author>tc={563FB99E-D7A0-4CDD-AA60-C1ECA0C71A78}</author>
    <author>tc={168991CD-CB7F-4FD9-8EE6-572FD3B0D12C}</author>
  </authors>
  <commentList>
    <comment ref="L2" authorId="0" shapeId="0" xr:uid="{1611BE6F-5257-4636-BB21-61BA3666C30C}">
      <text>
        <t>[Threaded comment]
Your version of Excel allows you to read this threaded comment; however, any edits to it will get removed if the file is opened in a newer version of Excel. Learn more: https://go.microsoft.com/fwlink/?linkid=870924
Comment:
    10/12/25</t>
      </text>
    </comment>
    <comment ref="K3" authorId="1" shapeId="0" xr:uid="{43A04163-AE69-422D-ACAD-F5C48B2090D1}">
      <text>
        <t>[Threaded comment]
Your version of Excel allows you to read this threaded comment; however, any edits to it will get removed if the file is opened in a newer version of Excel. Learn more: https://go.microsoft.com/fwlink/?linkid=870924
Comment:
    Includes interest (I think)</t>
      </text>
    </comment>
    <comment ref="L3" authorId="2" shapeId="0" xr:uid="{CC374EBF-22AF-4FC0-8885-E17B4095349A}">
      <text>
        <t>[Threaded comment]
Your version of Excel allows you to read this threaded comment; however, any edits to it will get removed if the file is opened in a newer version of Excel. Learn more: https://go.microsoft.com/fwlink/?linkid=870924
Comment:
    Actual balance as of 20/03/2026</t>
      </text>
    </comment>
    <comment ref="M3" authorId="3" shapeId="0" xr:uid="{83BB257F-7B45-4C76-8C00-2F87C7156669}">
      <text>
        <t>[Threaded comment]
Your version of Excel allows you to read this threaded comment; however, any edits to it will get removed if the file is opened in a newer version of Excel. Learn more: https://go.microsoft.com/fwlink/?linkid=870924
Comment:
    13600 = guess</t>
      </text>
    </comment>
    <comment ref="A4" authorId="4" shapeId="0" xr:uid="{9D7B8462-18B3-F24D-90DE-4BEAEDBD4F30}">
      <text>
        <t>[Threaded comment]
Your version of Excel allows you to read this threaded comment; however, any edits to it will get removed if the file is opened in a newer version of Excel. Learn more: https://go.microsoft.com/fwlink/?linkid=870924
Comment:
    Watch</t>
      </text>
    </comment>
    <comment ref="O6" authorId="5" shapeId="0" xr:uid="{7A41AC34-9CF0-4D88-AD9A-0E90A5223C3C}">
      <text>
        <t>[Threaded comment]
Your version of Excel allows you to read this threaded comment; however, any edits to it will get removed if the file is opened in a newer version of Excel. Learn more: https://go.microsoft.com/fwlink/?linkid=870924
Comment:
    Switch deals - redeemable in AUG</t>
      </text>
    </comment>
    <comment ref="A22" authorId="6" shapeId="0" xr:uid="{563FB99E-D7A0-4CDD-AA60-C1ECA0C71A78}">
      <text>
        <t>[Threaded comment]
Your version of Excel allows you to read this threaded comment; however, any edits to it will get removed if the file is opened in a newer version of Excel. Learn more: https://go.microsoft.com/fwlink/?linkid=870924
Comment:
    Mattress</t>
      </text>
    </comment>
    <comment ref="P28" authorId="7" shapeId="0" xr:uid="{168991CD-CB7F-4FD9-8EE6-572FD3B0D12C}">
      <text>
        <t>[Threaded comment]
Your version of Excel allows you to read this threaded comment; however, any edits to it will get removed if the file is opened in a newer version of Excel. Learn more: https://go.microsoft.com/fwlink/?linkid=870924
Comment:
    +4 lounge passes</t>
      </text>
    </comment>
  </commentList>
</comments>
</file>

<file path=xl/comments121.xml><?xml version="1.0" encoding="utf-8"?>
<comments xmlns="http://schemas.openxmlformats.org/spreadsheetml/2006/main" xmlns:mc="http://schemas.openxmlformats.org/markup-compatibility/2006" xmlns:xr="http://schemas.microsoft.com/office/spreadsheetml/2014/revision" mc:Ignorable="xr">
  <authors>
    <author>tc={ADD07DB1-B0BF-4459-A323-8B21C4890147}</author>
    <author>tc={CC417B82-7612-44CF-8A73-8EF3DC19D729}</author>
    <author>tc={482F50AF-00BD-410E-A1B9-A7BE472167DB}</author>
  </authors>
  <commentList>
    <comment ref="F21" authorId="0" shapeId="0" xr:uid="{ADD07DB1-B0BF-4459-A323-8B21C4890147}">
      <text>
        <t>[Threaded comment]
Your version of Excel allows you to read this threaded comment; however, any edits to it will get removed if the file is opened in a newer version of Excel. Learn more: https://go.microsoft.com/fwlink/?linkid=870924
Comment:
    10.49 = Onedrive
Nationwide
Netflix
Printing
12 = barclays avios
15 = barclaycard premium</t>
      </text>
    </comment>
    <comment ref="E25" authorId="1" shapeId="0" xr:uid="{CC417B82-7612-44CF-8A73-8EF3DC19D729}">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1" authorId="2" shapeId="0" xr:uid="{482F50AF-00BD-410E-A1B9-A7BE472167DB}">
      <text>
        <t>[Threaded comment]
Your version of Excel allows you to read this threaded comment; however, any edits to it will get removed if the file is opened in a newer version of Excel. Learn more: https://go.microsoft.com/fwlink/?linkid=870924
Comment:
    54.5 = returning</t>
      </text>
    </comment>
  </commentList>
</comments>
</file>

<file path=xl/comments122.xml><?xml version="1.0" encoding="utf-8"?>
<comments xmlns="http://schemas.openxmlformats.org/spreadsheetml/2006/main" xmlns:mc="http://schemas.openxmlformats.org/markup-compatibility/2006" xmlns:xr="http://schemas.microsoft.com/office/spreadsheetml/2014/revision" mc:Ignorable="xr">
  <authors>
    <author>tc={E1CB7AF1-DA63-48DC-AC37-66EFE926911E}</author>
    <author>tc={9FBC4382-38DF-4369-99FE-AFEDF8ABB7DE}</author>
    <author>tc={6B2F08E7-6C1D-4013-9DD1-57C08702FD6C}</author>
    <author>tc={7F8A7B9D-CDCE-4241-8540-AE46041CC15C}</author>
    <author>tc={11CD335A-78FE-4343-94B5-A8FAB056798E}</author>
  </authors>
  <commentList>
    <comment ref="B2" authorId="0" shapeId="0" xr:uid="{E1CB7AF1-DA63-48DC-AC37-66EFE926911E}">
      <text>
        <t>[Threaded comment]
Your version of Excel allows you to read this threaded comment; however, any edits to it will get removed if the file is opened in a newer version of Excel. Learn more: https://go.microsoft.com/fwlink/?linkid=870924
Comment:
    2 months w/ holiday savings</t>
      </text>
    </comment>
    <comment ref="I8" authorId="1" shapeId="0" xr:uid="{9FBC4382-38DF-4369-99FE-AFEDF8ABB7DE}">
      <text>
        <t>[Threaded comment]
Your version of Excel allows you to read this threaded comment; however, any edits to it will get removed if the file is opened in a newer version of Excel. Learn more: https://go.microsoft.com/fwlink/?linkid=870924
Comment:
    Took out for luna vets</t>
      </text>
    </comment>
    <comment ref="F13" authorId="2" shapeId="0" xr:uid="{6B2F08E7-6C1D-4013-9DD1-57C08702FD6C}">
      <text>
        <t>[Threaded comment]
Your version of Excel allows you to read this threaded comment; however, any edits to it will get removed if the file is opened in a newer version of Excel. Learn more: https://go.microsoft.com/fwlink/?linkid=870924
Comment:
    +50 paid off mattress</t>
      </text>
    </comment>
    <comment ref="G13" authorId="3" shapeId="0" xr:uid="{7F8A7B9D-CDCE-4241-8540-AE46041CC15C}">
      <text>
        <t>[Threaded comment]
Your version of Excel allows you to read this threaded comment; however, any edits to it will get removed if the file is opened in a newer version of Excel. Learn more: https://go.microsoft.com/fwlink/?linkid=870924
Comment:
    Paid off barclaycard</t>
      </text>
    </comment>
    <comment ref="B17" authorId="4" shapeId="0" xr:uid="{11CD335A-78FE-4343-94B5-A8FAB056798E}">
      <text>
        <t>[Threaded comment]
Your version of Excel allows you to read this threaded comment; however, any edits to it will get removed if the file is opened in a newer version of Excel. Learn more: https://go.microsoft.com/fwlink/?linkid=870924
Comment:
    Current - 4.13</t>
      </text>
    </comment>
  </commentList>
</comments>
</file>

<file path=xl/comments123.xml><?xml version="1.0" encoding="utf-8"?>
<comments xmlns="http://schemas.openxmlformats.org/spreadsheetml/2006/main" xmlns:mc="http://schemas.openxmlformats.org/markup-compatibility/2006" xmlns:xr="http://schemas.microsoft.com/office/spreadsheetml/2014/revision" mc:Ignorable="xr">
  <authors>
    <author>tc={489478BD-448C-BC41-AEDF-57E6FC7EAD60}</author>
    <author>tc={A53C9D33-A45E-BD43-AF37-F1E9F5AAFE01}</author>
  </authors>
  <commentList>
    <comment ref="C26" authorId="0" shapeId="0" xr:uid="{489478BD-448C-BC41-AEDF-57E6FC7EAD60}">
      <text>
        <t>[Threaded comment]
Your version of Excel allows you to read this threaded comment; however, any edits to it will get removed if the file is opened in a newer version of Excel. Learn more: https://go.microsoft.com/fwlink/?linkid=870924
Comment:
    Lower than normal - missing about 1 week after new gas meter install</t>
      </text>
    </comment>
    <comment ref="C27" authorId="1" shapeId="0" xr:uid="{A53C9D33-A45E-BD43-AF37-F1E9F5AAFE01}">
      <text>
        <t>[Threaded comment]
Your version of Excel allows you to read this threaded comment; however, any edits to it will get removed if the file is opened in a newer version of Excel. Learn more: https://go.microsoft.com/fwlink/?linkid=870924
Comment:
    Guess bcos no data</t>
      </text>
    </comment>
  </commentList>
</comments>
</file>

<file path=xl/comments124.xml><?xml version="1.0" encoding="utf-8"?>
<comments xmlns="http://schemas.openxmlformats.org/spreadsheetml/2006/main" xmlns:mc="http://schemas.openxmlformats.org/markup-compatibility/2006" xmlns:xr="http://schemas.microsoft.com/office/spreadsheetml/2014/revision" mc:Ignorable="xr">
  <authors>
    <author>tc={ABE20294-B0D9-4F93-BE3F-89C9B003D3B8}</author>
    <author>tc={D69C2A17-C53A-474D-B8AB-C7989B7B615F}</author>
    <author>tc={939A143D-237C-4575-8117-331D9F7F3FF3}</author>
    <author>tc={A45684F7-DFCB-4755-8B37-B3BC23442A2A}</author>
    <author>tc={6C001F16-4C9C-4FA1-9BEE-039E50B8AF8E}</author>
    <author>tc={CE22478F-49D5-4B23-B760-E2E7C0433002}</author>
    <author>tc={AE88037E-70CF-4845-AC2E-96F21B110552}</author>
    <author>tc={9BDFB70C-143B-4303-83AC-B8BEA5604FA7}</author>
    <author>tc={671AA859-3746-4480-A7AA-C6CE147E5292}</author>
    <author>tc={187BABDB-F714-41C2-8F9A-60A76D496E77}</author>
    <author>tc={6DD90285-5227-4A97-8A3D-36262E7D29CA}</author>
    <author>tc={A1BF99CE-5076-4A04-88B4-F1F1AB0EDCC2}</author>
    <author>tc={B661D883-C28A-4693-AB24-E695D342B37D}</author>
    <author>tc={E07FDFBD-54A8-4964-8FD1-0978EF087629}</author>
    <author>tc={FB3003E9-010B-4604-B82B-BA2A277E90A4}</author>
    <author>tc={FB80B1E9-9822-4F82-9FA5-9368B5C37A6D}</author>
    <author>tc={BD72028B-7ED7-4054-B46A-D9B4D939699D}</author>
    <author>tc={5CACEFD5-3B96-46FB-924F-6CF7E3E3D93A}</author>
    <author>tc={3D93F513-A2CE-4615-9C41-5BE8B2B5D1C2}</author>
    <author>tc={7D063BB1-57E5-40BB-9D78-3B3B6E0F13A7}</author>
  </authors>
  <commentList>
    <comment ref="N6" authorId="0" shapeId="0" xr:uid="{ABE20294-B0D9-4F93-BE3F-89C9B003D3B8}">
      <text>
        <t>[Threaded comment]
Your version of Excel allows you to read this threaded comment; however, any edits to it will get removed if the file is opened in a newer version of Excel. Learn more: https://go.microsoft.com/fwlink/?linkid=870924
Comment:
    BMW full tank before crisis kicks in - take some from next month</t>
      </text>
    </comment>
    <comment ref="F13" authorId="1" shapeId="0" xr:uid="{D69C2A17-C53A-474D-B8AB-C7989B7B615F}">
      <text>
        <t>[Threaded comment]
Your version of Excel allows you to read this threaded comment; however, any edits to it will get removed if the file is opened in a newer version of Excel. Learn more: https://go.microsoft.com/fwlink/?linkid=870924
Comment:
    Renews May 2026</t>
      </text>
    </comment>
    <comment ref="F15" authorId="2" shapeId="0" xr:uid="{939A143D-237C-4575-8117-331D9F7F3FF3}">
      <text>
        <t>[Threaded comment]
Your version of Excel allows you to read this threaded comment; however, any edits to it will get removed if the file is opened in a newer version of Excel. Learn more: https://go.microsoft.com/fwlink/?linkid=870924
Comment:
    -5 for rewards</t>
      </text>
    </comment>
    <comment ref="F16" authorId="3" shapeId="0" xr:uid="{A45684F7-DFCB-4755-8B37-B3BC23442A2A}">
      <text>
        <t>[Threaded comment]
Your version of Excel allows you to read this threaded comment; however, any edits to it will get removed if the file is opened in a newer version of Excel. Learn more: https://go.microsoft.com/fwlink/?linkid=870924
Comment:
    Renewal: Aug 2026</t>
      </text>
    </comment>
    <comment ref="F17" authorId="4" shapeId="0" xr:uid="{6C001F16-4C9C-4FA1-9BEE-039E50B8AF8E}">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0" authorId="5" shapeId="0" xr:uid="{CE22478F-49D5-4B23-B760-E2E7C0433002}">
      <text>
        <t>[Threaded comment]
Your version of Excel allows you to read this threaded comment; however, any edits to it will get removed if the file is opened in a newer version of Excel. Learn more: https://go.microsoft.com/fwlink/?linkid=870924
Comment:
    48 = mattress
137 = watch
170 = barclaycard</t>
      </text>
    </comment>
    <comment ref="F21" authorId="6" shapeId="0" xr:uid="{AE88037E-70CF-4845-AC2E-96F21B110552}">
      <text>
        <t>[Threaded comment]
Your version of Excel allows you to read this threaded comment; however, any edits to it will get removed if the file is opened in a newer version of Excel. Learn more: https://go.microsoft.com/fwlink/?linkid=870924
Comment:
    Going towards vegas</t>
      </text>
    </comment>
    <comment ref="F23" authorId="7" shapeId="0" xr:uid="{9BDFB70C-143B-4303-83AC-B8BEA5604FA7}">
      <text>
        <t>[Threaded comment]
Your version of Excel allows you to read this threaded comment; however, any edits to it will get removed if the file is opened in a newer version of Excel. Learn more: https://go.microsoft.com/fwlink/?linkid=870924
Comment:
    18 = haircut
100 = health insurance</t>
      </text>
    </comment>
    <comment ref="G24" authorId="8" shapeId="0" xr:uid="{671AA859-3746-4480-A7AA-C6CE147E5292}">
      <text>
        <t>[Threaded comment]
Your version of Excel allows you to read this threaded comment; however, any edits to it will get removed if the file is opened in a newer version of Excel. Learn more: https://go.microsoft.com/fwlink/?linkid=870924
Comment:
    podiatrist</t>
      </text>
    </comment>
    <comment ref="F25" authorId="9" shapeId="0" xr:uid="{187BABDB-F714-41C2-8F9A-60A76D496E77}">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9" authorId="10" shapeId="0" xr:uid="{6DD90285-5227-4A97-8A3D-36262E7D29CA}">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G36" authorId="11" shapeId="0" xr:uid="{A1BF99CE-5076-4A04-88B4-F1F1AB0EDCC2}">
      <text>
        <t>[Threaded comment]
Your version of Excel allows you to read this threaded comment; however, any edits to it will get removed if the file is opened in a newer version of Excel. Learn more: https://go.microsoft.com/fwlink/?linkid=870924
Comment:
    Babu - kris sent 870 only</t>
      </text>
    </comment>
    <comment ref="H36" authorId="12" shapeId="0" xr:uid="{B661D883-C28A-4693-AB24-E695D342B37D}">
      <text>
        <t>[Threaded comment]
Your version of Excel allows you to read this threaded comment; however, any edits to it will get removed if the file is opened in a newer version of Excel. Learn more: https://go.microsoft.com/fwlink/?linkid=870924
Comment:
    Luna bed</t>
      </text>
    </comment>
    <comment ref="P36" authorId="13" shapeId="0" xr:uid="{E07FDFBD-54A8-4964-8FD1-0978EF087629}">
      <text>
        <t>[Threaded comment]
Your version of Excel allows you to read this threaded comment; however, any edits to it will get removed if the file is opened in a newer version of Excel. Learn more: https://go.microsoft.com/fwlink/?linkid=870924
Comment:
    Chinese - will reimburse from work</t>
      </text>
    </comment>
    <comment ref="I42" authorId="14" shapeId="0" xr:uid="{FB3003E9-010B-4604-B82B-BA2A277E90A4}">
      <text>
        <t>[Threaded comment]
Your version of Excel allows you to read this threaded comment; however, any edits to it will get removed if the file is opened in a newer version of Excel. Learn more: https://go.microsoft.com/fwlink/?linkid=870924
Comment:
    Fish + Chips</t>
      </text>
    </comment>
    <comment ref="F46" authorId="15" shapeId="0" xr:uid="{FB80B1E9-9822-4F82-9FA5-9368B5C37A6D}">
      <text>
        <t>[Threaded comment]
Your version of Excel allows you to read this threaded comment; however, any edits to it will get removed if the file is opened in a newer version of Excel. Learn more: https://go.microsoft.com/fwlink/?linkid=870924
Comment:
    64 = rosita insurance</t>
      </text>
    </comment>
    <comment ref="F47" authorId="16" shapeId="0" xr:uid="{BD72028B-7ED7-4054-B46A-D9B4D939699D}">
      <text>
        <t>[Threaded comment]
Your version of Excel allows you to read this threaded comment; however, any edits to it will get removed if the file is opened in a newer version of Excel. Learn more: https://go.microsoft.com/fwlink/?linkid=870924
Comment:
    50 = skin
118 = sin refunds</t>
      </text>
    </comment>
    <comment ref="G50" authorId="17" shapeId="0" xr:uid="{5CACEFD5-3B96-46FB-924F-6CF7E3E3D93A}">
      <text>
        <t>[Threaded comment]
Your version of Excel allows you to read this threaded comment; however, any edits to it will get removed if the file is opened in a newer version of Excel. Learn more: https://go.microsoft.com/fwlink/?linkid=870924
Comment:
    3579.86 = wage
5 = barclays cashback
20 = iphone drawdown
Rest = kris</t>
      </text>
    </comment>
    <comment ref="D66" authorId="18" shapeId="0" xr:uid="{3D93F513-A2CE-4615-9C41-5BE8B2B5D1C2}">
      <text>
        <t>[Threaded comment]
Your version of Excel allows you to read this threaded comment; however, any edits to it will get removed if the file is opened in a newer version of Excel. Learn more: https://go.microsoft.com/fwlink/?linkid=870924
Comment:
    % if pay bump is $</t>
      </text>
    </comment>
    <comment ref="D67" authorId="19" shapeId="0" xr:uid="{7D063BB1-57E5-40BB-9D78-3B3B6E0F13A7}">
      <text>
        <t>[Threaded comment]
Your version of Excel allows you to read this threaded comment; however, any edits to it will get removed if the file is opened in a newer version of Excel. Learn more: https://go.microsoft.com/fwlink/?linkid=870924
Comment:
    % if pay rise = £</t>
      </text>
    </comment>
  </commentList>
</comments>
</file>

<file path=xl/comments125.xml><?xml version="1.0" encoding="utf-8"?>
<comments xmlns="http://schemas.openxmlformats.org/spreadsheetml/2006/main" xmlns:mc="http://schemas.openxmlformats.org/markup-compatibility/2006" xmlns:xr="http://schemas.microsoft.com/office/spreadsheetml/2014/revision" mc:Ignorable="xr">
  <authors>
    <author>tc={6315C7A3-05B8-4C08-9241-AC743DE71C8C}</author>
    <author>tc={BE060C13-C015-4D92-B7F9-415E429A40CC}</author>
    <author>tc={CF70CC39-715E-48FB-9DC3-6145BC6F6742}</author>
    <author>tc={A37072E0-F870-4611-974C-53CE0EB6C8CF}</author>
    <author>tc={A3D65AF9-F143-4A26-BE81-6BAF5D4CE2CA}</author>
    <author>tc={FDC11EB1-9276-4C7F-BA7A-98469DCDEEC9}</author>
    <author>tc={4D68BCE0-2207-431B-80EA-01056F8B340A}</author>
    <author>tc={9F624572-DC78-421A-BD09-633F7C5AFDC5}</author>
    <author>tc={18FEF5BF-E7B9-414F-8F65-A3BFEF6C185E}</author>
    <author>tc={9A3046A0-9F53-49B0-9EB7-05F960667397}</author>
    <author>tc={1B591461-B926-45E4-8A92-B7D15067D950}</author>
    <author>tc={1B8EFC0C-8A87-49DC-B4FA-9F6247D44004}</author>
    <author>tc={B0C495A9-B697-4C9C-843B-F80A41F66529}</author>
    <author>tc={F351689A-5B73-4F19-9327-1FD90015D8F4}</author>
    <author>tc={4AECF123-A725-46CE-9754-B3D219170483}</author>
    <author>tc={1F673773-B61D-4F1A-B85E-AC6CAFCCC9A4}</author>
    <author>tc={63107838-93E7-4E29-AEF1-3EA14E6659D3}</author>
    <author>tc={B31BBAFD-2289-43E9-9786-422A52AED6DB}</author>
    <author>tc={47DA0D69-FF31-4C84-AA33-5927745A1132}</author>
    <author>tc={A024F0C8-17E9-4229-A683-4B3DDC31B68B}</author>
    <author>tc={022DCEB6-1C2C-406B-B18C-C7B947FA6119}</author>
  </authors>
  <commentList>
    <comment ref="F6" authorId="0" shapeId="0" xr:uid="{6315C7A3-05B8-4C08-9241-AC743DE71C8C}">
      <text>
        <t>[Threaded comment]
Your version of Excel allows you to read this threaded comment; however, any edits to it will get removed if the file is opened in a newer version of Excel. Learn more: https://go.microsoft.com/fwlink/?linkid=870924
Comment:
    -20 for scotland</t>
      </text>
    </comment>
    <comment ref="H6" authorId="1" shapeId="0" xr:uid="{BE060C13-C015-4D92-B7F9-415E429A40CC}">
      <text>
        <t>[Threaded comment]
Your version of Excel allows you to read this threaded comment; however, any edits to it will get removed if the file is opened in a newer version of Excel. Learn more: https://go.microsoft.com/fwlink/?linkid=870924
Comment:
    Rollover from last month</t>
      </text>
    </comment>
    <comment ref="F7" authorId="2" shapeId="0" xr:uid="{CF70CC39-715E-48FB-9DC3-6145BC6F6742}">
      <text>
        <t>[Threaded comment]
Your version of Excel allows you to read this threaded comment; however, any edits to it will get removed if the file is opened in a newer version of Excel. Learn more: https://go.microsoft.com/fwlink/?linkid=870924
Comment:
    -50 for scotland</t>
      </text>
    </comment>
    <comment ref="F13" authorId="3" shapeId="0" xr:uid="{A37072E0-F870-4611-974C-53CE0EB6C8CF}">
      <text>
        <t>[Threaded comment]
Your version of Excel allows you to read this threaded comment; however, any edits to it will get removed if the file is opened in a newer version of Excel. Learn more: https://go.microsoft.com/fwlink/?linkid=870924
Comment:
    Renews May 2026
Reply:
    Bumped + 15 for tentbox cover</t>
      </text>
    </comment>
    <comment ref="F15" authorId="4" shapeId="0" xr:uid="{A3D65AF9-F143-4A26-BE81-6BAF5D4CE2CA}">
      <text>
        <t>[Threaded comment]
Your version of Excel allows you to read this threaded comment; however, any edits to it will get removed if the file is opened in a newer version of Excel. Learn more: https://go.microsoft.com/fwlink/?linkid=870924
Comment:
    -5 for rewards</t>
      </text>
    </comment>
    <comment ref="F16" authorId="5" shapeId="0" xr:uid="{FDC11EB1-9276-4C7F-BA7A-98469DCDEEC9}">
      <text>
        <t>[Threaded comment]
Your version of Excel allows you to read this threaded comment; however, any edits to it will get removed if the file is opened in a newer version of Excel. Learn more: https://go.microsoft.com/fwlink/?linkid=870924
Comment:
    Renewal: Aug 2026</t>
      </text>
    </comment>
    <comment ref="F17" authorId="6" shapeId="0" xr:uid="{4D68BCE0-2207-431B-80EA-01056F8B340A}">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0" authorId="7" shapeId="0" xr:uid="{9F624572-DC78-421A-BD09-633F7C5AFDC5}">
      <text>
        <t>[Threaded comment]
Your version of Excel allows you to read this threaded comment; however, any edits to it will get removed if the file is opened in a newer version of Excel. Learn more: https://go.microsoft.com/fwlink/?linkid=870924
Comment:
    48 = mattress
137 = watch
170 = barclaycard</t>
      </text>
    </comment>
    <comment ref="F23" authorId="8" shapeId="0" xr:uid="{18FEF5BF-E7B9-414F-8F65-A3BFEF6C185E}">
      <text>
        <t>[Threaded comment]
Your version of Excel allows you to read this threaded comment; however, any edits to it will get removed if the file is opened in a newer version of Excel. Learn more: https://go.microsoft.com/fwlink/?linkid=870924
Comment:
    18 = haircut
39.52 = insurance</t>
      </text>
    </comment>
    <comment ref="F24" authorId="9" shapeId="0" xr:uid="{9A3046A0-9F53-49B0-9EB7-05F960667397}">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8" authorId="10" shapeId="0" xr:uid="{1B591461-B926-45E4-8A92-B7D15067D950}">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J29" authorId="11" shapeId="0" xr:uid="{1B8EFC0C-8A87-49DC-B4FA-9F6247D44004}">
      <text>
        <t>[Threaded comment]
Your version of Excel allows you to read this threaded comment; however, any edits to it will get removed if the file is opened in a newer version of Excel. Learn more: https://go.microsoft.com/fwlink/?linkid=870924
Comment:
    73 = toe tabs</t>
      </text>
    </comment>
    <comment ref="G33" authorId="12" shapeId="0" xr:uid="{B0C495A9-B697-4C9C-843B-F80A41F66529}">
      <text>
        <t xml:space="preserve">[Threaded comment]
Your version of Excel allows you to read this threaded comment; however, any edits to it will get removed if the file is opened in a newer version of Excel. Learn more: https://go.microsoft.com/fwlink/?linkid=870924
Comment:
    5.64 = paypal
9.99 = nowtv
</t>
      </text>
    </comment>
    <comment ref="H33" authorId="13" shapeId="0" xr:uid="{F351689A-5B73-4F19-9327-1FD90015D8F4}">
      <text>
        <t>[Threaded comment]
Your version of Excel allows you to read this threaded comment; however, any edits to it will get removed if the file is opened in a newer version of Excel. Learn more: https://go.microsoft.com/fwlink/?linkid=870924
Comment:
    3.92 = coop
7.5 = coop
3.5 = coop
2.45 = coop
1.45 = coop
2.9 = coop
16.38 = asda
11.99 = aldi chair
2.42 = coop
9.99 = disney</t>
      </text>
    </comment>
    <comment ref="F35" authorId="14" shapeId="0" xr:uid="{4AECF123-A725-46CE-9754-B3D219170483}">
      <text>
        <t>[Threaded comment]
Your version of Excel allows you to read this threaded comment; however, any edits to it will get removed if the file is opened in a newer version of Excel. Learn more: https://go.microsoft.com/fwlink/?linkid=870924
Comment:
    -50 tanya bday move to kris budget</t>
      </text>
    </comment>
    <comment ref="G35" authorId="15" shapeId="0" xr:uid="{1F673773-B61D-4F1A-B85E-AC6CAFCCC9A4}">
      <text>
        <t>[Threaded comment]
Your version of Excel allows you to read this threaded comment; however, any edits to it will get removed if the file is opened in a newer version of Excel. Learn more: https://go.microsoft.com/fwlink/?linkid=870924
Comment:
    20 = hugo bday
80 - cash for scotland, unused, keeping in store</t>
      </text>
    </comment>
    <comment ref="H35" authorId="16" shapeId="0" xr:uid="{63107838-93E7-4E29-AEF1-3EA14E6659D3}">
      <text>
        <t>[Threaded comment]
Your version of Excel allows you to read this threaded comment; however, any edits to it will get removed if the file is opened in a newer version of Excel. Learn more: https://go.microsoft.com/fwlink/?linkid=870924
Comment:
    245 = latvia flights
32 = italy flights
16.15 = blind return postage</t>
      </text>
    </comment>
    <comment ref="H36" authorId="17" shapeId="0" xr:uid="{B31BBAFD-2289-43E9-9786-422A52AED6DB}">
      <text>
        <t>[Threaded comment]
Your version of Excel allows you to read this threaded comment; however, any edits to it will get removed if the file is opened in a newer version of Excel. Learn more: https://go.microsoft.com/fwlink/?linkid=870924
Comment:
    13.99 = giraffe for vinny
20.25 = vinny gift
144.39 = b&amp;q
17.65 = easter things
28.7 = milners engagement</t>
      </text>
    </comment>
    <comment ref="F41" authorId="18" shapeId="0" xr:uid="{47DA0D69-FF31-4C84-AA33-5927745A1132}">
      <text>
        <t>[Threaded comment]
Your version of Excel allows you to read this threaded comment; however, any edits to it will get removed if the file is opened in a newer version of Excel. Learn more: https://go.microsoft.com/fwlink/?linkid=870924
Comment:
    64 = rosita insurance</t>
      </text>
    </comment>
    <comment ref="H42" authorId="19" shapeId="0" xr:uid="{A024F0C8-17E9-4229-A683-4B3DDC31B68B}">
      <text>
        <t>[Threaded comment]
Your version of Excel allows you to read this threaded comment; however, any edits to it will get removed if the file is opened in a newer version of Excel. Learn more: https://go.microsoft.com/fwlink/?linkid=870924
Comment:
    -78 = gym shark refunds</t>
      </text>
    </comment>
    <comment ref="G44" authorId="20" shapeId="0" xr:uid="{022DCEB6-1C2C-406B-B18C-C7B947FA6119}">
      <text>
        <t>[Threaded comment]
Your version of Excel allows you to read this threaded comment; however, any edits to it will get removed if the file is opened in a newer version of Excel. Learn more: https://go.microsoft.com/fwlink/?linkid=870924
Comment:
    3579.86 = wage
107 = payrise
20 = iphone drawdown
Rest = kris</t>
      </text>
    </comment>
  </commentList>
</comments>
</file>

<file path=xl/comments126.xml><?xml version="1.0" encoding="utf-8"?>
<comments xmlns="http://schemas.openxmlformats.org/spreadsheetml/2006/main" xmlns:mc="http://schemas.openxmlformats.org/markup-compatibility/2006" xmlns:xr="http://schemas.microsoft.com/office/spreadsheetml/2014/revision" mc:Ignorable="xr">
  <authors>
    <author>tc={E095FB2B-1C00-41D0-8F23-418236BD64EE}</author>
    <author>tc={8CC62BEC-5BB9-4074-A90D-996F77433854}</author>
    <author>tc={617B6C3F-0EB4-41B9-B79C-254441AB6714}</author>
    <author>tc={BE22041B-84A9-4994-A0FB-D40B850D07E6}</author>
    <author>tc={4ED65D31-4438-4943-8D8D-E5E5B0EBBEB0}</author>
    <author>tc={46DC9BB4-13D9-4251-90C1-E6099B8033A6}</author>
    <author>tc={BA907BFC-0A04-4472-B216-EB6D865108DD}</author>
    <author>tc={A1477B0D-18CB-441C-BB21-F3A6467CDD63}</author>
    <author>tc={D203E6C9-0A18-4C88-8B60-17D66599ED7C}</author>
    <author>tc={5C1B73AD-5676-42CC-8A89-87DF6BDD223E}</author>
    <author>tc={3C3ED470-7D8A-41E1-9993-DE6FB4E50C7C}</author>
    <author>tc={7B0DD963-368B-4695-B301-426333862621}</author>
    <author>tc={F16339B8-0DC3-4119-8AAC-A15815F75D20}</author>
    <author>tc={BABCF14F-132E-4954-9969-D1AD7293BA9F}</author>
    <author>tc={F6FD8C25-1912-4272-B665-167AF16A3449}</author>
    <author>tc={F459BD9A-79C6-4D97-9F4E-22A14B503EDA}</author>
    <author>tc={DF2BFF5A-5D96-46D1-B8CB-D5CC1B13223D}</author>
    <author>tc={DE04BC8C-874A-4D0D-97BC-A1EBDE0E4EE0}</author>
  </authors>
  <commentList>
    <comment ref="F6" authorId="0" shapeId="0" xr:uid="{E095FB2B-1C00-41D0-8F23-418236BD64EE}">
      <text>
        <t>[Threaded comment]
Your version of Excel allows you to read this threaded comment; however, any edits to it will get removed if the file is opened in a newer version of Excel. Learn more: https://go.microsoft.com/fwlink/?linkid=870924
Comment:
    -20 for scotland</t>
      </text>
    </comment>
    <comment ref="F7" authorId="1" shapeId="0" xr:uid="{8CC62BEC-5BB9-4074-A90D-996F77433854}">
      <text>
        <t>[Threaded comment]
Your version of Excel allows you to read this threaded comment; however, any edits to it will get removed if the file is opened in a newer version of Excel. Learn more: https://go.microsoft.com/fwlink/?linkid=870924
Comment:
    -50 for scotland</t>
      </text>
    </comment>
    <comment ref="F13" authorId="2" shapeId="0" xr:uid="{617B6C3F-0EB4-41B9-B79C-254441AB6714}">
      <text>
        <t>[Threaded comment]
Your version of Excel allows you to read this threaded comment; however, any edits to it will get removed if the file is opened in a newer version of Excel. Learn more: https://go.microsoft.com/fwlink/?linkid=870924
Comment:
    Renews May 2026
Reply:
    Bumped + 15 for tentbox cover</t>
      </text>
    </comment>
    <comment ref="F15" authorId="3" shapeId="0" xr:uid="{BE22041B-84A9-4994-A0FB-D40B850D07E6}">
      <text>
        <t>[Threaded comment]
Your version of Excel allows you to read this threaded comment; however, any edits to it will get removed if the file is opened in a newer version of Excel. Learn more: https://go.microsoft.com/fwlink/?linkid=870924
Comment:
    -5 for rewards</t>
      </text>
    </comment>
    <comment ref="F16" authorId="4" shapeId="0" xr:uid="{4ED65D31-4438-4943-8D8D-E5E5B0EBBEB0}">
      <text>
        <t>[Threaded comment]
Your version of Excel allows you to read this threaded comment; however, any edits to it will get removed if the file is opened in a newer version of Excel. Learn more: https://go.microsoft.com/fwlink/?linkid=870924
Comment:
    Renewal: Aug 2026</t>
      </text>
    </comment>
    <comment ref="F17" authorId="5" shapeId="0" xr:uid="{46DC9BB4-13D9-4251-90C1-E6099B8033A6}">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0" authorId="6" shapeId="0" xr:uid="{BA907BFC-0A04-4472-B216-EB6D865108DD}">
      <text>
        <t>[Threaded comment]
Your version of Excel allows you to read this threaded comment; however, any edits to it will get removed if the file is opened in a newer version of Excel. Learn more: https://go.microsoft.com/fwlink/?linkid=870924
Comment:
    48 = mattress
137 = watch
170 = barclaycard</t>
      </text>
    </comment>
    <comment ref="F23" authorId="7" shapeId="0" xr:uid="{A1477B0D-18CB-441C-BB21-F3A6467CDD63}">
      <text>
        <t>[Threaded comment]
Your version of Excel allows you to read this threaded comment; however, any edits to it will get removed if the file is opened in a newer version of Excel. Learn more: https://go.microsoft.com/fwlink/?linkid=870924
Comment:
    50 = ?
17 = haircut</t>
      </text>
    </comment>
    <comment ref="F24" authorId="8" shapeId="0" xr:uid="{D203E6C9-0A18-4C88-8B60-17D66599ED7C}">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8" authorId="9" shapeId="0" xr:uid="{5C1B73AD-5676-42CC-8A89-87DF6BDD223E}">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29" authorId="10" shapeId="0" xr:uid="{3C3ED470-7D8A-41E1-9993-DE6FB4E50C7C}">
      <text>
        <t>[Threaded comment]
Your version of Excel allows you to read this threaded comment; however, any edits to it will get removed if the file is opened in a newer version of Excel. Learn more: https://go.microsoft.com/fwlink/?linkid=870924
Comment:
    41 = liver test
11 = coolant + screenwash</t>
      </text>
    </comment>
    <comment ref="E36" authorId="11" shapeId="0" xr:uid="{7B0DD963-368B-4695-B301-426333862621}">
      <text>
        <t>[Threaded comment]
Your version of Excel allows you to read this threaded comment; however, any edits to it will get removed if the file is opened in a newer version of Excel. Learn more: https://go.microsoft.com/fwlink/?linkid=870924
Comment:
    87 moved to cont
-1045 from work expenses</t>
      </text>
    </comment>
    <comment ref="H39" authorId="12" shapeId="0" xr:uid="{F16339B8-0DC3-4119-8AAC-A15815F75D20}">
      <text>
        <t>[Threaded comment]
Your version of Excel allows you to read this threaded comment; however, any edits to it will get removed if the file is opened in a newer version of Excel. Learn more: https://go.microsoft.com/fwlink/?linkid=870924
Comment:
    23.25 = target
9.18 = squarespace
19.55 = walmart exerderin
12.23 = petes
4.59 = petes
120.05 = walmart
5.32 = foxtail
5.01 = foxtail</t>
      </text>
    </comment>
    <comment ref="J39" authorId="13" shapeId="0" xr:uid="{BABCF14F-132E-4954-9969-D1AD7293BA9F}">
      <text>
        <t>[Threaded comment]
Your version of Excel allows you to read this threaded comment; however, any edits to it will get removed if the file is opened in a newer version of Excel. Learn more: https://go.microsoft.com/fwlink/?linkid=870924
Comment:
    5.58 = coffee</t>
      </text>
    </comment>
    <comment ref="F40" authorId="14" shapeId="0" xr:uid="{F6FD8C25-1912-4272-B665-167AF16A3449}">
      <text>
        <t>[Threaded comment]
Your version of Excel allows you to read this threaded comment; however, any edits to it will get removed if the file is opened in a newer version of Excel. Learn more: https://go.microsoft.com/fwlink/?linkid=870924
Comment:
    64 = rosita insurance</t>
      </text>
    </comment>
    <comment ref="H41" authorId="15" shapeId="0" xr:uid="{F459BD9A-79C6-4D97-9F4E-22A14B503EDA}">
      <text>
        <t>[Threaded comment]
Your version of Excel allows you to read this threaded comment; however, any edits to it will get removed if the file is opened in a newer version of Excel. Learn more: https://go.microsoft.com/fwlink/?linkid=870924
Comment:
    25/04
11.08 = esim
13.89 = daves chicken (dinner)
19.06 = dublin airport (lunch)
26/04
42.79 = mission bbq (dinner)
29.85 = whiskey cake (lunch)
46.71 = hopdoddy (dinner)
27/04
28.34 = european street café (lunch)
28/04
68.85 = BJs
29/04
151.4 = sizemores
30/04
38.39 = v pizza
30.58 = v pizza</t>
      </text>
    </comment>
    <comment ref="G44" authorId="16" shapeId="0" xr:uid="{DF2BFF5A-5D96-46D1-B8CB-D5CC1B13223D}">
      <text>
        <t>[Threaded comment]
Your version of Excel allows you to read this threaded comment; however, any edits to it will get removed if the file is opened in a newer version of Excel. Learn more: https://go.microsoft.com/fwlink/?linkid=870924
Comment:
    3579.86 = wage
107 = payrise
20 = iphone drawdown
Rest = kris</t>
      </text>
    </comment>
    <comment ref="L55" authorId="17" shapeId="0" xr:uid="{DE04BC8C-874A-4D0D-97BC-A1EBDE0E4EE0}">
      <text>
        <t>[Threaded comment]
Your version of Excel allows you to read this threaded comment; however, any edits to it will get removed if the file is opened in a newer version of Excel. Learn more: https://go.microsoft.com/fwlink/?linkid=870924
Comment:
    Maybe refund from zara? -36</t>
      </text>
    </comment>
  </commentList>
</comments>
</file>

<file path=xl/comments127.xml><?xml version="1.0" encoding="utf-8"?>
<comments xmlns="http://schemas.openxmlformats.org/spreadsheetml/2006/main" xmlns:mc="http://schemas.openxmlformats.org/markup-compatibility/2006" xmlns:xr="http://schemas.microsoft.com/office/spreadsheetml/2014/revision" mc:Ignorable="xr">
  <authors>
    <author>tc={A17B943C-3FE5-41E0-BF59-7837068008F1}</author>
  </authors>
  <commentList>
    <comment ref="C21" authorId="0" shapeId="0" xr:uid="{A17B943C-3FE5-41E0-BF59-7837068008F1}">
      <text>
        <t>[Threaded comment]
Your version of Excel allows you to read this threaded comment; however, any edits to it will get removed if the file is opened in a newer version of Excel. Learn more: https://go.microsoft.com/fwlink/?linkid=870924
Comment:
    100 euro for stay</t>
      </text>
    </comment>
  </commentList>
</comments>
</file>

<file path=xl/comments128.xml><?xml version="1.0" encoding="utf-8"?>
<comments xmlns="http://schemas.openxmlformats.org/spreadsheetml/2006/main" xmlns:mc="http://schemas.openxmlformats.org/markup-compatibility/2006" xmlns:xr="http://schemas.microsoft.com/office/spreadsheetml/2014/revision" mc:Ignorable="xr">
  <authors>
    <author>tc={5A8AAFA4-861A-4B20-84B3-1532295324EF}</author>
    <author>tc={E5CDE2B9-F08B-4231-B54F-D6E659BF4559}</author>
    <author>tc={8F03C012-3DFA-4CA3-BFC1-8233FBDEDAFE}</author>
    <author>tc={A0FE62DC-05C0-4DB9-A75D-C52C7265F760}</author>
    <author>tc={574C4540-E12E-4722-AC23-5FCB416ED39C}</author>
    <author>tc={FB6E7A79-B8B1-40CA-8ABD-4FF4D8643655}</author>
    <author>tc={7357EB32-7685-4D73-8D8C-D3FC75EB86B3}</author>
    <author>tc={56F37EB8-DAF4-4BCB-9C2F-D8FACC4A8D3D}</author>
    <author>tc={51932C0C-D6D7-41A8-A358-B7682EE5FD7F}</author>
    <author>tc={610AAF51-4FA2-4DA9-85C7-3352E304262E}</author>
    <author>tc={3B59C386-419D-4FC7-A1D0-9D37379E4675}</author>
    <author>tc={A35C2871-7D7A-4980-86C8-BF78591E02C7}</author>
    <author>tc={06AAFE51-490D-BA4D-B473-A75938E44F04}</author>
    <author>tc={A188AAEE-24CF-454A-A65D-74F09CF98B0D}</author>
    <author>tc={CC4F066F-BEAE-4C2F-B4DC-5CD8BF33BEF4}</author>
    <author>tc={A7344533-0BE4-3F43-A4C9-8F6F71E838C0}</author>
    <author>tc={197C96AA-F5D1-43A3-A8E4-86AC97622D79}</author>
    <author>tc={9DD309BC-8CF2-4576-A96D-ED58CD299A26}</author>
    <author>tc={4929870D-820B-49C5-A311-682ED64CF3AB}</author>
    <author>tc={7787AFD6-589C-4520-9F2F-83C4C49FA683}</author>
    <author>tc={47E14DBE-3E80-4FFA-A365-13CA1C571897}</author>
  </authors>
  <commentList>
    <comment ref="F6" authorId="0" shapeId="0" xr:uid="{5A8AAFA4-861A-4B20-84B3-1532295324EF}">
      <text>
        <t>[Threaded comment]
Your version of Excel allows you to read this threaded comment; however, any edits to it will get removed if the file is opened in a newer version of Excel. Learn more: https://go.microsoft.com/fwlink/?linkid=870924
Comment:
    -20 for scotland</t>
      </text>
    </comment>
    <comment ref="H6" authorId="1" shapeId="0" xr:uid="{E5CDE2B9-F08B-4231-B54F-D6E659BF4559}">
      <text>
        <t>[Threaded comment]
Your version of Excel allows you to read this threaded comment; however, any edits to it will get removed if the file is opened in a newer version of Excel. Learn more: https://go.microsoft.com/fwlink/?linkid=870924
Comment:
    Rollover from last month</t>
      </text>
    </comment>
    <comment ref="F7" authorId="2" shapeId="0" xr:uid="{8F03C012-3DFA-4CA3-BFC1-8233FBDEDAFE}">
      <text>
        <t>[Threaded comment]
Your version of Excel allows you to read this threaded comment; however, any edits to it will get removed if the file is opened in a newer version of Excel. Learn more: https://go.microsoft.com/fwlink/?linkid=870924
Comment:
    -50 for scotland</t>
      </text>
    </comment>
    <comment ref="F10" authorId="3" shapeId="0" xr:uid="{A0FE62DC-05C0-4DB9-A75D-C52C7265F760}">
      <text>
        <t>[Threaded comment]
Your version of Excel allows you to read this threaded comment; however, any edits to it will get removed if the file is opened in a newer version of Excel. Learn more: https://go.microsoft.com/fwlink/?linkid=870924
Comment:
    Moved to sink</t>
      </text>
    </comment>
    <comment ref="F15" authorId="4" shapeId="0" xr:uid="{574C4540-E12E-4722-AC23-5FCB416ED39C}">
      <text>
        <t>[Threaded comment]
Your version of Excel allows you to read this threaded comment; however, any edits to it will get removed if the file is opened in a newer version of Excel. Learn more: https://go.microsoft.com/fwlink/?linkid=870924
Comment:
    Renews May 2026
Reply:
    Bumped + 15 for tentbox cover</t>
      </text>
    </comment>
    <comment ref="F17" authorId="5" shapeId="0" xr:uid="{FB6E7A79-B8B1-40CA-8ABD-4FF4D8643655}">
      <text>
        <t>[Threaded comment]
Your version of Excel allows you to read this threaded comment; however, any edits to it will get removed if the file is opened in a newer version of Excel. Learn more: https://go.microsoft.com/fwlink/?linkid=870924
Comment:
    -5 for rewards</t>
      </text>
    </comment>
    <comment ref="F18" authorId="6" shapeId="0" xr:uid="{7357EB32-7685-4D73-8D8C-D3FC75EB86B3}">
      <text>
        <t>[Threaded comment]
Your version of Excel allows you to read this threaded comment; however, any edits to it will get removed if the file is opened in a newer version of Excel. Learn more: https://go.microsoft.com/fwlink/?linkid=870924
Comment:
    Renewal: Aug 2026</t>
      </text>
    </comment>
    <comment ref="F19" authorId="7" shapeId="0" xr:uid="{56F37EB8-DAF4-4BCB-9C2F-D8FACC4A8D3D}">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2" authorId="8" shapeId="0" xr:uid="{51932C0C-D6D7-41A8-A358-B7682EE5FD7F}">
      <text>
        <t>[Threaded comment]
Your version of Excel allows you to read this threaded comment; however, any edits to it will get removed if the file is opened in a newer version of Excel. Learn more: https://go.microsoft.com/fwlink/?linkid=870924
Comment:
    48 = mattress
170 = barclaycard</t>
      </text>
    </comment>
    <comment ref="F24" authorId="9" shapeId="0" xr:uid="{610AAF51-4FA2-4DA9-85C7-3352E304262E}">
      <text>
        <t>[Threaded comment]
Your version of Excel allows you to read this threaded comment; however, any edits to it will get removed if the file is opened in a newer version of Excel. Learn more: https://go.microsoft.com/fwlink/?linkid=870924
Comment:
    18 = hair
100 = health ins</t>
      </text>
    </comment>
    <comment ref="F25" authorId="10" shapeId="0" xr:uid="{3B59C386-419D-4FC7-A1D0-9D37379E4675}">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9" authorId="11" shapeId="0" xr:uid="{A35C2871-7D7A-4980-86C8-BF78591E02C7}">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9" authorId="12" shapeId="0" xr:uid="{06AAFE51-490D-BA4D-B473-A75938E44F04}">
      <text>
        <t>[Threaded comment]
Your version of Excel allows you to read this threaded comment; however, any edits to it will get removed if the file is opened in a newer version of Excel. Learn more: https://go.microsoft.com/fwlink/?linkid=870924
Comment:
    +15 = fruit for ste + em</t>
      </text>
    </comment>
    <comment ref="H40" authorId="13" shapeId="0" xr:uid="{A188AAEE-24CF-454A-A65D-74F09CF98B0D}">
      <text>
        <t>[Threaded comment]
Your version of Excel allows you to read this threaded comment; however, any edits to it will get removed if the file is opened in a newer version of Excel. Learn more: https://go.microsoft.com/fwlink/?linkid=870924
Comment:
    Paula + Luke baby stuff</t>
      </text>
    </comment>
    <comment ref="G41" authorId="14" shapeId="0" xr:uid="{CC4F066F-BEAE-4C2F-B4DC-5CD8BF33BEF4}">
      <text>
        <t>[Threaded comment]
Your version of Excel allows you to read this threaded comment; however, any edits to it will get removed if the file is opened in a newer version of Excel. Learn more: https://go.microsoft.com/fwlink/?linkid=870924
Comment:
    50 = leo + jasmine</t>
      </text>
    </comment>
    <comment ref="H41" authorId="15" shapeId="0" xr:uid="{A7344533-0BE4-3F43-A4C9-8F6F71E838C0}">
      <text>
        <t>[Threaded comment]
Your version of Excel allows you to read this threaded comment; however, any edits to it will get removed if the file is opened in a newer version of Excel. Learn more: https://go.microsoft.com/fwlink/?linkid=870924
Comment:
    20 = dad fday brunch
28.5 = dad fday</t>
      </text>
    </comment>
    <comment ref="J43" authorId="16" shapeId="0" xr:uid="{197C96AA-F5D1-43A3-A8E4-86AC97622D79}">
      <text>
        <t>[Threaded comment]
Your version of Excel allows you to read this threaded comment; however, any edits to it will get removed if the file is opened in a newer version of Excel. Learn more: https://go.microsoft.com/fwlink/?linkid=870924
Comment:
    352 = vietjet</t>
      </text>
    </comment>
    <comment ref="F45" authorId="17" shapeId="0" xr:uid="{9DD309BC-8CF2-4576-A96D-ED58CD299A26}">
      <text>
        <t>[Threaded comment]
Your version of Excel allows you to read this threaded comment; however, any edits to it will get removed if the file is opened in a newer version of Excel. Learn more: https://go.microsoft.com/fwlink/?linkid=870924
Comment:
    64 = rosita insurance</t>
      </text>
    </comment>
    <comment ref="H46" authorId="18" shapeId="0" xr:uid="{4929870D-820B-49C5-A311-682ED64CF3AB}">
      <text>
        <t>[Threaded comment]
Your version of Excel allows you to read this threaded comment; however, any edits to it will get removed if the file is opened in a newer version of Excel. Learn more: https://go.microsoft.com/fwlink/?linkid=870924
Comment:
    =48 refund pending
83.89 + 233.89 = shoes, kris pay later, mostly refunded</t>
      </text>
    </comment>
    <comment ref="L46" authorId="19" shapeId="0" xr:uid="{7787AFD6-589C-4520-9F2F-83C4C49FA683}">
      <text>
        <t>[Threaded comment]
Your version of Excel allows you to read this threaded comment; however, any edits to it will get removed if the file is opened in a newer version of Excel. Learn more: https://go.microsoft.com/fwlink/?linkid=870924
Comment:
    Kris return H&amp;M stuff</t>
      </text>
    </comment>
    <comment ref="G48" authorId="20" shapeId="0" xr:uid="{47E14DBE-3E80-4FFA-A365-13CA1C571897}">
      <text>
        <t>[Threaded comment]
Your version of Excel allows you to read this threaded comment; however, any edits to it will get removed if the file is opened in a newer version of Excel. Learn more: https://go.microsoft.com/fwlink/?linkid=870924
Comment:
    3579.86 = wage
107 = payrise
20 = iphone drawdown
Rest = kris</t>
      </text>
    </comment>
  </commentList>
</comments>
</file>

<file path=xl/comments129.xml><?xml version="1.0" encoding="utf-8"?>
<comments xmlns="http://schemas.openxmlformats.org/spreadsheetml/2006/main" xmlns:mc="http://schemas.openxmlformats.org/markup-compatibility/2006" xmlns:xr="http://schemas.microsoft.com/office/spreadsheetml/2014/revision" mc:Ignorable="xr">
  <authors>
    <author>tc={DF0704DB-5100-124B-A3A2-35A75839F400}</author>
    <author>tc={C30863BC-DA79-5142-B0ED-75829B3A4649}</author>
    <author>tc={59EB138B-266F-4622-A42C-C5636581A8CB}</author>
    <author>tc={0322369B-69ED-634F-9A84-3C3D99C09009}</author>
    <author>tc={01F22DE9-C7AB-D34A-8657-3930A2544E5C}</author>
    <author>tc={A9967460-B9D7-5944-9EB4-DFF113065361}</author>
    <author>tc={30BA3B42-8AF9-5F4E-ADD4-898766E96019}</author>
    <author>tc={74782060-E40A-054C-AD99-7D0F8370CAE5}</author>
    <author>tc={1BBABBBD-25E7-B945-AB3F-0573F574350F}</author>
    <author>tc={0DBB30FA-C6DC-6E4C-89C3-D0FD285250DB}</author>
    <author>tc={064BA650-F913-FA4A-A9B1-E1DFBFCC1238}</author>
    <author>tc={D4AC4CF3-097A-3E40-8571-16C9BCA3ED1C}</author>
    <author>tc={3ADBC4E4-B25B-D14D-BBC6-844C9E8EC355}</author>
    <author>tc={CCE60ECB-48C3-4C53-9C91-B9D6119633E6}</author>
    <author>tc={EA8C8A54-1133-4D9F-96C8-891B6F415D9D}</author>
    <author>tc={79FC3D6C-771B-41C5-8D70-CE5EC7F06E8E}</author>
    <author>tc={B8F870D1-DE49-4787-8A6A-E72992AA3A12}</author>
    <author>tc={2E90C0EE-7F53-4397-9342-3952BAD9C1B4}</author>
    <author>tc={6BA0234A-5733-8047-AD84-489F9721ECE7}</author>
    <author>tc={4D5E09AA-FC3D-4522-86E4-1BBD8063D8DE}</author>
    <author>tc={1351E00A-FA69-F246-BB5B-1F1D1B8CFE5C}</author>
    <author>tc={AECFB6C9-2110-F448-8B83-EC47C4FD9025}</author>
    <author>tc={4124BDDE-1AE0-4979-BBAA-873C4D3BAD7C}</author>
    <author>tc={3DFC7A4B-7C6D-E84A-BA28-635C83B7AEC1}</author>
    <author>tc={A0E68EE8-0996-244E-8B96-DA535CDFF0B6}</author>
    <author>tc={68B50FC3-7334-1E4F-8FBE-D49ADD68ECE4}</author>
    <author>tc={DF0EE147-F2FC-4E7B-BE6E-16C77F1C1F1F}</author>
  </authors>
  <commentList>
    <comment ref="F6" authorId="0" shapeId="0" xr:uid="{DF0704DB-5100-124B-A3A2-35A75839F400}">
      <text>
        <t>[Threaded comment]
Your version of Excel allows you to read this threaded comment; however, any edits to it will get removed if the file is opened in a newer version of Excel. Learn more: https://go.microsoft.com/fwlink/?linkid=870924
Comment:
    -20 for scotland</t>
      </text>
    </comment>
    <comment ref="F7" authorId="1" shapeId="0" xr:uid="{C30863BC-DA79-5142-B0ED-75829B3A4649}">
      <text>
        <t>[Threaded comment]
Your version of Excel allows you to read this threaded comment; however, any edits to it will get removed if the file is opened in a newer version of Excel. Learn more: https://go.microsoft.com/fwlink/?linkid=870924
Comment:
    -50 for scotland</t>
      </text>
    </comment>
    <comment ref="H8" authorId="2" shapeId="0" xr:uid="{59EB138B-266F-4622-A42C-C5636581A8CB}">
      <text>
        <t>[Threaded comment]
Your version of Excel allows you to read this threaded comment; however, any edits to it will get removed if the file is opened in a newer version of Excel. Learn more: https://go.microsoft.com/fwlink/?linkid=870924
Comment:
    9.71 = poop bags</t>
      </text>
    </comment>
    <comment ref="F10" authorId="3" shapeId="0" xr:uid="{0322369B-69ED-634F-9A84-3C3D99C09009}">
      <text>
        <t>[Threaded comment]
Your version of Excel allows you to read this threaded comment; however, any edits to it will get removed if the file is opened in a newer version of Excel. Learn more: https://go.microsoft.com/fwlink/?linkid=870924
Comment:
    Moved to sink</t>
      </text>
    </comment>
    <comment ref="F15" authorId="4" shapeId="0" xr:uid="{01F22DE9-C7AB-D34A-8657-3930A2544E5C}">
      <text>
        <t>[Threaded comment]
Your version of Excel allows you to read this threaded comment; however, any edits to it will get removed if the file is opened in a newer version of Excel. Learn more: https://go.microsoft.com/fwlink/?linkid=870924
Comment:
    Renews May 2026
Reply:
    Bumped + 15 for tentbox cover</t>
      </text>
    </comment>
    <comment ref="F17" authorId="5" shapeId="0" xr:uid="{A9967460-B9D7-5944-9EB4-DFF113065361}">
      <text>
        <t>[Threaded comment]
Your version of Excel allows you to read this threaded comment; however, any edits to it will get removed if the file is opened in a newer version of Excel. Learn more: https://go.microsoft.com/fwlink/?linkid=870924
Comment:
    -5 for rewards</t>
      </text>
    </comment>
    <comment ref="F18" authorId="6" shapeId="0" xr:uid="{30BA3B42-8AF9-5F4E-ADD4-898766E96019}">
      <text>
        <t>[Threaded comment]
Your version of Excel allows you to read this threaded comment; however, any edits to it will get removed if the file is opened in a newer version of Excel. Learn more: https://go.microsoft.com/fwlink/?linkid=870924
Comment:
    Renewal: Aug 2026</t>
      </text>
    </comment>
    <comment ref="F19" authorId="7" shapeId="0" xr:uid="{74782060-E40A-054C-AD99-7D0F8370CAE5}">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0" authorId="8" shapeId="0" xr:uid="{1BBABBBD-25E7-B945-AB3F-0573F574350F}">
      <text>
        <t>[Threaded comment]
Your version of Excel allows you to read this threaded comment; however, any edits to it will get removed if the file is opened in a newer version of Excel. Learn more: https://go.microsoft.com/fwlink/?linkid=870924
Comment:
    BMW insurance (aviva) = 04/11/2026
EVQ insurance (the aa) = 27/01/2027</t>
      </text>
    </comment>
    <comment ref="F22" authorId="9" shapeId="0" xr:uid="{0DBB30FA-C6DC-6E4C-89C3-D0FD285250DB}">
      <text>
        <t>[Threaded comment]
Your version of Excel allows you to read this threaded comment; however, any edits to it will get removed if the file is opened in a newer version of Excel. Learn more: https://go.microsoft.com/fwlink/?linkid=870924
Comment:
    48 = mattress
137 = watch
25 = barclaycard</t>
      </text>
    </comment>
    <comment ref="F24" authorId="10" shapeId="0" xr:uid="{064BA650-F913-FA4A-A9B1-E1DFBFCC1238}">
      <text>
        <t>[Threaded comment]
Your version of Excel allows you to read this threaded comment; however, any edits to it will get removed if the file is opened in a newer version of Excel. Learn more: https://go.microsoft.com/fwlink/?linkid=870924
Comment:
    18 = hair
100 = health ins</t>
      </text>
    </comment>
    <comment ref="F25" authorId="11" shapeId="0" xr:uid="{D4AC4CF3-097A-3E40-8571-16C9BCA3ED1C}">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9" authorId="12" shapeId="0" xr:uid="{3ADBC4E4-B25B-D14D-BBC6-844C9E8EC355}">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0" authorId="13" shapeId="0" xr:uid="{CCE60ECB-48C3-4C53-9C91-B9D6119633E6}">
      <text>
        <t>[Threaded comment]
Your version of Excel allows you to read this threaded comment; however, any edits to it will get removed if the file is opened in a newer version of Excel. Learn more: https://go.microsoft.com/fwlink/?linkid=870924
Comment:
    41 = liver test
79 = bupa
45 = chiropodist</t>
      </text>
    </comment>
    <comment ref="J30" authorId="14" shapeId="0" xr:uid="{EA8C8A54-1133-4D9F-96C8-891B6F415D9D}">
      <text>
        <t>[Threaded comment]
Your version of Excel allows you to read this threaded comment; however, any edits to it will get removed if the file is opened in a newer version of Excel. Learn more: https://go.microsoft.com/fwlink/?linkid=870924
Comment:
    BMW</t>
      </text>
    </comment>
    <comment ref="M30" authorId="15" shapeId="0" xr:uid="{79FC3D6C-771B-41C5-8D70-CE5EC7F06E8E}">
      <text>
        <t>[Threaded comment]
Your version of Excel allows you to read this threaded comment; however, any edits to it will get removed if the file is opened in a newer version of Excel. Learn more: https://go.microsoft.com/fwlink/?linkid=870924
Comment:
    Toe Tablets</t>
      </text>
    </comment>
    <comment ref="E35" authorId="16" shapeId="0" xr:uid="{B8F870D1-DE49-4787-8A6A-E72992AA3A12}">
      <text>
        <t xml:space="preserve">[Threaded comment]
Your version of Excel allows you to read this threaded comment; however, any edits to it will get removed if the file is opened in a newer version of Excel. Learn more: https://go.microsoft.com/fwlink/?linkid=870924
Comment:
    =2507.65
</t>
      </text>
    </comment>
    <comment ref="M37" authorId="17" shapeId="0" xr:uid="{2E90C0EE-7F53-4397-9342-3952BAD9C1B4}">
      <text>
        <t>[Threaded comment]
Your version of Excel allows you to read this threaded comment; however, any edits to it will get removed if the file is opened in a newer version of Excel. Learn more: https://go.microsoft.com/fwlink/?linkid=870924
Comment:
    xbox</t>
      </text>
    </comment>
    <comment ref="G38" authorId="18" shapeId="0" xr:uid="{6BA0234A-5733-8047-AD84-489F9721ECE7}">
      <text>
        <t>[Threaded comment]
Your version of Excel allows you to read this threaded comment; however, any edits to it will get removed if the file is opened in a newer version of Excel. Learn more: https://go.microsoft.com/fwlink/?linkid=870924
Comment:
    20 = kierans 18th</t>
      </text>
    </comment>
    <comment ref="J38" authorId="19" shapeId="0" xr:uid="{4D5E09AA-FC3D-4522-86E4-1BBD8063D8DE}">
      <text>
        <t>[Threaded comment]
Your version of Excel allows you to read this threaded comment; however, any edits to it will get removed if the file is opened in a newer version of Excel. Learn more: https://go.microsoft.com/fwlink/?linkid=870924
Comment:
    House of cb</t>
      </text>
    </comment>
    <comment ref="H42" authorId="20" shapeId="0" xr:uid="{1351E00A-FA69-F246-BB5B-1F1D1B8CFE5C}">
      <text>
        <t>[Threaded comment]
Your version of Excel allows you to read this threaded comment; however, any edits to it will get removed if the file is opened in a newer version of Excel. Learn more: https://go.microsoft.com/fwlink/?linkid=870924
Comment:
    Still pending 290 for rental car</t>
      </text>
    </comment>
    <comment ref="F43" authorId="21" shapeId="0" xr:uid="{AECFB6C9-2110-F448-8B83-EC47C4FD9025}">
      <text>
        <t>[Threaded comment]
Your version of Excel allows you to read this threaded comment; however, any edits to it will get removed if the file is opened in a newer version of Excel. Learn more: https://go.microsoft.com/fwlink/?linkid=870924
Comment:
    64 = rosita insurance</t>
      </text>
    </comment>
    <comment ref="E44" authorId="22" shapeId="0" xr:uid="{4124BDDE-1AE0-4979-BBAA-873C4D3BAD7C}">
      <text>
        <t>[Threaded comment]
Your version of Excel allows you to read this threaded comment; however, any edits to it will get removed if the file is opened in a newer version of Excel. Learn more: https://go.microsoft.com/fwlink/?linkid=870924
Comment:
    Running shoe rollover - 2 pairs will be refunded, 1 paid for now</t>
      </text>
    </comment>
    <comment ref="L44" authorId="23" shapeId="0" xr:uid="{3DFC7A4B-7C6D-E84A-BA28-635C83B7AEC1}">
      <text>
        <t>[Threaded comment]
Your version of Excel allows you to read this threaded comment; however, any edits to it will get removed if the file is opened in a newer version of Excel. Learn more: https://go.microsoft.com/fwlink/?linkid=870924
Comment:
    Kris return H&amp;M stuff</t>
      </text>
    </comment>
    <comment ref="H45" authorId="24" shapeId="0" xr:uid="{A0E68EE8-0996-244E-8B96-DA535CDFF0B6}">
      <text>
        <t>[Threaded comment]
Your version of Excel allows you to read this threaded comment; however, any edits to it will get removed if the file is opened in a newer version of Excel. Learn more: https://go.microsoft.com/fwlink/?linkid=870924
Comment:
    121 = sports clothes
75 = zara
(Also 110 for shoes)</t>
      </text>
    </comment>
    <comment ref="G47" authorId="25" shapeId="0" xr:uid="{68B50FC3-7334-1E4F-8FBE-D49ADD68ECE4}">
      <text>
        <t>[Threaded comment]
Your version of Excel allows you to read this threaded comment; however, any edits to it will get removed if the file is opened in a newer version of Excel. Learn more: https://go.microsoft.com/fwlink/?linkid=870924
Comment:
    3579.86 = wage
107 = payrise
20 = iphone drawdown
Rest = kris</t>
      </text>
    </comment>
    <comment ref="E64" authorId="26" shapeId="0" xr:uid="{DF0EE147-F2FC-4E7B-BE6E-16C77F1C1F1F}">
      <text>
        <t>[Threaded comment]
Your version of Excel allows you to read this threaded comment; however, any edits to it will get removed if the file is opened in a newer version of Excel. Learn more: https://go.microsoft.com/fwlink/?linkid=870924
Comment:
    Kris owes 116.05 for shoes coming from July wage</t>
      </text>
    </comment>
  </commentList>
</comments>
</file>

<file path=xl/comments130.xml><?xml version="1.0" encoding="utf-8"?>
<comments xmlns="http://schemas.openxmlformats.org/spreadsheetml/2006/main" xmlns:mc="http://schemas.openxmlformats.org/markup-compatibility/2006" xmlns:xr="http://schemas.microsoft.com/office/spreadsheetml/2014/revision" mc:Ignorable="xr">
  <authors>
    <author>tc={DFDBB79D-11CF-4681-A75A-FF7C4C6ECC13}</author>
    <author>tc={172D54F9-A8E2-4AED-9110-41B1FFD1C984}</author>
    <author>tc={643BFA74-97A7-42A6-B17C-BB768B0FEC45}</author>
    <author>tc={8A7FEBD6-F012-44E0-9358-1CF4D759F6EB}</author>
    <author>tc={325A8014-9DEE-4FE2-A3BB-05C13124F695}</author>
    <author>tc={3C296C19-FF3D-4FBE-A438-1128DD37D887}</author>
    <author>tc={68877AC4-03C2-4C29-A112-D061B65D0811}</author>
    <author>tc={B954CA6A-F50A-4695-BC46-50038F1E289D}</author>
    <author>tc={E934A1B1-46EE-4830-A1E4-7ECC7336980A}</author>
    <author>tc={50409752-D3EB-4259-886A-45FB06D163A6}</author>
    <author>tc={C92275B1-FB20-47F3-8DA2-B26A140AC16C}</author>
    <author>tc={04EAEF75-25ED-4EDD-A55D-E1F548B6D6CA}</author>
    <author>tc={33C62B67-FE2C-4614-8020-1C3A3C27A3BB}</author>
    <author>tc={46570073-6138-4C52-A1F5-E5FA77AC2173}</author>
    <author>tc={92E6B9C7-3566-4D43-9553-39E7FF6CF292}</author>
    <author>tc={21F3A53C-CC35-4982-B441-2F25CE491018}</author>
    <author>tc={5096B9EF-87C1-44E6-A75D-94745859DB98}</author>
    <author>tc={C6E8A030-6CE8-4616-9185-2F5B2AFD8C4C}</author>
    <author>tc={E248727B-64BB-4CB6-92B1-58930303D60B}</author>
  </authors>
  <commentList>
    <comment ref="F6" authorId="0" shapeId="0" xr:uid="{DFDBB79D-11CF-4681-A75A-FF7C4C6ECC13}">
      <text>
        <t>[Threaded comment]
Your version of Excel allows you to read this threaded comment; however, any edits to it will get removed if the file is opened in a newer version of Excel. Learn more: https://go.microsoft.com/fwlink/?linkid=870924
Comment:
    -20 for scotland</t>
      </text>
    </comment>
    <comment ref="F7" authorId="1" shapeId="0" xr:uid="{172D54F9-A8E2-4AED-9110-41B1FFD1C984}">
      <text>
        <t>[Threaded comment]
Your version of Excel allows you to read this threaded comment; however, any edits to it will get removed if the file is opened in a newer version of Excel. Learn more: https://go.microsoft.com/fwlink/?linkid=870924
Comment:
    -50 for scotland</t>
      </text>
    </comment>
    <comment ref="F10" authorId="2" shapeId="0" xr:uid="{643BFA74-97A7-42A6-B17C-BB768B0FEC45}">
      <text>
        <t>[Threaded comment]
Your version of Excel allows you to read this threaded comment; however, any edits to it will get removed if the file is opened in a newer version of Excel. Learn more: https://go.microsoft.com/fwlink/?linkid=870924
Comment:
    Moved to sink</t>
      </text>
    </comment>
    <comment ref="F15" authorId="3" shapeId="0" xr:uid="{8A7FEBD6-F012-44E0-9358-1CF4D759F6EB}">
      <text>
        <t>[Threaded comment]
Your version of Excel allows you to read this threaded comment; however, any edits to it will get removed if the file is opened in a newer version of Excel. Learn more: https://go.microsoft.com/fwlink/?linkid=870924
Comment:
    Renews May 2026
Reply:
    Bumped + 15 for tentbox cover</t>
      </text>
    </comment>
    <comment ref="F17" authorId="4" shapeId="0" xr:uid="{325A8014-9DEE-4FE2-A3BB-05C13124F695}">
      <text>
        <t>[Threaded comment]
Your version of Excel allows you to read this threaded comment; however, any edits to it will get removed if the file is opened in a newer version of Excel. Learn more: https://go.microsoft.com/fwlink/?linkid=870924
Comment:
    -5 for rewards</t>
      </text>
    </comment>
    <comment ref="F18" authorId="5" shapeId="0" xr:uid="{3C296C19-FF3D-4FBE-A438-1128DD37D887}">
      <text>
        <t>[Threaded comment]
Your version of Excel allows you to read this threaded comment; however, any edits to it will get removed if the file is opened in a newer version of Excel. Learn more: https://go.microsoft.com/fwlink/?linkid=870924
Comment:
    Renewal: Aug 2026</t>
      </text>
    </comment>
    <comment ref="F19" authorId="6" shapeId="0" xr:uid="{68877AC4-03C2-4C29-A112-D061B65D0811}">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0" authorId="7" shapeId="0" xr:uid="{B954CA6A-F50A-4695-BC46-50038F1E289D}">
      <text>
        <t>[Threaded comment]
Your version of Excel allows you to read this threaded comment; however, any edits to it will get removed if the file is opened in a newer version of Excel. Learn more: https://go.microsoft.com/fwlink/?linkid=870924
Comment:
    BMW insurance (aviva) = 04/11/2026
EVQ insurance (the aa) = 27/01/2027</t>
      </text>
    </comment>
    <comment ref="F22" authorId="8" shapeId="0" xr:uid="{E934A1B1-46EE-4830-A1E4-7ECC7336980A}">
      <text>
        <t>[Threaded comment]
Your version of Excel allows you to read this threaded comment; however, any edits to it will get removed if the file is opened in a newer version of Excel. Learn more: https://go.microsoft.com/fwlink/?linkid=870924
Comment:
    48 = mattress
137 = watch
25 = barclaycard</t>
      </text>
    </comment>
    <comment ref="F24" authorId="9" shapeId="0" xr:uid="{50409752-D3EB-4259-886A-45FB06D163A6}">
      <text>
        <t>[Threaded comment]
Your version of Excel allows you to read this threaded comment; however, any edits to it will get removed if the file is opened in a newer version of Excel. Learn more: https://go.microsoft.com/fwlink/?linkid=870924
Comment:
    18 = hair
100 = health ins</t>
      </text>
    </comment>
    <comment ref="F25" authorId="10" shapeId="0" xr:uid="{C92275B1-FB20-47F3-8DA2-B26A140AC16C}">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9" authorId="11" shapeId="0" xr:uid="{04EAEF75-25ED-4EDD-A55D-E1F548B6D6CA}">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H38" authorId="12" shapeId="0" xr:uid="{33C62B67-FE2C-4614-8020-1C3A3C27A3BB}">
      <text>
        <t>[Threaded comment]
Your version of Excel allows you to read this threaded comment; however, any edits to it will get removed if the file is opened in a newer version of Excel. Learn more: https://go.microsoft.com/fwlink/?linkid=870924
Comment:
    Pizza w milners</t>
      </text>
    </comment>
    <comment ref="G40" authorId="13" shapeId="0" xr:uid="{46570073-6138-4C52-A1F5-E5FA77AC2173}">
      <text>
        <t>[Threaded comment]
Your version of Excel allows you to read this threaded comment; however, any edits to it will get removed if the file is opened in a newer version of Excel. Learn more: https://go.microsoft.com/fwlink/?linkid=870924
Comment:
    TV license</t>
      </text>
    </comment>
    <comment ref="J41" authorId="14" shapeId="0" xr:uid="{92E6B9C7-3566-4D43-9553-39E7FF6CF292}">
      <text>
        <t>[Threaded comment]
Your version of Excel allows you to read this threaded comment; however, any edits to it will get removed if the file is opened in a newer version of Excel. Learn more: https://go.microsoft.com/fwlink/?linkid=870924
Comment:
    jack bday</t>
      </text>
    </comment>
    <comment ref="F47" authorId="15" shapeId="0" xr:uid="{21F3A53C-CC35-4982-B441-2F25CE491018}">
      <text>
        <t>[Threaded comment]
Your version of Excel allows you to read this threaded comment; however, any edits to it will get removed if the file is opened in a newer version of Excel. Learn more: https://go.microsoft.com/fwlink/?linkid=870924
Comment:
    1062 = emergency fund balance
675 = bonus
400 = matt FB overage + kris house of db dress</t>
      </text>
    </comment>
    <comment ref="L48" authorId="16" shapeId="0" xr:uid="{5096B9EF-87C1-44E6-A75D-94745859DB98}">
      <text>
        <t>[Threaded comment]
Your version of Excel allows you to read this threaded comment; however, any edits to it will get removed if the file is opened in a newer version of Excel. Learn more: https://go.microsoft.com/fwlink/?linkid=870924
Comment:
    Kris return H&amp;M stuff</t>
      </text>
    </comment>
    <comment ref="G51" authorId="17" shapeId="0" xr:uid="{C6E8A030-6CE8-4616-9185-2F5B2AFD8C4C}">
      <text>
        <t>[Threaded comment]
Your version of Excel allows you to read this threaded comment; however, any edits to it will get removed if the file is opened in a newer version of Excel. Learn more: https://go.microsoft.com/fwlink/?linkid=870924
Comment:
    3579.86 = wage
107 = payrise
20 = iphone drawdown
Rest = kris</t>
      </text>
    </comment>
    <comment ref="E77" authorId="18" shapeId="0" xr:uid="{E248727B-64BB-4CB6-92B1-58930303D60B}">
      <text>
        <t>[Threaded comment]
Your version of Excel allows you to read this threaded comment; however, any edits to it will get removed if the file is opened in a newer version of Excel. Learn more: https://go.microsoft.com/fwlink/?linkid=870924
Comment:
    Kris owes 116.05 for shoes coming from July wage</t>
      </text>
    </comment>
  </commentList>
</comments>
</file>

<file path=xl/comments131.xml><?xml version="1.0" encoding="utf-8"?>
<comments xmlns="http://schemas.openxmlformats.org/spreadsheetml/2006/main" xmlns:mc="http://schemas.openxmlformats.org/markup-compatibility/2006" xmlns:xr="http://schemas.microsoft.com/office/spreadsheetml/2014/revision" mc:Ignorable="xr">
  <authors>
    <author>tc={70FB27E7-1B43-483F-B11E-896A5CB0F32B}</author>
    <author>tc={44C4B6ED-0180-4ECE-8B6B-51D6B90A6AAB}</author>
    <author>tc={BC776E6C-3134-4EBE-8753-1C46BB0723BB}</author>
  </authors>
  <commentList>
    <comment ref="B8" authorId="0" shapeId="0" xr:uid="{70FB27E7-1B43-483F-B11E-896A5CB0F32B}">
      <text>
        <t>[Threaded comment]
Your version of Excel allows you to read this threaded comment; however, any edits to it will get removed if the file is opened in a newer version of Excel. Learn more: https://go.microsoft.com/fwlink/?linkid=870924
Comment:
    Only need outbound - kris going to vietnam</t>
      </text>
    </comment>
    <comment ref="B10" authorId="1" shapeId="0" xr:uid="{44C4B6ED-0180-4ECE-8B6B-51D6B90A6AAB}">
      <text>
        <t>[Threaded comment]
Your version of Excel allows you to read this threaded comment; however, any edits to it will get removed if the file is opened in a newer version of Excel. Learn more: https://go.microsoft.com/fwlink/?linkid=870924
Comment:
    Could cut by getting taxi / train</t>
      </text>
    </comment>
    <comment ref="B20" authorId="2" shapeId="0" xr:uid="{BC776E6C-3134-4EBE-8753-1C46BB0723BB}">
      <text>
        <t>[Threaded comment]
Your version of Excel allows you to read this threaded comment; however, any edits to it will get removed if the file is opened in a newer version of Excel. Learn more: https://go.microsoft.com/fwlink/?linkid=870924
Comment:
    100 contribution from matt</t>
      </text>
    </comment>
  </commentList>
</comments>
</file>

<file path=xl/comments132.xml><?xml version="1.0" encoding="utf-8"?>
<comments xmlns="http://schemas.openxmlformats.org/spreadsheetml/2006/main" xmlns:mc="http://schemas.openxmlformats.org/markup-compatibility/2006" xmlns:xr="http://schemas.microsoft.com/office/spreadsheetml/2014/revision" mc:Ignorable="xr">
  <authors>
    <author>tc={D99556D3-9DC9-4E06-9CD3-259C18AC0422}</author>
    <author>tc={A5A9BAEC-DB11-4C21-A7D4-51D0E639F3E8}</author>
    <author>tc={4452D6DC-A49C-424C-B46D-D38054031866}</author>
    <author>tc={D4003995-ED2C-404C-842C-C1DCE7E076C5}</author>
    <author>tc={B292BBFD-29D9-4901-8CF7-7B62E41C9C5F}</author>
    <author>tc={D63FE88A-0FFD-4D5C-8D85-DBEC475B1038}</author>
    <author>tc={C9CFD55A-4667-4025-81E1-0C683B01641C}</author>
    <author>tc={8F5E716B-4C4F-49B7-9EE6-B7BF0E10144C}</author>
    <author>tc={0A1458C9-5960-4FA0-9E44-4E0D10F043A6}</author>
    <author>tc={5889284B-6C35-4395-80F8-4E191D9E2B2C}</author>
    <author>tc={37C0F408-2186-4379-9DDB-C2072767E38D}</author>
    <author>tc={14B79660-B5B1-4B75-83D6-598F1662BCBE}</author>
    <author>tc={B0C6B22B-26BE-7B47-9043-1598F8EB6F5A}</author>
    <author>tc={9C84E3EA-7948-40CA-AFD8-54726914A2A0}</author>
    <author>tc={E71E3DDC-1D29-4792-BDAD-60471E5AF3DD}</author>
    <author>tc={2E20DF10-D822-48AA-BC59-7F6F121CD148}</author>
    <author>tc={B3558A09-4CA3-43CE-8F7C-EF033F419F78}</author>
  </authors>
  <commentList>
    <comment ref="F6" authorId="0" shapeId="0" xr:uid="{D99556D3-9DC9-4E06-9CD3-259C18AC0422}">
      <text>
        <t>[Threaded comment]
Your version of Excel allows you to read this threaded comment; however, any edits to it will get removed if the file is opened in a newer version of Excel. Learn more: https://go.microsoft.com/fwlink/?linkid=870924
Comment:
    -20 for scotland</t>
      </text>
    </comment>
    <comment ref="F7" authorId="1" shapeId="0" xr:uid="{A5A9BAEC-DB11-4C21-A7D4-51D0E639F3E8}">
      <text>
        <t>[Threaded comment]
Your version of Excel allows you to read this threaded comment; however, any edits to it will get removed if the file is opened in a newer version of Excel. Learn more: https://go.microsoft.com/fwlink/?linkid=870924
Comment:
    -50 for scotland</t>
      </text>
    </comment>
    <comment ref="F10" authorId="2" shapeId="0" xr:uid="{4452D6DC-A49C-424C-B46D-D38054031866}">
      <text>
        <t>[Threaded comment]
Your version of Excel allows you to read this threaded comment; however, any edits to it will get removed if the file is opened in a newer version of Excel. Learn more: https://go.microsoft.com/fwlink/?linkid=870924
Comment:
    Moved to sink</t>
      </text>
    </comment>
    <comment ref="F15" authorId="3" shapeId="0" xr:uid="{D4003995-ED2C-404C-842C-C1DCE7E076C5}">
      <text>
        <t>[Threaded comment]
Your version of Excel allows you to read this threaded comment; however, any edits to it will get removed if the file is opened in a newer version of Excel. Learn more: https://go.microsoft.com/fwlink/?linkid=870924
Comment:
    Renews May 2026
Reply:
    Bumped + 15 for tentbox cover</t>
      </text>
    </comment>
    <comment ref="F17" authorId="4" shapeId="0" xr:uid="{B292BBFD-29D9-4901-8CF7-7B62E41C9C5F}">
      <text>
        <t>[Threaded comment]
Your version of Excel allows you to read this threaded comment; however, any edits to it will get removed if the file is opened in a newer version of Excel. Learn more: https://go.microsoft.com/fwlink/?linkid=870924
Comment:
    -5 for rewards</t>
      </text>
    </comment>
    <comment ref="F18" authorId="5" shapeId="0" xr:uid="{D63FE88A-0FFD-4D5C-8D85-DBEC475B1038}">
      <text>
        <t>[Threaded comment]
Your version of Excel allows you to read this threaded comment; however, any edits to it will get removed if the file is opened in a newer version of Excel. Learn more: https://go.microsoft.com/fwlink/?linkid=870924
Comment:
    Renewal: Aug 2026</t>
      </text>
    </comment>
    <comment ref="F19" authorId="6" shapeId="0" xr:uid="{C9CFD55A-4667-4025-81E1-0C683B01641C}">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0" authorId="7" shapeId="0" xr:uid="{8F5E716B-4C4F-49B7-9EE6-B7BF0E10144C}">
      <text>
        <t>[Threaded comment]
Your version of Excel allows you to read this threaded comment; however, any edits to it will get removed if the file is opened in a newer version of Excel. Learn more: https://go.microsoft.com/fwlink/?linkid=870924
Comment:
    BMW insurance (aviva) = 04/11/2026
EVQ insurance (the aa) = 27/01/2027</t>
      </text>
    </comment>
    <comment ref="F22" authorId="8" shapeId="0" xr:uid="{0A1458C9-5960-4FA0-9E44-4E0D10F043A6}">
      <text>
        <t>[Threaded comment]
Your version of Excel allows you to read this threaded comment; however, any edits to it will get removed if the file is opened in a newer version of Excel. Learn more: https://go.microsoft.com/fwlink/?linkid=870924
Comment:
    48 = mattress
137 = watch
25 = barclaycard</t>
      </text>
    </comment>
    <comment ref="F24" authorId="9" shapeId="0" xr:uid="{5889284B-6C35-4395-80F8-4E191D9E2B2C}">
      <text>
        <t>[Threaded comment]
Your version of Excel allows you to read this threaded comment; however, any edits to it will get removed if the file is opened in a newer version of Excel. Learn more: https://go.microsoft.com/fwlink/?linkid=870924
Comment:
    18 = hair
100 = health ins</t>
      </text>
    </comment>
    <comment ref="F25" authorId="10" shapeId="0" xr:uid="{37C0F408-2186-4379-9DDB-C2072767E38D}">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9" authorId="11" shapeId="0" xr:uid="{14B79660-B5B1-4B75-83D6-598F1662BCBE}">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F38" authorId="12" shapeId="0" xr:uid="{B0C6B22B-26BE-7B47-9043-1598F8EB6F5A}">
      <text>
        <t>[Threaded comment]
Your version of Excel allows you to read this threaded comment; however, any edits to it will get removed if the file is opened in a newer version of Excel. Learn more: https://go.microsoft.com/fwlink/?linkid=870924
Comment:
    +100 to balance bdos</t>
      </text>
    </comment>
    <comment ref="F45" authorId="13" shapeId="0" xr:uid="{9C84E3EA-7948-40CA-AFD8-54726914A2A0}">
      <text>
        <t>[Threaded comment]
Your version of Excel allows you to read this threaded comment; however, any edits to it will get removed if the file is opened in a newer version of Excel. Learn more: https://go.microsoft.com/fwlink/?linkid=870924
Comment:
    1062 = emergency fund balance
675 = bonus
400 = matt FB overage + kris house of db dress</t>
      </text>
    </comment>
    <comment ref="L46" authorId="14" shapeId="0" xr:uid="{E71E3DDC-1D29-4792-BDAD-60471E5AF3DD}">
      <text>
        <t>[Threaded comment]
Your version of Excel allows you to read this threaded comment; however, any edits to it will get removed if the file is opened in a newer version of Excel. Learn more: https://go.microsoft.com/fwlink/?linkid=870924
Comment:
    Kris return H&amp;M stuff</t>
      </text>
    </comment>
    <comment ref="G48" authorId="15" shapeId="0" xr:uid="{2E20DF10-D822-48AA-BC59-7F6F121CD148}">
      <text>
        <t>[Threaded comment]
Your version of Excel allows you to read this threaded comment; however, any edits to it will get removed if the file is opened in a newer version of Excel. Learn more: https://go.microsoft.com/fwlink/?linkid=870924
Comment:
    3579.86 = wage
107 = payrise
20 = iphone drawdown
Rest = kris</t>
      </text>
    </comment>
    <comment ref="E64" authorId="16" shapeId="0" xr:uid="{B3558A09-4CA3-43CE-8F7C-EF033F419F78}">
      <text>
        <t>[Threaded comment]
Your version of Excel allows you to read this threaded comment; however, any edits to it will get removed if the file is opened in a newer version of Excel. Learn more: https://go.microsoft.com/fwlink/?linkid=870924
Comment:
    Kris owes 116.05 for shoes coming from July wage</t>
      </text>
    </comment>
  </commentList>
</comments>
</file>

<file path=xl/comments133.xml><?xml version="1.0" encoding="utf-8"?>
<comments xmlns="http://schemas.openxmlformats.org/spreadsheetml/2006/main" xmlns:mc="http://schemas.openxmlformats.org/markup-compatibility/2006" xmlns:xr="http://schemas.microsoft.com/office/spreadsheetml/2014/revision" mc:Ignorable="xr">
  <authors>
    <author>tc={F03E10F6-FB9E-49DB-B1BF-8A9DA576606D}</author>
    <author>tc={59E0412D-BB4B-4E27-A8DB-D35B91BD4F88}</author>
    <author>tc={075D9CA1-CD12-44B8-AB89-00A584A65FEC}</author>
    <author>tc={0EDE608A-06A6-436C-9488-FA90D2A427BA}</author>
    <author>tc={53794E21-101A-4BFE-B835-414ECA63C9A8}</author>
    <author>tc={194CCBF6-5B35-43B8-A590-779FD1E75B47}</author>
    <author>tc={82216EF6-300C-4EE5-84C9-3800BD0B056F}</author>
    <author>tc={23AA02EF-083F-43A8-96C6-2BB73E5E1069}</author>
    <author>tc={C4194EA1-904E-4D8C-AD2B-51FAF4B674C5}</author>
    <author>tc={221F3299-EA6D-4006-BC36-D15C7D3C70DC}</author>
    <author>tc={E65219A0-8577-406D-BFD5-86FE22746C97}</author>
    <author>tc={2841D7A2-D722-441D-9A68-FD95142756CD}</author>
    <author>tc={7CEE0FC8-5170-470A-A6BC-F046D3A50447}</author>
    <author>tc={5A747AFA-C5E3-4EA8-9037-8D0C4D094018}</author>
    <author>tc={8D604837-C9D6-46EE-9345-588A4FAA5DDA}</author>
    <author>tc={AA338227-2BC1-4429-90C4-9D2A7E247E2A}</author>
  </authors>
  <commentList>
    <comment ref="F6" authorId="0" shapeId="0" xr:uid="{F03E10F6-FB9E-49DB-B1BF-8A9DA576606D}">
      <text>
        <t>[Threaded comment]
Your version of Excel allows you to read this threaded comment; however, any edits to it will get removed if the file is opened in a newer version of Excel. Learn more: https://go.microsoft.com/fwlink/?linkid=870924
Comment:
    -20 for scotland</t>
      </text>
    </comment>
    <comment ref="F7" authorId="1" shapeId="0" xr:uid="{59E0412D-BB4B-4E27-A8DB-D35B91BD4F88}">
      <text>
        <t>[Threaded comment]
Your version of Excel allows you to read this threaded comment; however, any edits to it will get removed if the file is opened in a newer version of Excel. Learn more: https://go.microsoft.com/fwlink/?linkid=870924
Comment:
    -50 for scotland</t>
      </text>
    </comment>
    <comment ref="F10" authorId="2" shapeId="0" xr:uid="{075D9CA1-CD12-44B8-AB89-00A584A65FEC}">
      <text>
        <t>[Threaded comment]
Your version of Excel allows you to read this threaded comment; however, any edits to it will get removed if the file is opened in a newer version of Excel. Learn more: https://go.microsoft.com/fwlink/?linkid=870924
Comment:
    Moved to sink</t>
      </text>
    </comment>
    <comment ref="F15" authorId="3" shapeId="0" xr:uid="{0EDE608A-06A6-436C-9488-FA90D2A427BA}">
      <text>
        <t>[Threaded comment]
Your version of Excel allows you to read this threaded comment; however, any edits to it will get removed if the file is opened in a newer version of Excel. Learn more: https://go.microsoft.com/fwlink/?linkid=870924
Comment:
    Renews May 2026
Reply:
    Bumped + 15 for tentbox cover</t>
      </text>
    </comment>
    <comment ref="F17" authorId="4" shapeId="0" xr:uid="{53794E21-101A-4BFE-B835-414ECA63C9A8}">
      <text>
        <t>[Threaded comment]
Your version of Excel allows you to read this threaded comment; however, any edits to it will get removed if the file is opened in a newer version of Excel. Learn more: https://go.microsoft.com/fwlink/?linkid=870924
Comment:
    -5 for rewards</t>
      </text>
    </comment>
    <comment ref="F18" authorId="5" shapeId="0" xr:uid="{194CCBF6-5B35-43B8-A590-779FD1E75B47}">
      <text>
        <t>[Threaded comment]
Your version of Excel allows you to read this threaded comment; however, any edits to it will get removed if the file is opened in a newer version of Excel. Learn more: https://go.microsoft.com/fwlink/?linkid=870924
Comment:
    Renewal: Aug 2026</t>
      </text>
    </comment>
    <comment ref="F19" authorId="6" shapeId="0" xr:uid="{82216EF6-300C-4EE5-84C9-3800BD0B056F}">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0" authorId="7" shapeId="0" xr:uid="{23AA02EF-083F-43A8-96C6-2BB73E5E1069}">
      <text>
        <t>[Threaded comment]
Your version of Excel allows you to read this threaded comment; however, any edits to it will get removed if the file is opened in a newer version of Excel. Learn more: https://go.microsoft.com/fwlink/?linkid=870924
Comment:
    BMW insurance (aviva) = 04/11/2026
EVQ insurance (the aa) = 27/01/2027</t>
      </text>
    </comment>
    <comment ref="F22" authorId="8" shapeId="0" xr:uid="{C4194EA1-904E-4D8C-AD2B-51FAF4B674C5}">
      <text>
        <t>[Threaded comment]
Your version of Excel allows you to read this threaded comment; however, any edits to it will get removed if the file is opened in a newer version of Excel. Learn more: https://go.microsoft.com/fwlink/?linkid=870924
Comment:
    48 = mattress
137 = watch
25 = barclaycard</t>
      </text>
    </comment>
    <comment ref="F24" authorId="9" shapeId="0" xr:uid="{221F3299-EA6D-4006-BC36-D15C7D3C70DC}">
      <text>
        <t>[Threaded comment]
Your version of Excel allows you to read this threaded comment; however, any edits to it will get removed if the file is opened in a newer version of Excel. Learn more: https://go.microsoft.com/fwlink/?linkid=870924
Comment:
    18 = hair
100 = health ins</t>
      </text>
    </comment>
    <comment ref="F25" authorId="10" shapeId="0" xr:uid="{E65219A0-8577-406D-BFD5-86FE22746C97}">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9" authorId="11" shapeId="0" xr:uid="{2841D7A2-D722-441D-9A68-FD95142756CD}">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F43" authorId="12" shapeId="0" xr:uid="{7CEE0FC8-5170-470A-A6BC-F046D3A50447}">
      <text>
        <t>[Threaded comment]
Your version of Excel allows you to read this threaded comment; however, any edits to it will get removed if the file is opened in a newer version of Excel. Learn more: https://go.microsoft.com/fwlink/?linkid=870924
Comment:
    1062 = emergency fund balance
675 = bonus
400 = matt FB overage + kris house of db dress</t>
      </text>
    </comment>
    <comment ref="L44" authorId="13" shapeId="0" xr:uid="{5A747AFA-C5E3-4EA8-9037-8D0C4D094018}">
      <text>
        <t>[Threaded comment]
Your version of Excel allows you to read this threaded comment; however, any edits to it will get removed if the file is opened in a newer version of Excel. Learn more: https://go.microsoft.com/fwlink/?linkid=870924
Comment:
    Kris return H&amp;M stuff</t>
      </text>
    </comment>
    <comment ref="G46" authorId="14" shapeId="0" xr:uid="{8D604837-C9D6-46EE-9345-588A4FAA5DDA}">
      <text>
        <t>[Threaded comment]
Your version of Excel allows you to read this threaded comment; however, any edits to it will get removed if the file is opened in a newer version of Excel. Learn more: https://go.microsoft.com/fwlink/?linkid=870924
Comment:
    3579.86 = wage
107 = payrise
20 = iphone drawdown
Rest = kris</t>
      </text>
    </comment>
    <comment ref="E62" authorId="15" shapeId="0" xr:uid="{AA338227-2BC1-4429-90C4-9D2A7E247E2A}">
      <text>
        <t>[Threaded comment]
Your version of Excel allows you to read this threaded comment; however, any edits to it will get removed if the file is opened in a newer version of Excel. Learn more: https://go.microsoft.com/fwlink/?linkid=870924
Comment:
    Kris owes 116.05 for shoes coming from July wage</t>
      </text>
    </comment>
  </commentList>
</comments>
</file>

<file path=xl/comments134.xml><?xml version="1.0" encoding="utf-8"?>
<comments xmlns="http://schemas.openxmlformats.org/spreadsheetml/2006/main" xmlns:mc="http://schemas.openxmlformats.org/markup-compatibility/2006" xmlns:xr="http://schemas.microsoft.com/office/spreadsheetml/2014/revision" mc:Ignorable="xr">
  <authors>
    <author>tc={230BA829-D761-F948-8CE5-5B6C1A153CC8}</author>
    <author>tc={00740C49-0288-C44E-B693-3D2D99E52E48}</author>
    <author>tc={18759EC8-9B5D-E14F-BB6D-B20E5C9EF655}</author>
    <author>tc={DF7C7141-BE15-C947-B312-BF33E5EC95CD}</author>
    <author>tc={B0082011-2EFE-7743-8850-AFEBBEFD9F52}</author>
    <author>tc={5C271162-8C7C-ED40-9219-58E23089A3BB}</author>
    <author>tc={917E1A95-F35D-D44B-8C0B-355E11EB0841}</author>
    <author>tc={3E5F3541-6E8B-9145-9E7A-90F028B0B5B4}</author>
    <author>tc={4A30DBC0-DE14-8E45-872C-634AA7207322}</author>
    <author>tc={7A3D9382-EB87-294C-B744-985843428E9A}</author>
    <author>tc={19D437FB-81DD-C946-B5F7-3880C8242A14}</author>
    <author>tc={9E4FDB0C-2E0D-E547-B570-0DE57F3F3B10}</author>
    <author>tc={B0398DE7-87AA-6046-8D5E-37CEF7699E33}</author>
    <author>tc={1A1B1308-A543-844C-945C-E41FC5B49149}</author>
    <author>tc={916CA156-F196-F046-8D91-398C4E5BC8D5}</author>
    <author>tc={F5074141-1192-454E-84E6-A2851A2881F0}</author>
  </authors>
  <commentList>
    <comment ref="F6" authorId="0" shapeId="0" xr:uid="{230BA829-D761-F948-8CE5-5B6C1A153CC8}">
      <text>
        <t>[Threaded comment]
Your version of Excel allows you to read this threaded comment; however, any edits to it will get removed if the file is opened in a newer version of Excel. Learn more: https://go.microsoft.com/fwlink/?linkid=870924
Comment:
    -20 for scotland</t>
      </text>
    </comment>
    <comment ref="F7" authorId="1" shapeId="0" xr:uid="{00740C49-0288-C44E-B693-3D2D99E52E48}">
      <text>
        <t>[Threaded comment]
Your version of Excel allows you to read this threaded comment; however, any edits to it will get removed if the file is opened in a newer version of Excel. Learn more: https://go.microsoft.com/fwlink/?linkid=870924
Comment:
    -50 for scotland</t>
      </text>
    </comment>
    <comment ref="F10" authorId="2" shapeId="0" xr:uid="{18759EC8-9B5D-E14F-BB6D-B20E5C9EF655}">
      <text>
        <t>[Threaded comment]
Your version of Excel allows you to read this threaded comment; however, any edits to it will get removed if the file is opened in a newer version of Excel. Learn more: https://go.microsoft.com/fwlink/?linkid=870924
Comment:
    Moved to sink</t>
      </text>
    </comment>
    <comment ref="F15" authorId="3" shapeId="0" xr:uid="{DF7C7141-BE15-C947-B312-BF33E5EC95CD}">
      <text>
        <t>[Threaded comment]
Your version of Excel allows you to read this threaded comment; however, any edits to it will get removed if the file is opened in a newer version of Excel. Learn more: https://go.microsoft.com/fwlink/?linkid=870924
Comment:
    Renews May 2026
Reply:
    Bumped + 15 for tentbox cover</t>
      </text>
    </comment>
    <comment ref="F17" authorId="4" shapeId="0" xr:uid="{B0082011-2EFE-7743-8850-AFEBBEFD9F52}">
      <text>
        <t>[Threaded comment]
Your version of Excel allows you to read this threaded comment; however, any edits to it will get removed if the file is opened in a newer version of Excel. Learn more: https://go.microsoft.com/fwlink/?linkid=870924
Comment:
    -5 for rewards</t>
      </text>
    </comment>
    <comment ref="F18" authorId="5" shapeId="0" xr:uid="{5C271162-8C7C-ED40-9219-58E23089A3BB}">
      <text>
        <t>[Threaded comment]
Your version of Excel allows you to read this threaded comment; however, any edits to it will get removed if the file is opened in a newer version of Excel. Learn more: https://go.microsoft.com/fwlink/?linkid=870924
Comment:
    Renewal: Aug 2026</t>
      </text>
    </comment>
    <comment ref="F19" authorId="6" shapeId="0" xr:uid="{917E1A95-F35D-D44B-8C0B-355E11EB0841}">
      <text>
        <t>[Threaded comment]
Your version of Excel allows you to read this threaded comment; however, any edits to it will get removed if the file is opened in a newer version of Excel. Learn more: https://go.microsoft.com/fwlink/?linkid=870924
Comment:
    Renewal: August 2026</t>
      </text>
    </comment>
    <comment ref="F20" authorId="7" shapeId="0" xr:uid="{3E5F3541-6E8B-9145-9E7A-90F028B0B5B4}">
      <text>
        <t>[Threaded comment]
Your version of Excel allows you to read this threaded comment; however, any edits to it will get removed if the file is opened in a newer version of Excel. Learn more: https://go.microsoft.com/fwlink/?linkid=870924
Comment:
    BMW insurance (aviva) = 04/11/2026
EVQ insurance (the aa) = 27/01/2027</t>
      </text>
    </comment>
    <comment ref="F22" authorId="8" shapeId="0" xr:uid="{4A30DBC0-DE14-8E45-872C-634AA7207322}">
      <text>
        <t>[Threaded comment]
Your version of Excel allows you to read this threaded comment; however, any edits to it will get removed if the file is opened in a newer version of Excel. Learn more: https://go.microsoft.com/fwlink/?linkid=870924
Comment:
    48 = mattress
137 = watch
25 = barclaycard</t>
      </text>
    </comment>
    <comment ref="F24" authorId="9" shapeId="0" xr:uid="{7A3D9382-EB87-294C-B744-985843428E9A}">
      <text>
        <t>[Threaded comment]
Your version of Excel allows you to read this threaded comment; however, any edits to it will get removed if the file is opened in a newer version of Excel. Learn more: https://go.microsoft.com/fwlink/?linkid=870924
Comment:
    18 = hair
100 = health ins</t>
      </text>
    </comment>
    <comment ref="F25" authorId="10" shapeId="0" xr:uid="{19D437FB-81DD-C946-B5F7-3880C8242A14}">
      <text>
        <t>[Threaded comment]
Your version of Excel allows you to read this threaded comment; however, any edits to it will get removed if the file is opened in a newer version of Excel. Learn more: https://go.microsoft.com/fwlink/?linkid=870924
Comment:
    10.49 = Onedrive
18 = Nationwide
4.99 = Netflix
0.99 = Printing
12 = barclays avios
20 = barclaycard premium
13.95 = national trust</t>
      </text>
    </comment>
    <comment ref="E29" authorId="11" shapeId="0" xr:uid="{9E4FDB0C-2E0D-E547-B570-0DE57F3F3B10}">
      <text>
        <t>[Threaded comment]
Your version of Excel allows you to read this threaded comment; however, any edits to it will get removed if the file is opened in a newer version of Excel. Learn more: https://go.microsoft.com/fwlink/?linkid=870924
Comment:
    This is going towards CC</t>
      </text>
    </comment>
    <comment ref="F43" authorId="12" shapeId="0" xr:uid="{B0398DE7-87AA-6046-8D5E-37CEF7699E33}">
      <text>
        <t>[Threaded comment]
Your version of Excel allows you to read this threaded comment; however, any edits to it will get removed if the file is opened in a newer version of Excel. Learn more: https://go.microsoft.com/fwlink/?linkid=870924
Comment:
    1062 = emergency fund balance
675 = bonus
400 = matt FB overage + kris house of db dress</t>
      </text>
    </comment>
    <comment ref="L44" authorId="13" shapeId="0" xr:uid="{1A1B1308-A543-844C-945C-E41FC5B49149}">
      <text>
        <t>[Threaded comment]
Your version of Excel allows you to read this threaded comment; however, any edits to it will get removed if the file is opened in a newer version of Excel. Learn more: https://go.microsoft.com/fwlink/?linkid=870924
Comment:
    Kris return H&amp;M stuff</t>
      </text>
    </comment>
    <comment ref="G46" authorId="14" shapeId="0" xr:uid="{916CA156-F196-F046-8D91-398C4E5BC8D5}">
      <text>
        <t>[Threaded comment]
Your version of Excel allows you to read this threaded comment; however, any edits to it will get removed if the file is opened in a newer version of Excel. Learn more: https://go.microsoft.com/fwlink/?linkid=870924
Comment:
    3579.86 = wage
107 = payrise
20 = iphone drawdown
Rest = kris</t>
      </text>
    </comment>
    <comment ref="E62" authorId="15" shapeId="0" xr:uid="{F5074141-1192-454E-84E6-A2851A2881F0}">
      <text>
        <t>[Threaded comment]
Your version of Excel allows you to read this threaded comment; however, any edits to it will get removed if the file is opened in a newer version of Excel. Learn more: https://go.microsoft.com/fwlink/?linkid=870924
Comment:
    Kris owes 116.05 for shoes coming from July wage</t>
      </text>
    </comment>
  </commentList>
</comments>
</file>

<file path=xl/comments135.xml><?xml version="1.0" encoding="utf-8"?>
<comments xmlns="http://schemas.openxmlformats.org/spreadsheetml/2006/main" xmlns:mc="http://schemas.openxmlformats.org/markup-compatibility/2006" xmlns:xr="http://schemas.microsoft.com/office/spreadsheetml/2014/revision" mc:Ignorable="xr">
  <authors>
    <author>tc={C3F61ED4-C81E-4761-9A26-CD341E3BC68A}</author>
    <author>tc={8FBE08D0-8EC9-42C0-9A04-B9527EF476B3}</author>
    <author>tc={C3AA39DE-A135-4A51-BA28-6C6E71F4F6BA}</author>
  </authors>
  <commentList>
    <comment ref="B8" authorId="0" shapeId="0" xr:uid="{C3F61ED4-C81E-4761-9A26-CD341E3BC68A}">
      <text>
        <t>[Threaded comment]
Your version of Excel allows you to read this threaded comment; however, any edits to it will get removed if the file is opened in a newer version of Excel. Learn more: https://go.microsoft.com/fwlink/?linkid=870924
Comment:
    Only need outbound - kris going to vietnam</t>
      </text>
    </comment>
    <comment ref="B10" authorId="1" shapeId="0" xr:uid="{8FBE08D0-8EC9-42C0-9A04-B9527EF476B3}">
      <text>
        <t>[Threaded comment]
Your version of Excel allows you to read this threaded comment; however, any edits to it will get removed if the file is opened in a newer version of Excel. Learn more: https://go.microsoft.com/fwlink/?linkid=870924
Comment:
    Could cut by getting taxi / train</t>
      </text>
    </comment>
    <comment ref="B27" authorId="2" shapeId="0" xr:uid="{C3AA39DE-A135-4A51-BA28-6C6E71F4F6BA}">
      <text>
        <t>[Threaded comment]
Your version of Excel allows you to read this threaded comment; however, any edits to it will get removed if the file is opened in a newer version of Excel. Learn more: https://go.microsoft.com/fwlink/?linkid=870924
Comment:
    200 from Matt Aug wage
100 from Matt Sep wage
200 from Kris aug wage
100 from Kris sep wage</t>
      </text>
    </comment>
  </commentList>
</comments>
</file>

<file path=xl/comments136.xml><?xml version="1.0" encoding="utf-8"?>
<comments xmlns="http://schemas.openxmlformats.org/spreadsheetml/2006/main" xmlns:mc="http://schemas.openxmlformats.org/markup-compatibility/2006" xmlns:xr="http://schemas.microsoft.com/office/spreadsheetml/2014/revision" mc:Ignorable="xr">
  <authors>
    <author>tc={B3FC2E3D-A539-4371-9594-4F6441BB2731}</author>
    <author>tc={5686D691-976C-4B58-BBBD-C1F8920A2FBD}</author>
    <author>tc={F52C4BBE-0796-46E8-8AD4-223BFAC67797}</author>
  </authors>
  <commentList>
    <comment ref="B10" authorId="0" shapeId="0" xr:uid="{B3FC2E3D-A539-4371-9594-4F6441BB2731}">
      <text>
        <t>[Threaded comment]
Your version of Excel allows you to read this threaded comment; however, any edits to it will get removed if the file is opened in a newer version of Excel. Learn more: https://go.microsoft.com/fwlink/?linkid=870924
Comment:
    Only need outbound - kris going to vietnam</t>
      </text>
    </comment>
    <comment ref="B13" authorId="1" shapeId="0" xr:uid="{5686D691-976C-4B58-BBBD-C1F8920A2FBD}">
      <text>
        <t>[Threaded comment]
Your version of Excel allows you to read this threaded comment; however, any edits to it will get removed if the file is opened in a newer version of Excel. Learn more: https://go.microsoft.com/fwlink/?linkid=870924
Comment:
    Could cut by getting taxi / train</t>
      </text>
    </comment>
    <comment ref="B20" authorId="2" shapeId="0" xr:uid="{F52C4BBE-0796-46E8-8AD4-223BFAC67797}">
      <text>
        <t>[Threaded comment]
Your version of Excel allows you to read this threaded comment; however, any edits to it will get removed if the file is opened in a newer version of Excel. Learn more: https://go.microsoft.com/fwlink/?linkid=870924
Comment:
    200 from Matt Aug wage
100 from Matt Sep wage
200 from Kris aug wage
100 from Kris sep wage</t>
      </text>
    </comment>
  </commentList>
</comments>
</file>

<file path=xl/comments137.xml><?xml version="1.0" encoding="utf-8"?>
<comments xmlns="http://schemas.openxmlformats.org/spreadsheetml/2006/main" xmlns:mc="http://schemas.openxmlformats.org/markup-compatibility/2006" xmlns:xr="http://schemas.microsoft.com/office/spreadsheetml/2014/revision" mc:Ignorable="xr">
  <authors>
    <author>tc={D1E1D916-8B54-E849-A2F7-2C0583FD37CC}</author>
    <author>tc={77CBF3B9-683F-5540-9532-32FDA58A259A}</author>
  </authors>
  <commentList>
    <comment ref="B8" authorId="0" shapeId="0" xr:uid="{D1E1D916-8B54-E849-A2F7-2C0583FD37CC}">
      <text>
        <t>[Threaded comment]
Your version of Excel allows you to read this threaded comment; however, any edits to it will get removed if the file is opened in a newer version of Excel. Learn more: https://go.microsoft.com/fwlink/?linkid=870924
Comment:
    Only need outbound - kris going to vietnam</t>
      </text>
    </comment>
    <comment ref="B14" authorId="1" shapeId="0" xr:uid="{77CBF3B9-683F-5540-9532-32FDA58A259A}">
      <text>
        <t>[Threaded comment]
Your version of Excel allows you to read this threaded comment; however, any edits to it will get removed if the file is opened in a newer version of Excel. Learn more: https://go.microsoft.com/fwlink/?linkid=870924
Comment:
    200 from Matt Aug wage
100 from Matt Sep wage
200 from Kris aug wage
100 from Kris sep wage</t>
      </text>
    </comment>
  </commentList>
</comments>
</file>

<file path=xl/comments138.xml><?xml version="1.0" encoding="utf-8"?>
<comments xmlns="http://schemas.openxmlformats.org/spreadsheetml/2006/main" xmlns:mc="http://schemas.openxmlformats.org/markup-compatibility/2006" xmlns:xr="http://schemas.microsoft.com/office/spreadsheetml/2014/revision" mc:Ignorable="xr">
  <authors>
    <author>tc={BE69CECC-B333-1B46-B1A8-8EE4C85A4DFC}</author>
    <author>tc={9F4BC156-1868-0748-B8F4-C2A298B7BB67}</author>
  </authors>
  <commentList>
    <comment ref="B8" authorId="0" shapeId="0" xr:uid="{BE69CECC-B333-1B46-B1A8-8EE4C85A4DFC}">
      <text>
        <t>[Threaded comment]
Your version of Excel allows you to read this threaded comment; however, any edits to it will get removed if the file is opened in a newer version of Excel. Learn more: https://go.microsoft.com/fwlink/?linkid=870924
Comment:
    Only need outbound - kris going to vietnam</t>
      </text>
    </comment>
    <comment ref="B14" authorId="1" shapeId="0" xr:uid="{9F4BC156-1868-0748-B8F4-C2A298B7BB67}">
      <text>
        <t>[Threaded comment]
Your version of Excel allows you to read this threaded comment; however, any edits to it will get removed if the file is opened in a newer version of Excel. Learn more: https://go.microsoft.com/fwlink/?linkid=870924
Comment:
    200 from Matt Aug wage
100 from Matt Sep wage
200 from Kris aug wage
100 from Kris sep wage</t>
      </text>
    </comment>
  </commentList>
</comments>
</file>

<file path=xl/comments139.xml><?xml version="1.0" encoding="utf-8"?>
<comments xmlns="http://schemas.openxmlformats.org/spreadsheetml/2006/main" xmlns:mc="http://schemas.openxmlformats.org/markup-compatibility/2006" xmlns:xr="http://schemas.microsoft.com/office/spreadsheetml/2014/revision" mc:Ignorable="xr">
  <authors>
    <author>tc={6F0E0FBA-3C9B-4416-A08B-D2FF00033656}</author>
    <author>tc={17BB8571-F573-4950-8FB1-30D800EDF3EE}</author>
    <author>tc={5C8E2CBD-F313-45B0-8C7B-DD27121584E7}</author>
  </authors>
  <commentList>
    <comment ref="B7" authorId="0" shapeId="0" xr:uid="{6F0E0FBA-3C9B-4416-A08B-D2FF00033656}">
      <text>
        <t>[Threaded comment]
Your version of Excel allows you to read this threaded comment; however, any edits to it will get removed if the file is opened in a newer version of Excel. Learn more: https://go.microsoft.com/fwlink/?linkid=870924
Comment:
    Only need outbound - kris going to vietnam</t>
      </text>
    </comment>
    <comment ref="B9" authorId="1" shapeId="0" xr:uid="{17BB8571-F573-4950-8FB1-30D800EDF3EE}">
      <text>
        <t>[Threaded comment]
Your version of Excel allows you to read this threaded comment; however, any edits to it will get removed if the file is opened in a newer version of Excel. Learn more: https://go.microsoft.com/fwlink/?linkid=870924
Comment:
    Could cut by getting taxi / train</t>
      </text>
    </comment>
    <comment ref="B19" authorId="2" shapeId="0" xr:uid="{5C8E2CBD-F313-45B0-8C7B-DD27121584E7}">
      <text>
        <t>[Threaded comment]
Your version of Excel allows you to read this threaded comment; however, any edits to it will get removed if the file is opened in a newer version of Excel. Learn more: https://go.microsoft.com/fwlink/?linkid=870924
Comment:
    200 from Matt Aug wage
100 from Matt Sep wage
200 from Kris aug wage
100 from Kris sep wage</t>
      </text>
    </comment>
  </commentList>
</comments>
</file>

<file path=xl/comments140.xml><?xml version="1.0" encoding="utf-8"?>
<comments xmlns="http://schemas.openxmlformats.org/spreadsheetml/2006/main" xmlns:mc="http://schemas.openxmlformats.org/markup-compatibility/2006" xmlns:xr="http://schemas.microsoft.com/office/spreadsheetml/2014/revision" mc:Ignorable="xr">
  <authors>
    <author>tc={F0165034-5053-4337-9AC1-87A3001D3A3C}</author>
    <author>tc={4C64ECA6-2F59-4838-8E0C-110434C52A4F}</author>
    <author>tc={C2A3B628-068F-471E-BF32-53E418E2EF66}</author>
  </authors>
  <commentList>
    <comment ref="B8" authorId="0" shapeId="0" xr:uid="{F0165034-5053-4337-9AC1-87A3001D3A3C}">
      <text>
        <t>[Threaded comment]
Your version of Excel allows you to read this threaded comment; however, any edits to it will get removed if the file is opened in a newer version of Excel. Learn more: https://go.microsoft.com/fwlink/?linkid=870924
Comment:
    Only need outbound - kris going to vietnam</t>
      </text>
    </comment>
    <comment ref="B10" authorId="1" shapeId="0" xr:uid="{4C64ECA6-2F59-4838-8E0C-110434C52A4F}">
      <text>
        <t>[Threaded comment]
Your version of Excel allows you to read this threaded comment; however, any edits to it will get removed if the file is opened in a newer version of Excel. Learn more: https://go.microsoft.com/fwlink/?linkid=870924
Comment:
    Could cut by getting taxi / train</t>
      </text>
    </comment>
    <comment ref="B20" authorId="2" shapeId="0" xr:uid="{C2A3B628-068F-471E-BF32-53E418E2EF66}">
      <text>
        <t>[Threaded comment]
Your version of Excel allows you to read this threaded comment; however, any edits to it will get removed if the file is opened in a newer version of Excel. Learn more: https://go.microsoft.com/fwlink/?linkid=870924
Comment:
    100 contribution from matt</t>
      </text>
    </comment>
  </commentList>
</comments>
</file>

<file path=xl/comments141.xml><?xml version="1.0" encoding="utf-8"?>
<comments xmlns="http://schemas.openxmlformats.org/spreadsheetml/2006/main" xmlns:mc="http://schemas.openxmlformats.org/markup-compatibility/2006" xmlns:xr="http://schemas.microsoft.com/office/spreadsheetml/2014/revision" mc:Ignorable="xr">
  <authors>
    <author>tc={AB31F0E0-8E0B-5C43-A407-A0800B29BCC7}</author>
    <author>tc={5EF91354-4751-4128-AC30-9AD08EE93BA6}</author>
    <author>tc={60BF283A-1312-4FA0-B321-54BAA0667384}</author>
    <author>tc={D1E426ED-C53D-4D11-9437-30FA20792D30}</author>
    <author>tc={3CD19DD8-B3C5-544F-A14F-28BC19BD388B}</author>
    <author>tc={A56AC6FF-678E-1741-96B6-772A42BA7AA5}</author>
  </authors>
  <commentList>
    <comment ref="B4" authorId="0" shapeId="0" xr:uid="{AB31F0E0-8E0B-5C43-A407-A0800B29BCC7}">
      <text>
        <t>[Threaded comment]
Your version of Excel allows you to read this threaded comment; however, any edits to it will get removed if the file is opened in a newer version of Excel. Learn more: https://go.microsoft.com/fwlink/?linkid=870924
Comment:
    Luna will be dropped at home on the Friday</t>
      </text>
    </comment>
    <comment ref="E8" authorId="1" shapeId="0" xr:uid="{5EF91354-4751-4128-AC30-9AD08EE93BA6}">
      <text>
        <t>[Threaded comment]
Your version of Excel allows you to read this threaded comment; however, any edits to it will get removed if the file is opened in a newer version of Excel. Learn more: https://go.microsoft.com/fwlink/?linkid=870924
Comment:
    Avios hotel rate</t>
      </text>
    </comment>
    <comment ref="E10" authorId="2" shapeId="0" xr:uid="{60BF283A-1312-4FA0-B321-54BAA0667384}">
      <text>
        <t>[Threaded comment]
Your version of Excel allows you to read this threaded comment; however, any edits to it will get removed if the file is opened in a newer version of Excel. Learn more: https://go.microsoft.com/fwlink/?linkid=870924
Comment:
    Aph rate</t>
      </text>
    </comment>
    <comment ref="E12" authorId="3" shapeId="0" xr:uid="{D1E426ED-C53D-4D11-9437-30FA20792D30}">
      <text>
        <t>[Threaded comment]
Your version of Excel allows you to read this threaded comment; however, any edits to it will get removed if the file is opened in a newer version of Excel. Learn more: https://go.microsoft.com/fwlink/?linkid=870924
Comment:
    Avis rate</t>
      </text>
    </comment>
    <comment ref="B13" authorId="4" shapeId="0" xr:uid="{3CD19DD8-B3C5-544F-A14F-28BC19BD388B}">
      <text>
        <t>[Threaded comment]
Your version of Excel allows you to read this threaded comment; however, any edits to it will get removed if the file is opened in a newer version of Excel. Learn more: https://go.microsoft.com/fwlink/?linkid=870924
Comment:
    Over estimated: 1350 miles @ 20mpg @ $3.80/gal = approx $300 / £222
Reply:
    See ChatGPT chat for deets</t>
      </text>
    </comment>
    <comment ref="B16" authorId="5" shapeId="0" xr:uid="{A56AC6FF-678E-1741-96B6-772A42BA7AA5}">
      <text>
        <t>[Threaded comment]
Your version of Excel allows you to read this threaded comment; however, any edits to it will get removed if the file is opened in a newer version of Excel. Learn more: https://go.microsoft.com/fwlink/?linkid=870924
Comment:
    Bryce</t>
      </text>
    </comment>
  </commentList>
</comments>
</file>

<file path=xl/comments142.xml><?xml version="1.0" encoding="utf-8"?>
<comments xmlns="http://schemas.openxmlformats.org/spreadsheetml/2006/main" xmlns:mc="http://schemas.openxmlformats.org/markup-compatibility/2006" xmlns:xr="http://schemas.microsoft.com/office/spreadsheetml/2014/revision" mc:Ignorable="xr">
  <authors>
    <author>tc={2CE64ED5-5458-44DB-B6F3-08BE08DF4518}</author>
    <author>tc={68F1B71A-E34C-4806-8173-A78037EB91DB}</author>
    <author>tc={14F587E4-A5E1-4A04-B9BE-13FEB08EBB15}</author>
    <author>tc={AD2A98C0-3F0C-4AC3-A03D-3FDA5884499C}</author>
    <author>tc={E6FA034A-46BB-49D6-8852-03F509196869}</author>
    <author>tc={61C6B19F-56DF-4F1D-94B2-80CE0FD38185}</author>
  </authors>
  <commentList>
    <comment ref="B4" authorId="0" shapeId="0" xr:uid="{2CE64ED5-5458-44DB-B6F3-08BE08DF4518}">
      <text>
        <t>[Threaded comment]
Your version of Excel allows you to read this threaded comment; however, any edits to it will get removed if the file is opened in a newer version of Excel. Learn more: https://go.microsoft.com/fwlink/?linkid=870924
Comment:
    Luna will be dropped at home on the Friday</t>
      </text>
    </comment>
    <comment ref="E8" authorId="1" shapeId="0" xr:uid="{68F1B71A-E34C-4806-8173-A78037EB91DB}">
      <text>
        <t>[Threaded comment]
Your version of Excel allows you to read this threaded comment; however, any edits to it will get removed if the file is opened in a newer version of Excel. Learn more: https://go.microsoft.com/fwlink/?linkid=870924
Comment:
    Avios hotel rate</t>
      </text>
    </comment>
    <comment ref="E10" authorId="2" shapeId="0" xr:uid="{14F587E4-A5E1-4A04-B9BE-13FEB08EBB15}">
      <text>
        <t>[Threaded comment]
Your version of Excel allows you to read this threaded comment; however, any edits to it will get removed if the file is opened in a newer version of Excel. Learn more: https://go.microsoft.com/fwlink/?linkid=870924
Comment:
    Aph rate</t>
      </text>
    </comment>
    <comment ref="E12" authorId="3" shapeId="0" xr:uid="{AD2A98C0-3F0C-4AC3-A03D-3FDA5884499C}">
      <text>
        <t>[Threaded comment]
Your version of Excel allows you to read this threaded comment; however, any edits to it will get removed if the file is opened in a newer version of Excel. Learn more: https://go.microsoft.com/fwlink/?linkid=870924
Comment:
    Avis rate</t>
      </text>
    </comment>
    <comment ref="B13" authorId="4" shapeId="0" xr:uid="{E6FA034A-46BB-49D6-8852-03F509196869}">
      <text>
        <t>[Threaded comment]
Your version of Excel allows you to read this threaded comment; however, any edits to it will get removed if the file is opened in a newer version of Excel. Learn more: https://go.microsoft.com/fwlink/?linkid=870924
Comment:
    Over estimated: 1350 miles @ 20mpg @ $3.80/gal = approx $300 / £222
Reply:
    See ChatGPT chat for deets</t>
      </text>
    </comment>
    <comment ref="B16" authorId="5" shapeId="0" xr:uid="{61C6B19F-56DF-4F1D-94B2-80CE0FD38185}">
      <text>
        <t>[Threaded comment]
Your version of Excel allows you to read this threaded comment; however, any edits to it will get removed if the file is opened in a newer version of Excel. Learn more: https://go.microsoft.com/fwlink/?linkid=870924
Comment:
    Bryce</t>
      </text>
    </comment>
  </commentList>
</comments>
</file>

<file path=xl/comments143.xml><?xml version="1.0" encoding="utf-8"?>
<comments xmlns="http://schemas.openxmlformats.org/spreadsheetml/2006/main" xmlns:mc="http://schemas.openxmlformats.org/markup-compatibility/2006" xmlns:xr="http://schemas.microsoft.com/office/spreadsheetml/2014/revision" mc:Ignorable="xr">
  <authors>
    <author>tc={2B8F2689-EE8B-4C99-9605-72FDD6D33FD4}</author>
    <author>tc={DC92D114-C09B-445B-8F74-274D79F1F074}</author>
    <author>tc={C6D3826C-1DA1-4EF1-93E3-222E4FA415BC}</author>
  </authors>
  <commentList>
    <comment ref="G1" authorId="0" shapeId="0" xr:uid="{2B8F2689-EE8B-4C99-9605-72FDD6D33FD4}">
      <text>
        <t>[Threaded comment]
Your version of Excel allows you to read this threaded comment; however, any edits to it will get removed if the file is opened in a newer version of Excel. Learn more: https://go.microsoft.com/fwlink/?linkid=870924
Comment:
    UPDATED: 23/06/2025</t>
      </text>
    </comment>
    <comment ref="P1" authorId="1" shapeId="0" xr:uid="{DC92D114-C09B-445B-8F74-274D79F1F074}">
      <text>
        <t>[Threaded comment]
Your version of Excel allows you to read this threaded comment; however, any edits to it will get removed if the file is opened in a newer version of Excel. Learn more: https://go.microsoft.com/fwlink/?linkid=870924
Comment:
    Cost of finance less car sale at 1500</t>
      </text>
    </comment>
    <comment ref="A11" authorId="2" shapeId="0" xr:uid="{C6D3826C-1DA1-4EF1-93E3-222E4FA415BC}">
      <text>
        <t>[Threaded comment]
Your version of Excel allows you to read this threaded comment; however, any edits to it will get removed if the file is opened in a newer version of Excel. Learn more: https://go.microsoft.com/fwlink/?linkid=870924
Comment:
    23/06/2025</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avios" description="Connection to the 'avios' query in the workbook." type="5" refreshedVersion="0" background="1" saveData="1">
    <dbPr connection="Provider=Microsoft.Mashup.OleDb.1;Data Source=$Workbook$;Location=avios;Extended Properties=&quot;&quot;" command="SELECT * FROM [avios]"/>
  </connection>
  <connection id="2" xr16:uid="{00000000-0015-0000-FFFF-FFFF01000000}" keepAlive="1" name="Query - avios (2)" description="Connection to the 'avios (2)' query in the workbook." type="5" refreshedVersion="8" background="1" saveData="1">
    <dbPr connection="Provider=Microsoft.Mashup.OleDb.1;Data Source=$Workbook$;Location=&quot;avios (2)&quot;;Extended Properties=&quot;&quot;" command="SELECT * FROM [avios (2)]"/>
  </connection>
  <connection id="3" xr16:uid="{00000000-0015-0000-FFFF-FFFF02000000}" keepAlive="1" name="Query - kris_avios" description="Connection to the 'kris_avios' query in the workbook." type="5" refreshedVersion="0" background="1" saveData="1">
    <dbPr connection="Provider=Microsoft.Mashup.OleDb.1;Data Source=$Workbook$;Location=kris_avios;Extended Properties=&quot;&quot;" command="SELECT * FROM [kris_avio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<sst xmlns="http://schemas.openxmlformats.org/spreadsheetml/2006/main" count="13994" uniqueCount="3540">
  <si>
    <t>BIRTHDAYS</t>
  </si>
  <si>
    <t>EVENTS</t>
  </si>
  <si>
    <t>Birthdays / Card 2021</t>
  </si>
  <si>
    <t>Birth Date</t>
  </si>
  <si>
    <t>Death</t>
  </si>
  <si>
    <t>Age</t>
  </si>
  <si>
    <t>Gift Value</t>
  </si>
  <si>
    <t>Ideas</t>
  </si>
  <si>
    <t>Done?</t>
  </si>
  <si>
    <t>Spent</t>
  </si>
  <si>
    <t>Remaining</t>
  </si>
  <si>
    <t>Target</t>
  </si>
  <si>
    <t>Actual</t>
  </si>
  <si>
    <t>Time</t>
  </si>
  <si>
    <t>Month</t>
  </si>
  <si>
    <t>Date</t>
  </si>
  <si>
    <t>Amount</t>
  </si>
  <si>
    <t>JAN</t>
  </si>
  <si>
    <t>Sam</t>
  </si>
  <si>
    <t>Cash</t>
  </si>
  <si>
    <t>Y</t>
  </si>
  <si>
    <t>NY Gifts</t>
  </si>
  <si>
    <t>Jamie</t>
  </si>
  <si>
    <t xml:space="preserve">Amanda </t>
  </si>
  <si>
    <t>Uncle Andrew (Auntie Julie)</t>
  </si>
  <si>
    <t>Uncle Andrew (Jamie / JJ)</t>
  </si>
  <si>
    <t>Rachel</t>
  </si>
  <si>
    <t>Auntie Susan</t>
  </si>
  <si>
    <t>Malcolm</t>
  </si>
  <si>
    <t>FEB</t>
  </si>
  <si>
    <t xml:space="preserve">Uncle Keith </t>
  </si>
  <si>
    <t>Beer</t>
  </si>
  <si>
    <t>Valentines</t>
  </si>
  <si>
    <t>14th</t>
  </si>
  <si>
    <t>Jordan</t>
  </si>
  <si>
    <t>Auntie Jo</t>
  </si>
  <si>
    <t>William</t>
  </si>
  <si>
    <t>MAR</t>
  </si>
  <si>
    <t>Inesa</t>
  </si>
  <si>
    <t>Babu</t>
  </si>
  <si>
    <t>Lea</t>
  </si>
  <si>
    <t>Womens Day</t>
  </si>
  <si>
    <t>8th</t>
  </si>
  <si>
    <t>Flowers (kris, mum, inessa)</t>
  </si>
  <si>
    <t>Morgan</t>
  </si>
  <si>
    <t>Mothers Day</t>
  </si>
  <si>
    <t>27th</t>
  </si>
  <si>
    <t>Day out</t>
  </si>
  <si>
    <t>Dave</t>
  </si>
  <si>
    <t>Auntie Jean (RIP)</t>
  </si>
  <si>
    <t>??</t>
  </si>
  <si>
    <t xml:space="preserve">Uncle Chris </t>
  </si>
  <si>
    <t>Tania</t>
  </si>
  <si>
    <t>APR</t>
  </si>
  <si>
    <t>Dad</t>
  </si>
  <si>
    <t>Mum + Dad Anv</t>
  </si>
  <si>
    <t>1st</t>
  </si>
  <si>
    <t>Dinner</t>
  </si>
  <si>
    <t>Grandad (RIP)</t>
  </si>
  <si>
    <t>MAY</t>
  </si>
  <si>
    <t>Andrew</t>
  </si>
  <si>
    <t xml:space="preserve">Christian </t>
  </si>
  <si>
    <t>Lee</t>
  </si>
  <si>
    <t>Craig</t>
  </si>
  <si>
    <t>Uncle Mick</t>
  </si>
  <si>
    <t>Adam</t>
  </si>
  <si>
    <t>Xbox card</t>
  </si>
  <si>
    <t>Alex</t>
  </si>
  <si>
    <t>Flowers</t>
  </si>
  <si>
    <t>JUN</t>
  </si>
  <si>
    <t>Steve</t>
  </si>
  <si>
    <t>Fathers Day</t>
  </si>
  <si>
    <t>21st</t>
  </si>
  <si>
    <t>Kat</t>
  </si>
  <si>
    <t>Citizenship</t>
  </si>
  <si>
    <t>28th</t>
  </si>
  <si>
    <t>Aft tea</t>
  </si>
  <si>
    <t>Leo</t>
  </si>
  <si>
    <t>Jasmine</t>
  </si>
  <si>
    <t>Charlotte (Niece)</t>
  </si>
  <si>
    <t>Emma</t>
  </si>
  <si>
    <t>JUL</t>
  </si>
  <si>
    <t>Alex (Ola)</t>
  </si>
  <si>
    <t>Name day</t>
  </si>
  <si>
    <t>24th</t>
  </si>
  <si>
    <t>Necklace</t>
  </si>
  <si>
    <t>Hanna</t>
  </si>
  <si>
    <t>Louise</t>
  </si>
  <si>
    <t xml:space="preserve">Keiran </t>
  </si>
  <si>
    <t>AUG</t>
  </si>
  <si>
    <t>Glen</t>
  </si>
  <si>
    <t>Charlotte</t>
  </si>
  <si>
    <t>Dylan</t>
  </si>
  <si>
    <t>SEP</t>
  </si>
  <si>
    <t xml:space="preserve">Beverley </t>
  </si>
  <si>
    <t>Ben</t>
  </si>
  <si>
    <t>Rebecca</t>
  </si>
  <si>
    <t>Mum</t>
  </si>
  <si>
    <t xml:space="preserve"> </t>
  </si>
  <si>
    <t>Me</t>
  </si>
  <si>
    <t>Auntie Linda</t>
  </si>
  <si>
    <t>OCT</t>
  </si>
  <si>
    <t>Thomas</t>
  </si>
  <si>
    <t>Anniversary</t>
  </si>
  <si>
    <t>13th</t>
  </si>
  <si>
    <t xml:space="preserve">Michelle </t>
  </si>
  <si>
    <t xml:space="preserve">Lena </t>
  </si>
  <si>
    <t>Oscar</t>
  </si>
  <si>
    <t>Auntie Helen</t>
  </si>
  <si>
    <t>Grandma (RIP)</t>
  </si>
  <si>
    <t>Daniel</t>
  </si>
  <si>
    <t>NOV</t>
  </si>
  <si>
    <t>Philippa</t>
  </si>
  <si>
    <t>Bonfire</t>
  </si>
  <si>
    <t>5th</t>
  </si>
  <si>
    <t>Fireworks</t>
  </si>
  <si>
    <t xml:space="preserve">Wayne </t>
  </si>
  <si>
    <t>Harry</t>
  </si>
  <si>
    <t>DEC</t>
  </si>
  <si>
    <t>Robert</t>
  </si>
  <si>
    <t>John bishop?</t>
  </si>
  <si>
    <t>Markets</t>
  </si>
  <si>
    <t>?</t>
  </si>
  <si>
    <t>JJ</t>
  </si>
  <si>
    <t>Dini day</t>
  </si>
  <si>
    <t>Kristine</t>
  </si>
  <si>
    <t>Mark</t>
  </si>
  <si>
    <t>Auntie Julie</t>
  </si>
  <si>
    <t>Christmas total</t>
  </si>
  <si>
    <t>Christmas</t>
  </si>
  <si>
    <t>Other</t>
  </si>
  <si>
    <t>Total</t>
  </si>
  <si>
    <t>Monthly</t>
  </si>
  <si>
    <t>Christmas Ideas</t>
  </si>
  <si>
    <t>Person(s)</t>
  </si>
  <si>
    <t>Card</t>
  </si>
  <si>
    <t>Idea</t>
  </si>
  <si>
    <t>Budget</t>
  </si>
  <si>
    <t>Mum + Dad</t>
  </si>
  <si>
    <t>Inesa + Glen</t>
  </si>
  <si>
    <t>Auntie Helen + Chris</t>
  </si>
  <si>
    <t>Auntie Julie + U. Andrew</t>
  </si>
  <si>
    <t>Auntie Sue + Uncle Keith</t>
  </si>
  <si>
    <t>GF</t>
  </si>
  <si>
    <t xml:space="preserve"> Y</t>
  </si>
  <si>
    <t>Rachel + Andrew</t>
  </si>
  <si>
    <t>Dave + Megan</t>
  </si>
  <si>
    <t>Money</t>
  </si>
  <si>
    <t>Lena</t>
  </si>
  <si>
    <t>Rob + Sarah</t>
  </si>
  <si>
    <t>N/A</t>
  </si>
  <si>
    <t>Tom</t>
  </si>
  <si>
    <t>Kris</t>
  </si>
  <si>
    <t>Luna</t>
  </si>
  <si>
    <t>Toys</t>
  </si>
  <si>
    <t>Michella, Dave, Joshua, Ronald</t>
  </si>
  <si>
    <t>Fred, Jenny</t>
  </si>
  <si>
    <t>Lizzy + Cats</t>
  </si>
  <si>
    <t>Sue + Kids + Dogs</t>
  </si>
  <si>
    <t>Charlotte + Karl</t>
  </si>
  <si>
    <t>Danny + Kids</t>
  </si>
  <si>
    <t>Amanda</t>
  </si>
  <si>
    <t>Carsuzi gang</t>
  </si>
  <si>
    <t>MONTH</t>
  </si>
  <si>
    <t>Monthly Allowance</t>
  </si>
  <si>
    <t>Outgoings</t>
  </si>
  <si>
    <t>General</t>
  </si>
  <si>
    <t xml:space="preserve">Car Petrol </t>
  </si>
  <si>
    <t>Bike petrol</t>
  </si>
  <si>
    <t>Food</t>
  </si>
  <si>
    <t>Gift Fund</t>
  </si>
  <si>
    <t>Holiday Fund</t>
  </si>
  <si>
    <t>Misc</t>
  </si>
  <si>
    <t>Direct Debits</t>
  </si>
  <si>
    <t>House</t>
  </si>
  <si>
    <t>Ring</t>
  </si>
  <si>
    <t xml:space="preserve">Phone </t>
  </si>
  <si>
    <t>Gym</t>
  </si>
  <si>
    <t>Car v.tax</t>
  </si>
  <si>
    <t>Sky Movies</t>
  </si>
  <si>
    <t>Spotify</t>
  </si>
  <si>
    <t>Onedrive</t>
  </si>
  <si>
    <t>Amazon Prime</t>
  </si>
  <si>
    <t>Savings</t>
  </si>
  <si>
    <t>Savings In</t>
  </si>
  <si>
    <t>Savings Out</t>
  </si>
  <si>
    <t>Income</t>
  </si>
  <si>
    <t>Reminders:</t>
  </si>
  <si>
    <t>Pay after del:</t>
  </si>
  <si>
    <t>Direct debits</t>
  </si>
  <si>
    <t>2014/Month</t>
  </si>
  <si>
    <t>Dates worked</t>
  </si>
  <si>
    <t>Days</t>
  </si>
  <si>
    <t>Hours</t>
  </si>
  <si>
    <t>Total Earned</t>
  </si>
  <si>
    <t>Total Bonus</t>
  </si>
  <si>
    <t>Pay + Bonus</t>
  </si>
  <si>
    <t>NI (12%)</t>
  </si>
  <si>
    <t>Pension (5%)</t>
  </si>
  <si>
    <t>Income Tax (%20)</t>
  </si>
  <si>
    <t>Expected</t>
  </si>
  <si>
    <t>Payday </t>
  </si>
  <si>
    <t>Total Paid (on date)</t>
  </si>
  <si>
    <t>Difference</t>
  </si>
  <si>
    <t xml:space="preserve">Total Late Payments </t>
  </si>
  <si>
    <t>Missing Paid On</t>
  </si>
  <si>
    <t>12,13,14,15,16,19,20,21,22,23,27,28,29,30</t>
  </si>
  <si>
    <t>2,3,4,5,6,9,10,11,12,13,16,17,18,19,20,23,24,25,26,27</t>
  </si>
  <si>
    <t>14,15,16,17,18,21,22,23,24,25,28,29,30,31,1</t>
  </si>
  <si>
    <t>5,6,7</t>
  </si>
  <si>
    <t>Hourly Rate:</t>
  </si>
  <si>
    <t>Bonus Rate</t>
  </si>
  <si>
    <t>Pension</t>
  </si>
  <si>
    <t>N</t>
  </si>
  <si>
    <t>Missing Hours</t>
  </si>
  <si>
    <t>07.30-15.30</t>
  </si>
  <si>
    <t>Additional Holiday hours</t>
  </si>
  <si>
    <t>Additional Total</t>
  </si>
  <si>
    <t>Revised Total</t>
  </si>
  <si>
    <t>2015/Month</t>
  </si>
  <si>
    <t xml:space="preserve">Total Missing </t>
  </si>
  <si>
    <t>Late</t>
  </si>
  <si>
    <t>2016/Month</t>
  </si>
  <si>
    <t>Days worked</t>
  </si>
  <si>
    <t xml:space="preserve">Hours </t>
  </si>
  <si>
    <t>Total Days</t>
  </si>
  <si>
    <t>Total Hours</t>
  </si>
  <si>
    <t>Sum to date (Tax year)</t>
  </si>
  <si>
    <t>19, 20, 26, 27</t>
  </si>
  <si>
    <t>2, 3, 9, 10, 17, 18, 19, 23, 24</t>
  </si>
  <si>
    <t>1, 2, 8, 9(1/2), 15, 16, 22, 23, 24</t>
  </si>
  <si>
    <t>12, 13, 19, 20</t>
  </si>
  <si>
    <t>16, 17, 18, 19, 
20, 23, 24, 25, 26, 27</t>
  </si>
  <si>
    <t>30(1/2), 31(1/2), 1, 2, 3, 8, 9, 10, 15, 16, 17, 20, 21, 22, 23,
24</t>
  </si>
  <si>
    <t>11, 13, 14, 15, 18, 19(1/2), 20, 21, 22(1/2), 
25, 26, 27, 28, 29</t>
  </si>
  <si>
    <t>1, 2, 3, 4, 5, 8, 9, 10, 11, 12, 15, 16, 17, 18, 19</t>
  </si>
  <si>
    <t>5, 6, 7, 8, 9, 12(1/2), 13, 14, 15, 16, 20, 21, 23, 24, 26, 27, 28</t>
  </si>
  <si>
    <t>3+, 4(^6), 5(£3), 6+, 10+, 11(^6), 12(£3), 13+, 17+, 18(^6), 19(£3), 20+, 24+, 25(^6), 26(£3), 27+</t>
  </si>
  <si>
    <t>31+, 1(^6), 3+, 7+, 8(^6), 9(£3), 10+, 14+, 17+, 18+, 21+, 22+, 23+, 24+, 25/</t>
  </si>
  <si>
    <t>28,29,1,2</t>
  </si>
  <si>
    <t>5, 6, 7, 8, 9</t>
  </si>
  <si>
    <t>12,13,14,15,16</t>
  </si>
  <si>
    <t>8.5 * 5</t>
  </si>
  <si>
    <t>7.5 * 5</t>
  </si>
  <si>
    <t>8.5 * 4</t>
  </si>
  <si>
    <t>7.5 * 4</t>
  </si>
  <si>
    <t>2017/Month</t>
  </si>
  <si>
    <t>Gross Pay</t>
  </si>
  <si>
    <t>Gross + Bonus</t>
  </si>
  <si>
    <t>Net Pay</t>
  </si>
  <si>
    <t xml:space="preserve">Total Paid </t>
  </si>
  <si>
    <t>Total Missing</t>
  </si>
  <si>
    <t>Gross sum to date (Tax year)</t>
  </si>
  <si>
    <t>3,4,5,6</t>
  </si>
  <si>
    <t>9,10,11,12,13</t>
  </si>
  <si>
    <t>16,17,18,19,20</t>
  </si>
  <si>
    <t>23,24,26,27</t>
  </si>
  <si>
    <t>30,31,2,3</t>
  </si>
  <si>
    <t>6,7,8,9,10</t>
  </si>
  <si>
    <t>20,21,22,23,24,25</t>
  </si>
  <si>
    <t>27,28,1,2,3</t>
  </si>
  <si>
    <t>6,7,8,9,10,11</t>
  </si>
  <si>
    <t>13,14,15,16,17,18</t>
  </si>
  <si>
    <t>20,21,22,23,24</t>
  </si>
  <si>
    <t>28,30,31</t>
  </si>
  <si>
    <t>New tax year</t>
  </si>
  <si>
    <t>3,4,5,6,7,8</t>
  </si>
  <si>
    <t>10,11,12,13,15</t>
  </si>
  <si>
    <t>17,18,19,20,21</t>
  </si>
  <si>
    <t>24,25,26,27,28</t>
  </si>
  <si>
    <t>1,2,3,4,5</t>
  </si>
  <si>
    <t>5,6,7,8,9</t>
  </si>
  <si>
    <t xml:space="preserve">Amount </t>
  </si>
  <si>
    <t xml:space="preserve">monthly </t>
  </si>
  <si>
    <t>Cash LISA - 0.5%</t>
  </si>
  <si>
    <t>M&amp;S - 5% to £250 + £185</t>
  </si>
  <si>
    <t>First D Saver - 5% to £300 + £100cb</t>
  </si>
  <si>
    <t>Oct</t>
  </si>
  <si>
    <t>Nov</t>
  </si>
  <si>
    <t>Dec</t>
  </si>
  <si>
    <t>Jan</t>
  </si>
  <si>
    <t>Feb</t>
  </si>
  <si>
    <t>Mar</t>
  </si>
  <si>
    <t>NTY</t>
  </si>
  <si>
    <t>Apr</t>
  </si>
  <si>
    <t>May</t>
  </si>
  <si>
    <t>Jun</t>
  </si>
  <si>
    <t>Jul</t>
  </si>
  <si>
    <t>Aug</t>
  </si>
  <si>
    <t>Sep</t>
  </si>
  <si>
    <t>Wage</t>
  </si>
  <si>
    <t>Monthly wage</t>
  </si>
  <si>
    <t>Weekly wage</t>
  </si>
  <si>
    <t>UG (9%)</t>
  </si>
  <si>
    <t>PG (6%)</t>
  </si>
  <si>
    <t>Total p/m</t>
  </si>
  <si>
    <t>UG Loan Year</t>
  </si>
  <si>
    <t>Total Repayment Left</t>
  </si>
  <si>
    <t>Loan year 1</t>
  </si>
  <si>
    <t>Loan year 2</t>
  </si>
  <si>
    <t>Loan year 3</t>
  </si>
  <si>
    <t>Loan year 4</t>
  </si>
  <si>
    <t>Loan year 5</t>
  </si>
  <si>
    <t>Loan year 6</t>
  </si>
  <si>
    <t>Loan year 7</t>
  </si>
  <si>
    <t>Loan year 8</t>
  </si>
  <si>
    <t>Loan year 9</t>
  </si>
  <si>
    <t>Loan year 10</t>
  </si>
  <si>
    <t>Loan year 11</t>
  </si>
  <si>
    <t>Loan year 12</t>
  </si>
  <si>
    <t>Loan year 13</t>
  </si>
  <si>
    <t>Loan year 14</t>
  </si>
  <si>
    <t>Loan year 15</t>
  </si>
  <si>
    <t>Loan year 16</t>
  </si>
  <si>
    <t>Loan year 17</t>
  </si>
  <si>
    <t>Loan year 18</t>
  </si>
  <si>
    <t>Loan year 19</t>
  </si>
  <si>
    <t>Loan year 20</t>
  </si>
  <si>
    <t>Loan year 21</t>
  </si>
  <si>
    <t>Loan year 22</t>
  </si>
  <si>
    <t>Loan year 23</t>
  </si>
  <si>
    <t>Loan year 24</t>
  </si>
  <si>
    <t>Loan year 25</t>
  </si>
  <si>
    <t>Loan year 26</t>
  </si>
  <si>
    <t>Loan year 27</t>
  </si>
  <si>
    <t>Loan year 28</t>
  </si>
  <si>
    <t>Loan year 29</t>
  </si>
  <si>
    <t>Loan year 30</t>
  </si>
  <si>
    <t>Loan year 31</t>
  </si>
  <si>
    <t>Loan year 32</t>
  </si>
  <si>
    <t>2018/Month</t>
  </si>
  <si>
    <t>Sick</t>
  </si>
  <si>
    <t>Holidays</t>
  </si>
  <si>
    <t>Pension (1%)</t>
  </si>
  <si>
    <t>S,20,21,22,23</t>
  </si>
  <si>
    <t>26,27,28,29,30</t>
  </si>
  <si>
    <t>3,4,5,6,7</t>
  </si>
  <si>
    <t>10,11,H,H,14</t>
  </si>
  <si>
    <t>31,1,2,3,4</t>
  </si>
  <si>
    <t>7,8,9,10,11</t>
  </si>
  <si>
    <t>14,15,16,17,18</t>
  </si>
  <si>
    <t>H,H,H,H,H</t>
  </si>
  <si>
    <t>28,29,30,31,01</t>
  </si>
  <si>
    <t>Holiday Days</t>
  </si>
  <si>
    <t>Sick Days</t>
  </si>
  <si>
    <t>Pre tax</t>
  </si>
  <si>
    <t>Post tax</t>
  </si>
  <si>
    <t>Weekly</t>
  </si>
  <si>
    <t>Yearly</t>
  </si>
  <si>
    <t>Joint</t>
  </si>
  <si>
    <t>Mortgage/Bills</t>
  </si>
  <si>
    <t>Equity loan</t>
  </si>
  <si>
    <t>Landscape</t>
  </si>
  <si>
    <t>Food/Toiletries/Bunnies</t>
  </si>
  <si>
    <t>Holiday</t>
  </si>
  <si>
    <t>Birthday/Christmas Gifts</t>
  </si>
  <si>
    <t xml:space="preserve">Contingency </t>
  </si>
  <si>
    <t>Broadband/TV</t>
  </si>
  <si>
    <t>Home / Content/ life ins.</t>
  </si>
  <si>
    <t>TV License</t>
  </si>
  <si>
    <t>NowTV</t>
  </si>
  <si>
    <t>Still to come</t>
  </si>
  <si>
    <t>Completion</t>
  </si>
  <si>
    <t>Door</t>
  </si>
  <si>
    <t>In</t>
  </si>
  <si>
    <t>Apple Music</t>
  </si>
  <si>
    <t>Waste disposal</t>
  </si>
  <si>
    <t>Aerial</t>
  </si>
  <si>
    <t>Ins rfd</t>
  </si>
  <si>
    <t>Bathroom</t>
  </si>
  <si>
    <t>Curtains</t>
  </si>
  <si>
    <t>Paul</t>
  </si>
  <si>
    <t>K Car ins.</t>
  </si>
  <si>
    <t>K car petrol</t>
  </si>
  <si>
    <t>K car vtax.</t>
  </si>
  <si>
    <t>K Other</t>
  </si>
  <si>
    <t>Jo</t>
  </si>
  <si>
    <t>Outdoor</t>
  </si>
  <si>
    <t>College</t>
  </si>
  <si>
    <t>Chairs</t>
  </si>
  <si>
    <t>K Phone</t>
  </si>
  <si>
    <t>TV unit</t>
  </si>
  <si>
    <t>Nectar</t>
  </si>
  <si>
    <t>Matt</t>
  </si>
  <si>
    <t>Bedside tables</t>
  </si>
  <si>
    <t>Cshbk</t>
  </si>
  <si>
    <t>M Car ins.</t>
  </si>
  <si>
    <t>Coffee table / console</t>
  </si>
  <si>
    <t xml:space="preserve">M Car Petrol </t>
  </si>
  <si>
    <t>Bonus</t>
  </si>
  <si>
    <t>M Car service</t>
  </si>
  <si>
    <t>M Car v.tax</t>
  </si>
  <si>
    <t>Vacuum</t>
  </si>
  <si>
    <t>Iron</t>
  </si>
  <si>
    <t xml:space="preserve">M Phone </t>
  </si>
  <si>
    <t>Kettle / toaster</t>
  </si>
  <si>
    <t>Out</t>
  </si>
  <si>
    <t>Total costs</t>
  </si>
  <si>
    <t>Plates / Water jug</t>
  </si>
  <si>
    <t>Total joint Income</t>
  </si>
  <si>
    <t>Couch</t>
  </si>
  <si>
    <t>Floors</t>
  </si>
  <si>
    <t>Outdoor set</t>
  </si>
  <si>
    <t>Baskets</t>
  </si>
  <si>
    <t>Bedding</t>
  </si>
  <si>
    <t>Dining table</t>
  </si>
  <si>
    <t>Net total spend</t>
  </si>
  <si>
    <t>Overspend</t>
  </si>
  <si>
    <t>Poodini Fund</t>
  </si>
  <si>
    <t>House Deposit</t>
  </si>
  <si>
    <t>Bupa</t>
  </si>
  <si>
    <t>Car ins.</t>
  </si>
  <si>
    <t>ISA</t>
  </si>
  <si>
    <t>Income Main</t>
  </si>
  <si>
    <t>MoreThan</t>
  </si>
  <si>
    <t>Owed:</t>
  </si>
  <si>
    <t>By:</t>
  </si>
  <si>
    <t>Travel Ins.</t>
  </si>
  <si>
    <t xml:space="preserve">Gadget Ins. </t>
  </si>
  <si>
    <t>Xbox live</t>
  </si>
  <si>
    <t>2017/JUN</t>
  </si>
  <si>
    <t>Horse riding</t>
  </si>
  <si>
    <t>Monthly Debits</t>
  </si>
  <si>
    <t>Gadget Ins.</t>
  </si>
  <si>
    <t>Yearly Debits</t>
  </si>
  <si>
    <t>Car Ins.</t>
  </si>
  <si>
    <t>Bike Ins.</t>
  </si>
  <si>
    <t>Birthdays / Card 2016</t>
  </si>
  <si>
    <t>Choc,glut.free</t>
  </si>
  <si>
    <t>Grandma</t>
  </si>
  <si>
    <t>Cup and saucer</t>
  </si>
  <si>
    <t>/</t>
  </si>
  <si>
    <t>y</t>
  </si>
  <si>
    <t>Cash.</t>
  </si>
  <si>
    <t>Becks and stein</t>
  </si>
  <si>
    <t>Total:</t>
  </si>
  <si>
    <t>Full days</t>
  </si>
  <si>
    <t>Half Days</t>
  </si>
  <si>
    <t>Total Days:</t>
  </si>
  <si>
    <t>Total Wage:</t>
  </si>
  <si>
    <t>Total Substinance:</t>
  </si>
  <si>
    <t>Total repayment:</t>
  </si>
  <si>
    <t>30/03/16 - 06/04/2016</t>
  </si>
  <si>
    <t>07/04/16 - 13/04/2016</t>
  </si>
  <si>
    <t>14/03/16 - 20/04/2016</t>
  </si>
  <si>
    <t>21/03/16 - 27/04/2016</t>
  </si>
  <si>
    <t>Netflix</t>
  </si>
  <si>
    <t>Bike ins.</t>
  </si>
  <si>
    <t>Bike v.tax</t>
  </si>
  <si>
    <t>27/04/16 - 03/05/2016</t>
  </si>
  <si>
    <t>04/05/16 - 10/05/2016</t>
  </si>
  <si>
    <t>11/05/16 - 17/05/2016</t>
  </si>
  <si>
    <t>18/05/16 - 24/05/2016</t>
  </si>
  <si>
    <t>25/05/16 - 31/05/2016</t>
  </si>
  <si>
    <t>01/05/16 - 07/05/2016</t>
  </si>
  <si>
    <t>08/05/16 - 14/05/2016</t>
  </si>
  <si>
    <t>15/05/16 - 21/05/2016</t>
  </si>
  <si>
    <t>22/05/2016 - 28/05/2016</t>
  </si>
  <si>
    <t>Birthdays / Card 2017</t>
  </si>
  <si>
    <t>Auntie Jean</t>
  </si>
  <si>
    <t>Grandad</t>
  </si>
  <si>
    <t>Cointreu</t>
  </si>
  <si>
    <t>Coat,hairdryer,mac case,purse,vamp</t>
  </si>
  <si>
    <t>Christmas Cards</t>
  </si>
  <si>
    <t>Christmas Gifts</t>
  </si>
  <si>
    <t>Mum &amp; Dad</t>
  </si>
  <si>
    <t>Grandma &amp; Grandad</t>
  </si>
  <si>
    <t>D</t>
  </si>
  <si>
    <t>Auntie Julie, Uncle Andrew, Dave</t>
  </si>
  <si>
    <t>G &amp; G</t>
  </si>
  <si>
    <t>Philippa &amp; Tilly</t>
  </si>
  <si>
    <t>A/Julie, U/Andrew</t>
  </si>
  <si>
    <t>Auntie Susan &amp; Uncle Keith</t>
  </si>
  <si>
    <t>Charlotte &amp; Carl</t>
  </si>
  <si>
    <t>Auntie Helen, Uncle Chris, Danny</t>
  </si>
  <si>
    <t>A/Susan, U/Keith</t>
  </si>
  <si>
    <t>Beer?</t>
  </si>
  <si>
    <t>Mark &amp; Jess</t>
  </si>
  <si>
    <t>Auntie Jo, Dan, Harry, Rebecca</t>
  </si>
  <si>
    <t>A/Helen, U/Chris</t>
  </si>
  <si>
    <t>Uncle Andrew &amp; Jamie</t>
  </si>
  <si>
    <t>Rachael, Andrew, Keiran</t>
  </si>
  <si>
    <t>Lee, Kat, Lea, Morgan, Dylan</t>
  </si>
  <si>
    <t>Craig, Alex, Adam, Charlotte</t>
  </si>
  <si>
    <t>Steve, Emma, Ben, Sam, William</t>
  </si>
  <si>
    <t xml:space="preserve">Uncle Andrew </t>
  </si>
  <si>
    <t>Andrew, Thomas, Louise</t>
  </si>
  <si>
    <t>Auntie Jean &amp; Beverley</t>
  </si>
  <si>
    <t>Rachael &amp; Andrew</t>
  </si>
  <si>
    <t>Uncle Mick &amp; Auntie Linda</t>
  </si>
  <si>
    <t>Oksana &amp; Furkan</t>
  </si>
  <si>
    <t>Lee &amp; Kat</t>
  </si>
  <si>
    <t>Mead?</t>
  </si>
  <si>
    <t>Inesa &amp; Glen</t>
  </si>
  <si>
    <t>Lena, Jasmine, Leo</t>
  </si>
  <si>
    <t>Wayne &amp; Family</t>
  </si>
  <si>
    <t>Craig &amp; Alex</t>
  </si>
  <si>
    <t>Kay, Marmite, Pickles, Herbert, Harris</t>
  </si>
  <si>
    <t>Jordan,emmamoscar</t>
  </si>
  <si>
    <t>Rob,sarah</t>
  </si>
  <si>
    <t>Steve, Emma</t>
  </si>
  <si>
    <t>Wine</t>
  </si>
  <si>
    <t>All</t>
  </si>
  <si>
    <t>Michelle</t>
  </si>
  <si>
    <t>Joshua</t>
  </si>
  <si>
    <t>Bag,purse</t>
  </si>
  <si>
    <t>lion, beauty and beast dvd,jewelerybox</t>
  </si>
  <si>
    <t>weekend break</t>
  </si>
  <si>
    <t>Biscuits,Hot water bottle</t>
  </si>
  <si>
    <t>GF Hamper,Biscuits?</t>
  </si>
  <si>
    <t>Door mat</t>
  </si>
  <si>
    <t>Robin pot, beer</t>
  </si>
  <si>
    <t>Baileys, wine</t>
  </si>
  <si>
    <t>Kath kidson mug</t>
  </si>
  <si>
    <t>Chocolate</t>
  </si>
  <si>
    <t>GF Hamper</t>
  </si>
  <si>
    <t>Biscuits? Alcohol?</t>
  </si>
  <si>
    <t>Bee stuff? Mead? Bottles</t>
  </si>
  <si>
    <t>cocktails and shaker</t>
  </si>
  <si>
    <t>Biscuit tin, beer, wine</t>
  </si>
  <si>
    <t>Singing bowl</t>
  </si>
  <si>
    <t>teapot, White company?</t>
  </si>
  <si>
    <t>Shirt? Running shorts?</t>
  </si>
  <si>
    <t>Wood carving tools</t>
  </si>
  <si>
    <t>Warm blanket</t>
  </si>
  <si>
    <t>toys</t>
  </si>
  <si>
    <t>prosecco</t>
  </si>
  <si>
    <t>Nail lamp,biscuits</t>
  </si>
  <si>
    <t>whiskey</t>
  </si>
  <si>
    <t>fryer, bath bomb</t>
  </si>
  <si>
    <t>4 ton ramps?</t>
  </si>
  <si>
    <t>Blanket, shortbread, scarf</t>
  </si>
  <si>
    <t xml:space="preserve">Philippa </t>
  </si>
  <si>
    <t>Tea set, whittards</t>
  </si>
  <si>
    <t>Poppy bag/beer</t>
  </si>
  <si>
    <t>Vodka/Wine?</t>
  </si>
  <si>
    <t>Owl things</t>
  </si>
  <si>
    <t>Gluten free hamper</t>
  </si>
  <si>
    <t>Susan, Jacob, Jasmine, Isaacc</t>
  </si>
  <si>
    <t>Biscuits, candle</t>
  </si>
  <si>
    <t>Debenhams hamper</t>
  </si>
  <si>
    <t>Homemade hamper</t>
  </si>
  <si>
    <t>Kay, Marmite, Pickles</t>
  </si>
  <si>
    <t>Wine?</t>
  </si>
  <si>
    <t>Meditation balls</t>
  </si>
  <si>
    <t>Slippers?</t>
  </si>
  <si>
    <t>Goldigga bag and links</t>
  </si>
  <si>
    <t>Glass Kettle</t>
  </si>
  <si>
    <t>Board game</t>
  </si>
  <si>
    <t>Batman bottle opener</t>
  </si>
  <si>
    <t>Smyths gift card,knife</t>
  </si>
  <si>
    <t>Purple leaf bowl</t>
  </si>
  <si>
    <t>Costa, bailies</t>
  </si>
  <si>
    <t>Whiskey</t>
  </si>
  <si>
    <t>SEP-OCT 2016</t>
  </si>
  <si>
    <t>OCT-NOV 2016</t>
  </si>
  <si>
    <t>NOV-DEC 2016</t>
  </si>
  <si>
    <t>DEC-JAN 2016</t>
  </si>
  <si>
    <t>Pay after delivery:</t>
  </si>
  <si>
    <t>Item</t>
  </si>
  <si>
    <t>Purchase date</t>
  </si>
  <si>
    <t>Payment date</t>
  </si>
  <si>
    <t>Price</t>
  </si>
  <si>
    <t>Crash 2</t>
  </si>
  <si>
    <t>Crash 3</t>
  </si>
  <si>
    <t>Bed</t>
  </si>
  <si>
    <t>Bag</t>
  </si>
  <si>
    <t>Whsmith</t>
  </si>
  <si>
    <t>Bunnies</t>
  </si>
  <si>
    <t>Vehicles</t>
  </si>
  <si>
    <t>Car Ins. / tax</t>
  </si>
  <si>
    <t>Car Service</t>
  </si>
  <si>
    <t>Bike Ins. / tax</t>
  </si>
  <si>
    <t>Bike service</t>
  </si>
  <si>
    <t>56.99 + 15.75 pay aft. Del.</t>
  </si>
  <si>
    <t>20.99 ebay fees</t>
  </si>
  <si>
    <t>2017/SEP</t>
  </si>
  <si>
    <t>Food/Bunnies/Toiletries</t>
  </si>
  <si>
    <t>Gadget ins</t>
  </si>
  <si>
    <t>Ring (4th)</t>
  </si>
  <si>
    <t>Phone  (21st)</t>
  </si>
  <si>
    <t>Sky Movies (18th)</t>
  </si>
  <si>
    <t>Onedrive (6th)</t>
  </si>
  <si>
    <t>Gadget ins (4th)</t>
  </si>
  <si>
    <t>Gym (22nd)</t>
  </si>
  <si>
    <t>Gym (21st)</t>
  </si>
  <si>
    <t>M Phone  (21st)</t>
  </si>
  <si>
    <t>Sky Movies (14th)</t>
  </si>
  <si>
    <t>Gym (15th)</t>
  </si>
  <si>
    <t>Music</t>
  </si>
  <si>
    <t>Contingency</t>
  </si>
  <si>
    <t>HTB</t>
  </si>
  <si>
    <t>K Lashes</t>
  </si>
  <si>
    <t>K Gym</t>
  </si>
  <si>
    <t>House Outgoings</t>
  </si>
  <si>
    <t>Mortgage</t>
  </si>
  <si>
    <t>Council tax</t>
  </si>
  <si>
    <t>Water</t>
  </si>
  <si>
    <t>Electricity</t>
  </si>
  <si>
    <t>Gas</t>
  </si>
  <si>
    <t>Insurance</t>
  </si>
  <si>
    <t>Tech</t>
  </si>
  <si>
    <t>Broadband / TV</t>
  </si>
  <si>
    <t>Matt Phone  (21st)</t>
  </si>
  <si>
    <t>Health</t>
  </si>
  <si>
    <t>Landscaping</t>
  </si>
  <si>
    <t>Car</t>
  </si>
  <si>
    <t>167.5 Petrol Money</t>
  </si>
  <si>
    <t>K</t>
  </si>
  <si>
    <t>K stuff</t>
  </si>
  <si>
    <t>=</t>
  </si>
  <si>
    <t>The Range</t>
  </si>
  <si>
    <t>Refunds</t>
  </si>
  <si>
    <t>To sell:</t>
  </si>
  <si>
    <t>List Price</t>
  </si>
  <si>
    <t>Profit</t>
  </si>
  <si>
    <t>Sale Price</t>
  </si>
  <si>
    <t>Back into door fund</t>
  </si>
  <si>
    <t>FR</t>
  </si>
  <si>
    <t>Back into CTX pot</t>
  </si>
  <si>
    <t>PGX</t>
  </si>
  <si>
    <t>Still to add to CTX pot</t>
  </si>
  <si>
    <t>Swicthes</t>
  </si>
  <si>
    <t>Still to add to door</t>
  </si>
  <si>
    <t>ESP</t>
  </si>
  <si>
    <t>Blue</t>
  </si>
  <si>
    <t>Zoom</t>
  </si>
  <si>
    <t>EVT</t>
  </si>
  <si>
    <t>Korg</t>
  </si>
  <si>
    <t>PNDA</t>
  </si>
  <si>
    <t>Palmer</t>
  </si>
  <si>
    <t>C02</t>
  </si>
  <si>
    <t>Shared</t>
  </si>
  <si>
    <t>Fun</t>
  </si>
  <si>
    <t>Utilities</t>
  </si>
  <si>
    <t>Taken from:</t>
  </si>
  <si>
    <t>(Christmas tree + bits)</t>
  </si>
  <si>
    <t>Gift fund</t>
  </si>
  <si>
    <t>(Eon)</t>
  </si>
  <si>
    <t>Utility fund</t>
  </si>
  <si>
    <t>Returning from:</t>
  </si>
  <si>
    <t>Extra</t>
  </si>
  <si>
    <t>Holiday Fund:</t>
  </si>
  <si>
    <t>(Sale of Pigtronix)</t>
  </si>
  <si>
    <t>Gift fund:</t>
  </si>
  <si>
    <t>(Current account switch)</t>
  </si>
  <si>
    <t>Extras:</t>
  </si>
  <si>
    <t>Team Leader:</t>
  </si>
  <si>
    <t>College:</t>
  </si>
  <si>
    <t>Cnt</t>
  </si>
  <si>
    <t>Current</t>
  </si>
  <si>
    <t>Less door</t>
  </si>
  <si>
    <t>Available</t>
  </si>
  <si>
    <t>Less Lights</t>
  </si>
  <si>
    <t>Audible</t>
  </si>
  <si>
    <t>From Kris:</t>
  </si>
  <si>
    <t>Missing:</t>
  </si>
  <si>
    <t>Notes:</t>
  </si>
  <si>
    <t>350 moved from hol to gift, returned in Dec</t>
  </si>
  <si>
    <t>250 from leaving bonus to go into hol</t>
  </si>
  <si>
    <t>xbox live</t>
  </si>
  <si>
    <t>Kindle</t>
  </si>
  <si>
    <t>Xbox</t>
  </si>
  <si>
    <t>Credit Card</t>
  </si>
  <si>
    <t>Planned</t>
  </si>
  <si>
    <t>2wks Petrol + food</t>
  </si>
  <si>
    <t>NGTV</t>
  </si>
  <si>
    <t>M - Finance</t>
  </si>
  <si>
    <t>M -Tax</t>
  </si>
  <si>
    <t>M - Service</t>
  </si>
  <si>
    <t>M - Insurance</t>
  </si>
  <si>
    <t>K - Finance</t>
  </si>
  <si>
    <t>K - Tax</t>
  </si>
  <si>
    <t>K - Service</t>
  </si>
  <si>
    <t>K - Insurance</t>
  </si>
  <si>
    <t>MOT's</t>
  </si>
  <si>
    <t>Credit Card In</t>
  </si>
  <si>
    <t>Credit Card Out</t>
  </si>
  <si>
    <t>Pending</t>
  </si>
  <si>
    <t>To credit card</t>
  </si>
  <si>
    <t>Reason</t>
  </si>
  <si>
    <t>From</t>
  </si>
  <si>
    <t>Amzn</t>
  </si>
  <si>
    <t>Fun budgets</t>
  </si>
  <si>
    <t>KPI</t>
  </si>
  <si>
    <t>Ebay</t>
  </si>
  <si>
    <t>40-64-12</t>
  </si>
  <si>
    <t>PT</t>
  </si>
  <si>
    <t>Mortgage (15th)</t>
  </si>
  <si>
    <t>The Range (24th)</t>
  </si>
  <si>
    <t>Cars</t>
  </si>
  <si>
    <t>M -Tax (1st)</t>
  </si>
  <si>
    <t>K - Tax (1st)</t>
  </si>
  <si>
    <t>Holiday shopping - New Look</t>
  </si>
  <si>
    <t>Holiday shopping - H&amp;M</t>
  </si>
  <si>
    <t>Jeans - H&amp;M</t>
  </si>
  <si>
    <t>Holiday shopping - Debenhams</t>
  </si>
  <si>
    <t>Holiday shopping - NL</t>
  </si>
  <si>
    <t>Holiday shopping - Primark</t>
  </si>
  <si>
    <t>Dragon</t>
  </si>
  <si>
    <t>RFD - Primark</t>
  </si>
  <si>
    <t>Gift</t>
  </si>
  <si>
    <t>Petrol</t>
  </si>
  <si>
    <t>s</t>
  </si>
  <si>
    <t>Leeds</t>
  </si>
  <si>
    <t>Sainsburys</t>
  </si>
  <si>
    <t>Plants</t>
  </si>
  <si>
    <t>Wyke</t>
  </si>
  <si>
    <t>Keelhams</t>
  </si>
  <si>
    <t>Bills / fun</t>
  </si>
  <si>
    <t>To Dad</t>
  </si>
  <si>
    <t>Cont</t>
  </si>
  <si>
    <t>Hols</t>
  </si>
  <si>
    <t>to pay</t>
  </si>
  <si>
    <t>200 from car</t>
  </si>
  <si>
    <t>Nationwide</t>
  </si>
  <si>
    <t>Pending out Main</t>
  </si>
  <si>
    <t>Pending out CC</t>
  </si>
  <si>
    <t>Matt fun</t>
  </si>
  <si>
    <t>Cars (svc,MOT)</t>
  </si>
  <si>
    <t>Bills</t>
  </si>
  <si>
    <t>Cars (MOT,SVC)</t>
  </si>
  <si>
    <t>Car Lessons</t>
  </si>
  <si>
    <t>Car lessons</t>
  </si>
  <si>
    <t>Expenses</t>
  </si>
  <si>
    <t>Home stuff</t>
  </si>
  <si>
    <t>GROSS</t>
  </si>
  <si>
    <t>Total CC</t>
  </si>
  <si>
    <t>NET</t>
  </si>
  <si>
    <t>Council tax (15th)</t>
  </si>
  <si>
    <t>15.99 Gym Pending</t>
  </si>
  <si>
    <t>Utilities (G,W,E,TV) (1st)</t>
  </si>
  <si>
    <t>Loan (18th)</t>
  </si>
  <si>
    <t>Broadband / TV (15th)</t>
  </si>
  <si>
    <t>Sky Movies (28th)</t>
  </si>
  <si>
    <t>Onedrive (3rd)</t>
  </si>
  <si>
    <t>Music (14th)</t>
  </si>
  <si>
    <t>Matt Phone  (1st)</t>
  </si>
  <si>
    <t>M - Insurance (1st)</t>
  </si>
  <si>
    <t>K - Finance (1st)</t>
  </si>
  <si>
    <t>Savings Ops - 5% up to 300pm</t>
  </si>
  <si>
    <t>Savings Ops - 3% up to 2.5k</t>
  </si>
  <si>
    <t>Cashback Ops</t>
  </si>
  <si>
    <t>Fun + shared</t>
  </si>
  <si>
    <t>Totals</t>
  </si>
  <si>
    <t>Yearly total</t>
  </si>
  <si>
    <t>DD Changed to new acc</t>
  </si>
  <si>
    <t>DD Changed to new email</t>
  </si>
  <si>
    <t>DD Changed to 15th</t>
  </si>
  <si>
    <t>Need to call dvla for email change</t>
  </si>
  <si>
    <t>Tv license</t>
  </si>
  <si>
    <t>Tv</t>
  </si>
  <si>
    <t>Bulb</t>
  </si>
  <si>
    <t>BT</t>
  </si>
  <si>
    <t>Esure</t>
  </si>
  <si>
    <t>YourPlan</t>
  </si>
  <si>
    <t>Tesco (From 15th Jul)</t>
  </si>
  <si>
    <t>THE KEY TO LIFE IS BALANCE</t>
  </si>
  <si>
    <t>June</t>
  </si>
  <si>
    <t>July</t>
  </si>
  <si>
    <t>Main Out</t>
  </si>
  <si>
    <t>Credit Card Plan</t>
  </si>
  <si>
    <t>Gift Budget</t>
  </si>
  <si>
    <t>Headphones</t>
  </si>
  <si>
    <t>PT / Health</t>
  </si>
  <si>
    <t>Health+Fitness</t>
  </si>
  <si>
    <t>Guitar</t>
  </si>
  <si>
    <t>Overtime</t>
  </si>
  <si>
    <t>Loan</t>
  </si>
  <si>
    <t>Cars (MOT)</t>
  </si>
  <si>
    <t>Returned</t>
  </si>
  <si>
    <t>Blinds</t>
  </si>
  <si>
    <t>Home</t>
  </si>
  <si>
    <t>Hutch</t>
  </si>
  <si>
    <t>Sheds + mirrors + shelf (wayfair)</t>
  </si>
  <si>
    <t>WC: 20/06</t>
  </si>
  <si>
    <t>Gross CC</t>
  </si>
  <si>
    <t>Shopping</t>
  </si>
  <si>
    <t>Outstanding currys</t>
  </si>
  <si>
    <t>McDonalds</t>
  </si>
  <si>
    <t>P@H</t>
  </si>
  <si>
    <t>Subscriptions</t>
  </si>
  <si>
    <t>Zara</t>
  </si>
  <si>
    <t>Credit card</t>
  </si>
  <si>
    <t>Paid</t>
  </si>
  <si>
    <t>Utilities (G,W,E,TV)</t>
  </si>
  <si>
    <t>WC: 19/07</t>
  </si>
  <si>
    <t>Loans</t>
  </si>
  <si>
    <t>Matt Phone</t>
  </si>
  <si>
    <t>Lessons</t>
  </si>
  <si>
    <t>They have a plan for landing.</t>
  </si>
  <si>
    <t>peppermint </t>
  </si>
  <si>
    <t>“And emotionally, the loss of routine and intimacy with family can cause emotional disconnect, isolation and conflict,” she told TODAY. Bearce has seen all these stressors occur with partners and families in her research, and Pelicci said that it happens with singles and their friends and loved ones, too.</t>
  </si>
  <si>
    <t>“I’ve gotten good at both asking for help and saying no,” said Bearce, who needs help with her two young children while she runs her counseling practice.</t>
  </si>
  <si>
    <t>Barcelona</t>
  </si>
  <si>
    <t>Majorca</t>
  </si>
  <si>
    <t>Cuba</t>
  </si>
  <si>
    <t>Bali</t>
  </si>
  <si>
    <t>Week 1</t>
  </si>
  <si>
    <t>Week 2</t>
  </si>
  <si>
    <t>Week 3</t>
  </si>
  <si>
    <t>Week 4</t>
  </si>
  <si>
    <t>Credit Card Paid</t>
  </si>
  <si>
    <t>Negative</t>
  </si>
  <si>
    <t>Expenses - 50</t>
  </si>
  <si>
    <t>Car Petrol / commuting</t>
  </si>
  <si>
    <t>Food/Bun</t>
  </si>
  <si>
    <t>Loans (HTB)</t>
  </si>
  <si>
    <t>Savings - 20</t>
  </si>
  <si>
    <t>Contingency 15%</t>
  </si>
  <si>
    <t>Holiday Fund 65%</t>
  </si>
  <si>
    <t>Gift Fund 20%</t>
  </si>
  <si>
    <t>Wedding</t>
  </si>
  <si>
    <t>Driving Lessons</t>
  </si>
  <si>
    <t>CC</t>
  </si>
  <si>
    <t>Shared 10%</t>
  </si>
  <si>
    <t>Fun (each)</t>
  </si>
  <si>
    <t>Income:</t>
  </si>
  <si>
    <t>Holiday Plan</t>
  </si>
  <si>
    <t>Remortgagte Notes</t>
  </si>
  <si>
    <t>OG Value</t>
  </si>
  <si>
    <t>75% mortgage</t>
  </si>
  <si>
    <t>%20 Equity Loan</t>
  </si>
  <si>
    <t>5% Deposit</t>
  </si>
  <si>
    <t>Sep 20th</t>
  </si>
  <si>
    <t>%75 Mortgage</t>
  </si>
  <si>
    <t>Payments (3%, 35 year term)</t>
  </si>
  <si>
    <t>Total paid off in 5y</t>
  </si>
  <si>
    <t>Interest paid in 5y</t>
  </si>
  <si>
    <t>Value increase</t>
  </si>
  <si>
    <t>New value</t>
  </si>
  <si>
    <t>New loan value</t>
  </si>
  <si>
    <t>Mortgage remain</t>
  </si>
  <si>
    <t>New Mortgage</t>
  </si>
  <si>
    <t>Min payment</t>
  </si>
  <si>
    <t>HFX</t>
  </si>
  <si>
    <t>AMX</t>
  </si>
  <si>
    <t>4th Sep - £59</t>
  </si>
  <si>
    <t>Pay</t>
  </si>
  <si>
    <t>#</t>
  </si>
  <si>
    <t>Rate</t>
  </si>
  <si>
    <t>Type</t>
  </si>
  <si>
    <t>Payment</t>
  </si>
  <si>
    <t>Paid to date</t>
  </si>
  <si>
    <t>Interest charged to date</t>
  </si>
  <si>
    <t>Principal repaid</t>
  </si>
  <si>
    <t>Remaining principal</t>
  </si>
  <si>
    <t>FIXED</t>
  </si>
  <si>
    <t>Overpayment</t>
  </si>
  <si>
    <t>10% of outstanding balance per year</t>
  </si>
  <si>
    <t>Monthly Amount</t>
  </si>
  <si>
    <t>Jar</t>
  </si>
  <si>
    <t>Avg $4 per gal</t>
  </si>
  <si>
    <t>Photographer</t>
  </si>
  <si>
    <t>Avg 20mpg</t>
  </si>
  <si>
    <t>Officiant</t>
  </si>
  <si>
    <t>Avg 50mpd</t>
  </si>
  <si>
    <t>Hotel</t>
  </si>
  <si>
    <t>Dress</t>
  </si>
  <si>
    <t>Latvia</t>
  </si>
  <si>
    <t>Plane tickets</t>
  </si>
  <si>
    <t>Matt Ring</t>
  </si>
  <si>
    <t>Covid tests</t>
  </si>
  <si>
    <t>London hotel</t>
  </si>
  <si>
    <t>Parking</t>
  </si>
  <si>
    <t>Normal</t>
  </si>
  <si>
    <t>March</t>
  </si>
  <si>
    <t>London</t>
  </si>
  <si>
    <t>Purchase</t>
  </si>
  <si>
    <t>Scotland</t>
  </si>
  <si>
    <t>Current Value</t>
  </si>
  <si>
    <t>Hawaii</t>
  </si>
  <si>
    <t>Equity</t>
  </si>
  <si>
    <t>Maldives</t>
  </si>
  <si>
    <t>Re-mortgage</t>
  </si>
  <si>
    <t>Area</t>
  </si>
  <si>
    <t>Living room</t>
  </si>
  <si>
    <t>Xbox + acc</t>
  </si>
  <si>
    <t>Vacuums</t>
  </si>
  <si>
    <t>Table</t>
  </si>
  <si>
    <t>Sideboard</t>
  </si>
  <si>
    <t>Garden</t>
  </si>
  <si>
    <t>Tables</t>
  </si>
  <si>
    <t>Tools</t>
  </si>
  <si>
    <t>Bikes</t>
  </si>
  <si>
    <t>Pots</t>
  </si>
  <si>
    <t>Week 5</t>
  </si>
  <si>
    <t>AMEX</t>
  </si>
  <si>
    <t>HFAX</t>
  </si>
  <si>
    <t>Halifax</t>
  </si>
  <si>
    <t>Outstanding</t>
  </si>
  <si>
    <t>Speed awareness</t>
  </si>
  <si>
    <t>Total Expenses Remaining</t>
  </si>
  <si>
    <t>Air purifier</t>
  </si>
  <si>
    <t>Insurances</t>
  </si>
  <si>
    <t>Total Savings Remaining</t>
  </si>
  <si>
    <t>Contingency 20%</t>
  </si>
  <si>
    <t>Holiday Fund 60%</t>
  </si>
  <si>
    <t>Other - 30</t>
  </si>
  <si>
    <t>Total Fun Remaining</t>
  </si>
  <si>
    <t>Fun Matt</t>
  </si>
  <si>
    <t>Credit Plan</t>
  </si>
  <si>
    <t>Total paid off in 12m</t>
  </si>
  <si>
    <t>Interest paid in 12m</t>
  </si>
  <si>
    <t>Unknown</t>
  </si>
  <si>
    <t>Now</t>
  </si>
  <si>
    <t>Oct-nov</t>
  </si>
  <si>
    <t>Nov-dec</t>
  </si>
  <si>
    <t>House + equity</t>
  </si>
  <si>
    <t>90% LTV</t>
  </si>
  <si>
    <t>Plan</t>
  </si>
  <si>
    <t>Remortgage to pay off equity loan, any fees, audi, and extra money to finish buying things for the house</t>
  </si>
  <si>
    <t>I feel like the more money we got, the more reckless we became</t>
  </si>
  <si>
    <t>Audi</t>
  </si>
  <si>
    <t>Gas + Electric</t>
  </si>
  <si>
    <t>HTB Admin</t>
  </si>
  <si>
    <t>Life</t>
  </si>
  <si>
    <t>Bunny</t>
  </si>
  <si>
    <t>hotel</t>
  </si>
  <si>
    <t>Bun</t>
  </si>
  <si>
    <t>Finance</t>
  </si>
  <si>
    <t>Matt CC Extras</t>
  </si>
  <si>
    <t>Matt Fun</t>
  </si>
  <si>
    <t>Insurance cash</t>
  </si>
  <si>
    <t>Casback</t>
  </si>
  <si>
    <t>Months</t>
  </si>
  <si>
    <t>Without Overpayment</t>
  </si>
  <si>
    <t>With Overpayment</t>
  </si>
  <si>
    <t>Year</t>
  </si>
  <si>
    <t>Without</t>
  </si>
  <si>
    <t>With (+150)</t>
  </si>
  <si>
    <t>RAV4</t>
  </si>
  <si>
    <t>V40 Cross</t>
  </si>
  <si>
    <t>V40 Standard</t>
  </si>
  <si>
    <t>Quashqi</t>
  </si>
  <si>
    <t>Tax</t>
  </si>
  <si>
    <t>5 day commute</t>
  </si>
  <si>
    <t>With (+200)</t>
  </si>
  <si>
    <t>4 day commute</t>
  </si>
  <si>
    <t>Fun fuel</t>
  </si>
  <si>
    <t>5 day</t>
  </si>
  <si>
    <t>4 day</t>
  </si>
  <si>
    <t>With (+500)</t>
  </si>
  <si>
    <t>Car wash</t>
  </si>
  <si>
    <t>Windows</t>
  </si>
  <si>
    <t>Christmas Décor</t>
  </si>
  <si>
    <t>Kris stuff</t>
  </si>
  <si>
    <t>UG/2.4</t>
  </si>
  <si>
    <t>PG/5.4</t>
  </si>
  <si>
    <t>UG</t>
  </si>
  <si>
    <t>PG</t>
  </si>
  <si>
    <t>Outstanding:</t>
  </si>
  <si>
    <t>https://www.student-loan-calculator.co.uk/</t>
  </si>
  <si>
    <t>Cars (Service / MOT) £45</t>
  </si>
  <si>
    <t>Haircut</t>
  </si>
  <si>
    <t>Pending out</t>
  </si>
  <si>
    <t>Pending in</t>
  </si>
  <si>
    <t>DD hold</t>
  </si>
  <si>
    <t>amzon (AMX)</t>
  </si>
  <si>
    <t>Miss selfridge refund (Joint)</t>
  </si>
  <si>
    <t>gym reimburse (hsbc)</t>
  </si>
  <si>
    <t>Shirt RFD</t>
  </si>
  <si>
    <t>AMX Cashback</t>
  </si>
  <si>
    <t>BONUS Y1</t>
  </si>
  <si>
    <t>BONUS Y2</t>
  </si>
  <si>
    <t>YTD</t>
  </si>
  <si>
    <t>To Sell</t>
  </si>
  <si>
    <t>Canon</t>
  </si>
  <si>
    <t>Samson</t>
  </si>
  <si>
    <t>Nintendo</t>
  </si>
  <si>
    <t>Fossil</t>
  </si>
  <si>
    <t>Phone</t>
  </si>
  <si>
    <t>Climbing</t>
  </si>
  <si>
    <t>CC to PAY</t>
  </si>
  <si>
    <t>Bank</t>
  </si>
  <si>
    <t>Joining</t>
  </si>
  <si>
    <t>Pay rise</t>
  </si>
  <si>
    <t>Camera</t>
  </si>
  <si>
    <t>Cashback</t>
  </si>
  <si>
    <t>New gate lock</t>
  </si>
  <si>
    <t>Better lock for shed</t>
  </si>
  <si>
    <t>Back stairs</t>
  </si>
  <si>
    <t>Back fence</t>
  </si>
  <si>
    <t>Blinds for downstairs</t>
  </si>
  <si>
    <t>Garden stuff</t>
  </si>
  <si>
    <t>Car Tax / Insurance</t>
  </si>
  <si>
    <t>PAID</t>
  </si>
  <si>
    <t>Banks updated:</t>
  </si>
  <si>
    <t>694.82, no pending</t>
  </si>
  <si>
    <t>AMEX updated:</t>
  </si>
  <si>
    <t>AMZ RFS</t>
  </si>
  <si>
    <t>NW Updated:</t>
  </si>
  <si>
    <t>AMEX Updated:</t>
  </si>
  <si>
    <t>Variance:</t>
  </si>
  <si>
    <t>CC total</t>
  </si>
  <si>
    <t>Total out</t>
  </si>
  <si>
    <t>Home Insurance</t>
  </si>
  <si>
    <t>Other insurances</t>
  </si>
  <si>
    <t>Cars (Service / MOT)</t>
  </si>
  <si>
    <t>Mortgage Overpayment</t>
  </si>
  <si>
    <t>Finance Overpayment</t>
  </si>
  <si>
    <t>CC Overpayment</t>
  </si>
  <si>
    <t>Utilities (G,W,E,HTB)</t>
  </si>
  <si>
    <t>Other Insurances</t>
  </si>
  <si>
    <t>YORKSHIRE WATER</t>
  </si>
  <si>
    <t>Silsden</t>
  </si>
  <si>
    <t>Book</t>
  </si>
  <si>
    <t>Costa</t>
  </si>
  <si>
    <t>Fuel</t>
  </si>
  <si>
    <t>Asda</t>
  </si>
  <si>
    <t>Doms</t>
  </si>
  <si>
    <t>BBs</t>
  </si>
  <si>
    <t>Brid fuel</t>
  </si>
  <si>
    <t>Sports</t>
  </si>
  <si>
    <t>MF</t>
  </si>
  <si>
    <t>Tesco</t>
  </si>
  <si>
    <t>Pets</t>
  </si>
  <si>
    <t>BN</t>
  </si>
  <si>
    <t>Hot tub</t>
  </si>
  <si>
    <t>HL</t>
  </si>
  <si>
    <t>Aldi</t>
  </si>
  <si>
    <t>FD</t>
  </si>
  <si>
    <t>SVC</t>
  </si>
  <si>
    <t>Il Forno</t>
  </si>
  <si>
    <t>Amzn Oil</t>
  </si>
  <si>
    <t>Work Expenses</t>
  </si>
  <si>
    <t>Bank cred +539.53</t>
  </si>
  <si>
    <t>aldi 36.63</t>
  </si>
  <si>
    <t>BULB 75</t>
  </si>
  <si>
    <t>MCD</t>
  </si>
  <si>
    <t>Latvia Surgery</t>
  </si>
  <si>
    <t>Latvia Hotel</t>
  </si>
  <si>
    <t>Now TV</t>
  </si>
  <si>
    <t>Sains 8.3</t>
  </si>
  <si>
    <t>Kuhne 7.8</t>
  </si>
  <si>
    <t>Tesco 4.45</t>
  </si>
  <si>
    <t>Eye Surgery</t>
  </si>
  <si>
    <t>Mango</t>
  </si>
  <si>
    <t>BT 49.8</t>
  </si>
  <si>
    <t>Planned savings</t>
  </si>
  <si>
    <t>Paypal 7.95</t>
  </si>
  <si>
    <t>Lower gas + elec (MAR)</t>
  </si>
  <si>
    <t>Broadband (APR)</t>
  </si>
  <si>
    <t>Loan pay off (APR)</t>
  </si>
  <si>
    <t>Toolstation</t>
  </si>
  <si>
    <t>Tesco 111</t>
  </si>
  <si>
    <t>Bun + Mango / Luna</t>
  </si>
  <si>
    <t>Luna (ex-mango) Setup</t>
  </si>
  <si>
    <t>Bank cred Kris</t>
  </si>
  <si>
    <t>AMZ 1.19</t>
  </si>
  <si>
    <t>3.5 marsh top</t>
  </si>
  <si>
    <t>20 MFG Hare + Hounds</t>
  </si>
  <si>
    <t>Loan pay off (MAY)</t>
  </si>
  <si>
    <t>Prawn toast</t>
  </si>
  <si>
    <t>S&amp;P king prawn</t>
  </si>
  <si>
    <t>Pet Food + Treats</t>
  </si>
  <si>
    <t>Pet Health / Insurance</t>
  </si>
  <si>
    <t>Life / Income Insurance</t>
  </si>
  <si>
    <t>MTG</t>
  </si>
  <si>
    <t>48.5 aldi</t>
  </si>
  <si>
    <t>msg + facial</t>
  </si>
  <si>
    <t>eat out (mv to add 20)</t>
  </si>
  <si>
    <t>formby</t>
  </si>
  <si>
    <t>22.5 Asda</t>
  </si>
  <si>
    <t>Mcdonalds</t>
  </si>
  <si>
    <t>NW minus pending</t>
  </si>
  <si>
    <t>Net increase</t>
  </si>
  <si>
    <t>Beeper</t>
  </si>
  <si>
    <t>Each</t>
  </si>
  <si>
    <t>Sewerby</t>
  </si>
  <si>
    <t>Amz</t>
  </si>
  <si>
    <t xml:space="preserve">40 bunny hotel coming from Karl referal </t>
  </si>
  <si>
    <t>ATM</t>
  </si>
  <si>
    <t>Morrisons</t>
  </si>
  <si>
    <t>Dyst + expenses</t>
  </si>
  <si>
    <t>Coop</t>
  </si>
  <si>
    <t>Oct OT</t>
  </si>
  <si>
    <t>Nov OT</t>
  </si>
  <si>
    <t>Oct Bonus</t>
  </si>
  <si>
    <t>Creamy</t>
  </si>
  <si>
    <t>Bfd theatre</t>
  </si>
  <si>
    <t>savings</t>
  </si>
  <si>
    <t>shell</t>
  </si>
  <si>
    <t>petrol</t>
  </si>
  <si>
    <t>luna</t>
  </si>
  <si>
    <t>food</t>
  </si>
  <si>
    <t>fun</t>
  </si>
  <si>
    <t>Leeming bros</t>
  </si>
  <si>
    <t>Lidl</t>
  </si>
  <si>
    <t>Luna raw diet</t>
  </si>
  <si>
    <t>Daily</t>
  </si>
  <si>
    <t>Remaining jan</t>
  </si>
  <si>
    <t>Avg month</t>
  </si>
  <si>
    <t>Packs per day</t>
  </si>
  <si>
    <t>Cost of pack</t>
  </si>
  <si>
    <t>Buy 4 packs a time, to last 3 days</t>
  </si>
  <si>
    <t>Energy increase</t>
  </si>
  <si>
    <t>sue wood</t>
  </si>
  <si>
    <t>913.83 Extra tax to be drip-fed back (hopefully)</t>
  </si>
  <si>
    <t>coop</t>
  </si>
  <si>
    <t>White rose sainsburys (put 40 cash in jar)</t>
  </si>
  <si>
    <t>Petrol / fun</t>
  </si>
  <si>
    <t>Food budget</t>
  </si>
  <si>
    <t>bnk cred</t>
  </si>
  <si>
    <t>"+50"</t>
  </si>
  <si>
    <t>aldi</t>
  </si>
  <si>
    <t>No tax refund</t>
  </si>
  <si>
    <t>"-650"</t>
  </si>
  <si>
    <t>Short</t>
  </si>
  <si>
    <t>No bunny hotel</t>
  </si>
  <si>
    <t>Book london hotel</t>
  </si>
  <si>
    <t>150 council tax rebate</t>
  </si>
  <si>
    <t>Book london car park</t>
  </si>
  <si>
    <t>65 expenses</t>
  </si>
  <si>
    <t>Book Hawaii car</t>
  </si>
  <si>
    <t>Book Luna with Su</t>
  </si>
  <si>
    <t>https://www.moneysavingexpert.com/latesttip/?anchor=virgin#virgin</t>
  </si>
  <si>
    <t>Pup care</t>
  </si>
  <si>
    <t>Council + 3%</t>
  </si>
  <si>
    <t>Energy +50%</t>
  </si>
  <si>
    <t>Debt</t>
  </si>
  <si>
    <t>Internet / phone + 5-9%</t>
  </si>
  <si>
    <t>Extra bills</t>
  </si>
  <si>
    <t>Bank switch</t>
  </si>
  <si>
    <t>Half of wales</t>
  </si>
  <si>
    <t>Remaining for phone</t>
  </si>
  <si>
    <t>Kris owes for tickets</t>
  </si>
  <si>
    <t>Bank swap</t>
  </si>
  <si>
    <t>I owe for random tools</t>
  </si>
  <si>
    <t>75 from bank swap</t>
  </si>
  <si>
    <t>mothers day</t>
  </si>
  <si>
    <t>short in gift budget</t>
  </si>
  <si>
    <t>75 come from bank swap</t>
  </si>
  <si>
    <t>Get on call</t>
  </si>
  <si>
    <t>Start of apr</t>
  </si>
  <si>
    <t>Investment</t>
  </si>
  <si>
    <t>Mtg</t>
  </si>
  <si>
    <t>Range</t>
  </si>
  <si>
    <t>500 from gift to holiday</t>
  </si>
  <si>
    <t>To be repaid from Aug wage</t>
  </si>
  <si>
    <t>500 from holiday to wedding</t>
  </si>
  <si>
    <t>Wedding clothes left</t>
  </si>
  <si>
    <t>TKMaxx rfd</t>
  </si>
  <si>
    <t>Boots</t>
  </si>
  <si>
    <t>Rfd</t>
  </si>
  <si>
    <t>Bow ties</t>
  </si>
  <si>
    <t>Act</t>
  </si>
  <si>
    <t>Exp</t>
  </si>
  <si>
    <t>Euro</t>
  </si>
  <si>
    <t>BMW</t>
  </si>
  <si>
    <t>Land Rover</t>
  </si>
  <si>
    <t>Credit</t>
  </si>
  <si>
    <t>Utilities (G,W,E)</t>
  </si>
  <si>
    <t>Retirement</t>
  </si>
  <si>
    <t>300K House</t>
  </si>
  <si>
    <t>55k</t>
  </si>
  <si>
    <t>35K</t>
  </si>
  <si>
    <t>500K House</t>
  </si>
  <si>
    <t>65k</t>
  </si>
  <si>
    <t>Flowers amex</t>
  </si>
  <si>
    <t>Euro spent</t>
  </si>
  <si>
    <t>Sharks</t>
  </si>
  <si>
    <t>Surf</t>
  </si>
  <si>
    <t>Necklace = 190.85</t>
  </si>
  <si>
    <t>Spent all anna and romans</t>
  </si>
  <si>
    <t>Car fuel + wash</t>
  </si>
  <si>
    <t>Breakfast + Tea</t>
  </si>
  <si>
    <t xml:space="preserve">Bring more money forward </t>
  </si>
  <si>
    <t>from Maldives?</t>
  </si>
  <si>
    <t>Diff</t>
  </si>
  <si>
    <t>Kris bonus</t>
  </si>
  <si>
    <t>Matt expenses + amex</t>
  </si>
  <si>
    <t>Bring 500 from maldives to cover extra</t>
  </si>
  <si>
    <t>Wedding cash</t>
  </si>
  <si>
    <t>Kris tx</t>
  </si>
  <si>
    <t>11/05 - 10/06</t>
  </si>
  <si>
    <t>Expense</t>
  </si>
  <si>
    <t>Non</t>
  </si>
  <si>
    <t>11/06 - Now</t>
  </si>
  <si>
    <t>Gross Income</t>
  </si>
  <si>
    <t>[Base Pay]</t>
  </si>
  <si>
    <t>Pension Deductions</t>
  </si>
  <si>
    <t>Taxable Income</t>
  </si>
  <si>
    <t>TaxBREAKDOWN</t>
  </si>
  <si>
    <t>National Insurance</t>
  </si>
  <si>
    <t>Student LoanBREAKDOWN</t>
  </si>
  <si>
    <t>Take Home</t>
  </si>
  <si>
    <t>Year Total</t>
  </si>
  <si>
    <t>Bonus Period</t>
  </si>
  <si>
    <t>Normal Period</t>
  </si>
  <si>
    <t>5% pension</t>
  </si>
  <si>
    <t>0% pension</t>
  </si>
  <si>
    <t>10% pension</t>
  </si>
  <si>
    <t>15% pension</t>
  </si>
  <si>
    <t>20% pension</t>
  </si>
  <si>
    <t>25% pension</t>
  </si>
  <si>
    <t>water</t>
  </si>
  <si>
    <t>Overage</t>
  </si>
  <si>
    <t>Suit</t>
  </si>
  <si>
    <t>Food petrol</t>
  </si>
  <si>
    <t>Stag</t>
  </si>
  <si>
    <t>Dog</t>
  </si>
  <si>
    <t>Forster</t>
  </si>
  <si>
    <t>Formby</t>
  </si>
  <si>
    <t>Voucher</t>
  </si>
  <si>
    <t>pub voucher</t>
  </si>
  <si>
    <t>Monthly Miles</t>
  </si>
  <si>
    <t>MPG (avg)</t>
  </si>
  <si>
    <t>Fuel Cost</t>
  </si>
  <si>
    <t>Total Cost (monthly)</t>
  </si>
  <si>
    <t>BMW X1</t>
  </si>
  <si>
    <t>Diesel</t>
  </si>
  <si>
    <t>Reg</t>
  </si>
  <si>
    <t>Drivetrain</t>
  </si>
  <si>
    <t>4wd</t>
  </si>
  <si>
    <t xml:space="preserve">Spotify </t>
  </si>
  <si>
    <t>Broadband</t>
  </si>
  <si>
    <t>Vouchers</t>
  </si>
  <si>
    <t>Monthly saving</t>
  </si>
  <si>
    <t>Speed increase</t>
  </si>
  <si>
    <t>BB</t>
  </si>
  <si>
    <t>Change phone contract after 25th</t>
  </si>
  <si>
    <t>Snoop</t>
  </si>
  <si>
    <t>P27LAG</t>
  </si>
  <si>
    <t>CC Next Month</t>
  </si>
  <si>
    <t>Tesco Finance</t>
  </si>
  <si>
    <t>Lakes</t>
  </si>
  <si>
    <t>Jack</t>
  </si>
  <si>
    <t>Ebay sale</t>
  </si>
  <si>
    <t>Vodaphone swap</t>
  </si>
  <si>
    <t>Oct extra bonus</t>
  </si>
  <si>
    <t>Manchester</t>
  </si>
  <si>
    <t>Lulu</t>
  </si>
  <si>
    <t>tesco</t>
  </si>
  <si>
    <t>Zeffirellis</t>
  </si>
  <si>
    <t>Man Train</t>
  </si>
  <si>
    <t>Dehumidifier</t>
  </si>
  <si>
    <t>Clothes rail</t>
  </si>
  <si>
    <t>Electric</t>
  </si>
  <si>
    <t>Summer</t>
  </si>
  <si>
    <t>Winter</t>
  </si>
  <si>
    <t>DD</t>
  </si>
  <si>
    <t>ACT</t>
  </si>
  <si>
    <t>DIF</t>
  </si>
  <si>
    <t>SRP</t>
  </si>
  <si>
    <t>PRETTYLITTLE</t>
  </si>
  <si>
    <t>rfd</t>
  </si>
  <si>
    <t>21st half day</t>
  </si>
  <si>
    <t>PLT</t>
  </si>
  <si>
    <t>AMS</t>
  </si>
  <si>
    <t>Sweaty Betty</t>
  </si>
  <si>
    <t>H&amp;M</t>
  </si>
  <si>
    <t>LookFantastic</t>
  </si>
  <si>
    <t>Lulus</t>
  </si>
  <si>
    <t>Oodie</t>
  </si>
  <si>
    <t>NW Updated: 1913.95</t>
  </si>
  <si>
    <t>YW</t>
  </si>
  <si>
    <t>132 out of amazon balance</t>
  </si>
  <si>
    <t>Dog dryer</t>
  </si>
  <si>
    <t>Inesa Gift</t>
  </si>
  <si>
    <t>Jordan gift</t>
  </si>
  <si>
    <t>AMZ</t>
  </si>
  <si>
    <t>AMEX Updated: 1863.45</t>
  </si>
  <si>
    <t>Additional</t>
  </si>
  <si>
    <t>Initial HTB+</t>
  </si>
  <si>
    <t>HTB increase</t>
  </si>
  <si>
    <t>Increase (%)</t>
  </si>
  <si>
    <t>NW Updated: 3182.32</t>
  </si>
  <si>
    <t>Philppa, Alex</t>
  </si>
  <si>
    <t>awards</t>
  </si>
  <si>
    <t>return to savings</t>
  </si>
  <si>
    <t>xmas</t>
  </si>
  <si>
    <t>rfs from zara</t>
  </si>
  <si>
    <t>go to hoody</t>
  </si>
  <si>
    <t>AMEX Updated: 2238.78</t>
  </si>
  <si>
    <t>pretty</t>
  </si>
  <si>
    <t>cobbs</t>
  </si>
  <si>
    <t>exepnses</t>
  </si>
  <si>
    <t>100 gift card</t>
  </si>
  <si>
    <t>Watch</t>
  </si>
  <si>
    <t>Post consolidation</t>
  </si>
  <si>
    <t>Postgraduate loan (6.2%)</t>
  </si>
  <si>
    <t>Mortgage (2.59%)</t>
  </si>
  <si>
    <t>Car loan (3.154%)</t>
  </si>
  <si>
    <t>Quids in</t>
  </si>
  <si>
    <t>Lulu top</t>
  </si>
  <si>
    <t>Airpods</t>
  </si>
  <si>
    <t>TOTAL</t>
  </si>
  <si>
    <t>Mortgage (4.74)</t>
  </si>
  <si>
    <t>OUT</t>
  </si>
  <si>
    <t>IN</t>
  </si>
  <si>
    <t>Total spend</t>
  </si>
  <si>
    <t>AMEX Updated: 2007.11</t>
  </si>
  <si>
    <t>van gogh</t>
  </si>
  <si>
    <t>NW Updated: 2209.29</t>
  </si>
  <si>
    <t>Theatre + Art</t>
  </si>
  <si>
    <t>Offset</t>
  </si>
  <si>
    <t>Skin</t>
  </si>
  <si>
    <t>MOT+Service</t>
  </si>
  <si>
    <t>Remaining (by JUN)</t>
  </si>
  <si>
    <t>Phase 1</t>
  </si>
  <si>
    <t>Phase 2</t>
  </si>
  <si>
    <t>New Car</t>
  </si>
  <si>
    <t>Sell Audi</t>
  </si>
  <si>
    <t>Phase 3</t>
  </si>
  <si>
    <t>Remortgage Plan</t>
  </si>
  <si>
    <t>Phase 4</t>
  </si>
  <si>
    <t>Sell</t>
  </si>
  <si>
    <t>Docking station</t>
  </si>
  <si>
    <t>Monitors</t>
  </si>
  <si>
    <t>transfer</t>
  </si>
  <si>
    <t>Chair</t>
  </si>
  <si>
    <t>Fitbit</t>
  </si>
  <si>
    <t>Daniel Wellington</t>
  </si>
  <si>
    <t>Earphones</t>
  </si>
  <si>
    <t>Vanity</t>
  </si>
  <si>
    <t>AMEX Updated: 7330.81</t>
  </si>
  <si>
    <t>amz</t>
  </si>
  <si>
    <t>NW Updated: 2231.08</t>
  </si>
  <si>
    <t>eques</t>
  </si>
  <si>
    <t>AMEX Updated: 727.09</t>
  </si>
  <si>
    <t>Bike Rack</t>
  </si>
  <si>
    <t>Jack cables</t>
  </si>
  <si>
    <t>Xlr cables</t>
  </si>
  <si>
    <t>JAN-FEB</t>
  </si>
  <si>
    <t>FEB-MAR</t>
  </si>
  <si>
    <t>MAR-APR</t>
  </si>
  <si>
    <t>APR-MAY</t>
  </si>
  <si>
    <t>MAY-JUN</t>
  </si>
  <si>
    <t>JUN-JUL</t>
  </si>
  <si>
    <t>JUL-AUG</t>
  </si>
  <si>
    <t>AUG-SEP</t>
  </si>
  <si>
    <t>SEP-OCT</t>
  </si>
  <si>
    <t>OCT-NOV</t>
  </si>
  <si>
    <t>NOV-DEC</t>
  </si>
  <si>
    <t>DEC-JAN</t>
  </si>
  <si>
    <t>Docking stations</t>
  </si>
  <si>
    <t>AMEX Updated: 1450.71</t>
  </si>
  <si>
    <t>ticket</t>
  </si>
  <si>
    <t>NHS Pension</t>
  </si>
  <si>
    <t>Laptop</t>
  </si>
  <si>
    <t>NW Updated: 1298.13</t>
  </si>
  <si>
    <t>kris</t>
  </si>
  <si>
    <t>lashes</t>
  </si>
  <si>
    <t>haircut</t>
  </si>
  <si>
    <t>bikini</t>
  </si>
  <si>
    <t>Sarah</t>
  </si>
  <si>
    <t>4K monitor</t>
  </si>
  <si>
    <t>NW Updated:1402.95</t>
  </si>
  <si>
    <t>paypal</t>
  </si>
  <si>
    <t>AMEX Updated: 1500.04</t>
  </si>
  <si>
    <t>AMEX STATEMENT</t>
  </si>
  <si>
    <t>CASH</t>
  </si>
  <si>
    <t>Cash Flow 2023</t>
  </si>
  <si>
    <t>Cash Flow 2024</t>
  </si>
  <si>
    <t>NW Updated: 956.05</t>
  </si>
  <si>
    <t>amf</t>
  </si>
  <si>
    <t>idr</t>
  </si>
  <si>
    <t>dst</t>
  </si>
  <si>
    <t>hdp</t>
  </si>
  <si>
    <t>cmr</t>
  </si>
  <si>
    <t>rck</t>
  </si>
  <si>
    <t>Remortgage</t>
  </si>
  <si>
    <t>Barclaycard</t>
  </si>
  <si>
    <t>Renovation</t>
  </si>
  <si>
    <t>Student Loan</t>
  </si>
  <si>
    <t>Bedroom</t>
  </si>
  <si>
    <t>Su</t>
  </si>
  <si>
    <t>asos</t>
  </si>
  <si>
    <t>AMEX Updated: 1629.83</t>
  </si>
  <si>
    <t>Barclay</t>
  </si>
  <si>
    <t>NW Updated: 1927.74</t>
  </si>
  <si>
    <t>nationwide</t>
  </si>
  <si>
    <t>Ikea</t>
  </si>
  <si>
    <t>BARC</t>
  </si>
  <si>
    <t>Returns</t>
  </si>
  <si>
    <t>july savings</t>
  </si>
  <si>
    <t>june savings</t>
  </si>
  <si>
    <t>sale (hopefully)</t>
  </si>
  <si>
    <t>Amz lights</t>
  </si>
  <si>
    <t>NW Updated: 2134.72</t>
  </si>
  <si>
    <t>AMEX Updated: 1214.46</t>
  </si>
  <si>
    <t>Car worries me…</t>
  </si>
  <si>
    <t>CC dif</t>
  </si>
  <si>
    <t>Savings Current</t>
  </si>
  <si>
    <t>Drawers</t>
  </si>
  <si>
    <t>Barclays</t>
  </si>
  <si>
    <t>Once 3k limit is reached, points are awarded first working day of next month… make large payment (over 3k)</t>
  </si>
  <si>
    <t>Windscreen</t>
  </si>
  <si>
    <t>MOT</t>
  </si>
  <si>
    <t>Rosita</t>
  </si>
  <si>
    <t>Avios</t>
  </si>
  <si>
    <t>Tier Points</t>
  </si>
  <si>
    <t>AUG USA</t>
  </si>
  <si>
    <t>SEP USA</t>
  </si>
  <si>
    <t xml:space="preserve">HAN </t>
  </si>
  <si>
    <t>6m spending</t>
  </si>
  <si>
    <t>Referal</t>
  </si>
  <si>
    <t>WELCOME BARCLAYCARD</t>
  </si>
  <si>
    <t>WELCOME AMEX</t>
  </si>
  <si>
    <t>Companion voucher</t>
  </si>
  <si>
    <t>Upgrade voucher</t>
  </si>
  <si>
    <t>Avios to upgrade to business for hanoi</t>
  </si>
  <si>
    <t>Cash Flow 2025</t>
  </si>
  <si>
    <t>\z\Z</t>
  </si>
  <si>
    <t>Aer Lingus</t>
  </si>
  <si>
    <t>Jacksonville</t>
  </si>
  <si>
    <t>Orlando</t>
  </si>
  <si>
    <t>Vietnam</t>
  </si>
  <si>
    <t>Qatar</t>
  </si>
  <si>
    <t>gfdgdfg</t>
  </si>
  <si>
    <t>CLOSED</t>
  </si>
  <si>
    <t>MON</t>
  </si>
  <si>
    <t>TUE</t>
  </si>
  <si>
    <t>WED</t>
  </si>
  <si>
    <t>THU</t>
  </si>
  <si>
    <t>FRI</t>
  </si>
  <si>
    <t>Bootcamp</t>
  </si>
  <si>
    <t>Pilates</t>
  </si>
  <si>
    <t>SAT</t>
  </si>
  <si>
    <t>SUN</t>
  </si>
  <si>
    <t>AMEX CB</t>
  </si>
  <si>
    <t>AMEX AVIOS</t>
  </si>
  <si>
    <t>BARC AVIOS</t>
  </si>
  <si>
    <t>BARC CB</t>
  </si>
  <si>
    <t>AMEX CB: 456.79</t>
  </si>
  <si>
    <t>Settlement</t>
  </si>
  <si>
    <t>Cur Sale Attempt</t>
  </si>
  <si>
    <t>BARC CB: 297.35</t>
  </si>
  <si>
    <t>BARC BA: 148.32</t>
  </si>
  <si>
    <t>Ebay lawnmower</t>
  </si>
  <si>
    <t>Ebay Sony camera</t>
  </si>
  <si>
    <t>Ebay Canon camera</t>
  </si>
  <si>
    <t>INBOUND POTENTIAL</t>
  </si>
  <si>
    <t>Work Vouchers</t>
  </si>
  <si>
    <t>Honey</t>
  </si>
  <si>
    <t>Rupiah</t>
  </si>
  <si>
    <t>NW: 2996.15</t>
  </si>
  <si>
    <t>AMEX BA: 4928.88</t>
  </si>
  <si>
    <t>HGI</t>
  </si>
  <si>
    <t>SPAR</t>
  </si>
  <si>
    <t>stefs</t>
  </si>
  <si>
    <t>takeaway</t>
  </si>
  <si>
    <t>shopping</t>
  </si>
  <si>
    <t>online shopping</t>
  </si>
  <si>
    <t>normal</t>
  </si>
  <si>
    <t>facial</t>
  </si>
  <si>
    <t>Trax</t>
  </si>
  <si>
    <t>AMEX BA</t>
  </si>
  <si>
    <t>BARC BA</t>
  </si>
  <si>
    <t>BARC PEND</t>
  </si>
  <si>
    <t>Rollover</t>
  </si>
  <si>
    <t>NW Updated: 2737.82</t>
  </si>
  <si>
    <t>AMEX Updated: 3355.07</t>
  </si>
  <si>
    <t>b&amp;m</t>
  </si>
  <si>
    <t>BA CB: 457.76</t>
  </si>
  <si>
    <t>BA Avios: 3968.05</t>
  </si>
  <si>
    <t>BA CB: 22.5</t>
  </si>
  <si>
    <t>Months drawdown remaining</t>
  </si>
  <si>
    <t>BA - fee since AUG 20th</t>
  </si>
  <si>
    <t>Fees paid so far</t>
  </si>
  <si>
    <t>Points so far</t>
  </si>
  <si>
    <t>nash</t>
  </si>
  <si>
    <t>outstanding</t>
  </si>
  <si>
    <t>NW Updated: 4262.68</t>
  </si>
  <si>
    <t>AMEX Updated: 1633.17</t>
  </si>
  <si>
    <t>starbees</t>
  </si>
  <si>
    <t>lulu</t>
  </si>
  <si>
    <t>kendalls</t>
  </si>
  <si>
    <t>car park</t>
  </si>
  <si>
    <t>fuel</t>
  </si>
  <si>
    <t>oscars</t>
  </si>
  <si>
    <t>gumtree</t>
  </si>
  <si>
    <t>BA Avios: 1967.65</t>
  </si>
  <si>
    <t>macbook</t>
  </si>
  <si>
    <t>cash</t>
  </si>
  <si>
    <t>work</t>
  </si>
  <si>
    <t>tax</t>
  </si>
  <si>
    <t>total missing</t>
  </si>
  <si>
    <t>strimmer</t>
  </si>
  <si>
    <t>high alt</t>
  </si>
  <si>
    <t>Car savings</t>
  </si>
  <si>
    <t>Drawdown months</t>
  </si>
  <si>
    <t>BA CB: 0</t>
  </si>
  <si>
    <t>Tea towel</t>
  </si>
  <si>
    <t>MOT / Service</t>
  </si>
  <si>
    <t>TV</t>
  </si>
  <si>
    <t>AMEX Updated: 66.6</t>
  </si>
  <si>
    <t>pets</t>
  </si>
  <si>
    <t>BA Avios: 1608.8</t>
  </si>
  <si>
    <t>pet savings</t>
  </si>
  <si>
    <t>food savings</t>
  </si>
  <si>
    <t>pay rise</t>
  </si>
  <si>
    <t>Katie + Sam</t>
  </si>
  <si>
    <t>Hugo</t>
  </si>
  <si>
    <t>Dax</t>
  </si>
  <si>
    <t>Auntie Linda (RIP)</t>
  </si>
  <si>
    <t>Uncle Mick (RIP)</t>
  </si>
  <si>
    <t>NW Updated: 3399.76</t>
  </si>
  <si>
    <t>total</t>
  </si>
  <si>
    <t>sainsburys</t>
  </si>
  <si>
    <t>AMEX Updated: 102.53</t>
  </si>
  <si>
    <t>BA Avios: 3341.9</t>
  </si>
  <si>
    <t>Cash from rob + mum</t>
  </si>
  <si>
    <t>dysts</t>
  </si>
  <si>
    <t>backpay</t>
  </si>
  <si>
    <t>payrise</t>
  </si>
  <si>
    <t>Gifts</t>
  </si>
  <si>
    <t>NW Updated: 3</t>
  </si>
  <si>
    <t>NW Updated: 3605.06</t>
  </si>
  <si>
    <t>now tv</t>
  </si>
  <si>
    <t>Projected</t>
  </si>
  <si>
    <t>Required</t>
  </si>
  <si>
    <t>Pay rise (80*12)</t>
  </si>
  <si>
    <t>Holiday Savings</t>
  </si>
  <si>
    <t>zara</t>
  </si>
  <si>
    <t>130 cash kris bday</t>
  </si>
  <si>
    <t>transfer 30</t>
  </si>
  <si>
    <t>100 go towards necklace</t>
  </si>
  <si>
    <t>Move direct debs to 24th</t>
  </si>
  <si>
    <t>Interest paid daily</t>
  </si>
  <si>
    <t>Move all to savings on pay day</t>
  </si>
  <si>
    <t>AMEX Updated: 1374.99</t>
  </si>
  <si>
    <t>BA Avios: 517.19</t>
  </si>
  <si>
    <t>mem fee</t>
  </si>
  <si>
    <t>vouchers</t>
  </si>
  <si>
    <t>Morroco</t>
  </si>
  <si>
    <t>sell care lamp</t>
  </si>
  <si>
    <t>sell mirrors</t>
  </si>
  <si>
    <t>5 year award</t>
  </si>
  <si>
    <t>AMEX Updated: 3121.34</t>
  </si>
  <si>
    <t>buba</t>
  </si>
  <si>
    <t>BA Avios: 375.08</t>
  </si>
  <si>
    <t>barbers</t>
  </si>
  <si>
    <t>Move DD to 25th</t>
  </si>
  <si>
    <t>Asda vouchers</t>
  </si>
  <si>
    <t>Sell care lamp</t>
  </si>
  <si>
    <t>Sell mirrors</t>
  </si>
  <si>
    <t>Extra bonus</t>
  </si>
  <si>
    <t>Downgrade amex / ba</t>
  </si>
  <si>
    <t>Morocco Garsides plane share</t>
  </si>
  <si>
    <t>Sell mac</t>
  </si>
  <si>
    <t>hotel rfd</t>
  </si>
  <si>
    <t>buy</t>
  </si>
  <si>
    <t>boost</t>
  </si>
  <si>
    <t>sub</t>
  </si>
  <si>
    <t>Method</t>
  </si>
  <si>
    <t>Cost (£)</t>
  </si>
  <si>
    <t>normal spend pm</t>
  </si>
  <si>
    <t>base avios pm</t>
  </si>
  <si>
    <t>base avios py</t>
  </si>
  <si>
    <t>bills</t>
  </si>
  <si>
    <t>quarterly</t>
  </si>
  <si>
    <t>Boosted per month</t>
  </si>
  <si>
    <t>MUST be BA Premium Plus card for BUSINESS COMPANION</t>
  </si>
  <si>
    <t>holidays</t>
  </si>
  <si>
    <t>yearly</t>
  </si>
  <si>
    <t>gifts</t>
  </si>
  <si>
    <t>Shopping Bonuses</t>
  </si>
  <si>
    <t>120k</t>
  </si>
  <si>
    <t>MCO</t>
  </si>
  <si>
    <t>https://www.britishairways.com/content/executive-club/offers/terms-and-conditions/amex-companion</t>
  </si>
  <si>
    <t>Cabin upgrade</t>
  </si>
  <si>
    <t>https://www.britishairways.com/en-gb/executive-club/collecting-avios/personalbanking/cabin-upgrade-terms</t>
  </si>
  <si>
    <t>Cost of AMEX</t>
  </si>
  <si>
    <t>Cost of Barc</t>
  </si>
  <si>
    <t>UNTIL voucher earned then DOWNGRADE only ONE of the cards</t>
  </si>
  <si>
    <t>BA</t>
  </si>
  <si>
    <t>QTR</t>
  </si>
  <si>
    <t>Aer</t>
  </si>
  <si>
    <t>BOOST</t>
  </si>
  <si>
    <t>BALI</t>
  </si>
  <si>
    <t>320k</t>
  </si>
  <si>
    <t>Nectar points</t>
  </si>
  <si>
    <t>barc upgrade voucher available</t>
  </si>
  <si>
    <t>25th</t>
  </si>
  <si>
    <t>Novuna</t>
  </si>
  <si>
    <t>Ruby</t>
  </si>
  <si>
    <t>Cooper</t>
  </si>
  <si>
    <t>Cheryl</t>
  </si>
  <si>
    <t>Katie</t>
  </si>
  <si>
    <t>Noodles</t>
  </si>
  <si>
    <t>Creamy Ins</t>
  </si>
  <si>
    <t>15th</t>
  </si>
  <si>
    <t>need to find plan name</t>
  </si>
  <si>
    <t>Council Tax</t>
  </si>
  <si>
    <t>Name Updates</t>
  </si>
  <si>
    <t>SUBMITTED 10/03/24</t>
  </si>
  <si>
    <t>applied to change DD + email</t>
  </si>
  <si>
    <t>Amex</t>
  </si>
  <si>
    <t>Passport</t>
  </si>
  <si>
    <t>Driving license</t>
  </si>
  <si>
    <t>Get D1 application post office</t>
  </si>
  <si>
    <t>NatWest</t>
  </si>
  <si>
    <t>Visit branch tomorrow</t>
  </si>
  <si>
    <t>locked</t>
  </si>
  <si>
    <t>Vodaphone</t>
  </si>
  <si>
    <t>11th</t>
  </si>
  <si>
    <t>contact vodaphone</t>
  </si>
  <si>
    <t>HP</t>
  </si>
  <si>
    <t>contact</t>
  </si>
  <si>
    <t>Rias (home ins)</t>
  </si>
  <si>
    <t>Tesco (loan)</t>
  </si>
  <si>
    <t>Pet Health Club</t>
  </si>
  <si>
    <t>Road tax</t>
  </si>
  <si>
    <t>Vitality</t>
  </si>
  <si>
    <t>Standing order</t>
  </si>
  <si>
    <t>Octopus</t>
  </si>
  <si>
    <t>Pet Insurance</t>
  </si>
  <si>
    <t>Car ins</t>
  </si>
  <si>
    <t>EE</t>
  </si>
  <si>
    <t>Disney+</t>
  </si>
  <si>
    <t>Runescape</t>
  </si>
  <si>
    <t>sort renewal first</t>
  </si>
  <si>
    <t>call</t>
  </si>
  <si>
    <t>contact vets</t>
  </si>
  <si>
    <t>can't change</t>
  </si>
  <si>
    <t>can't change password</t>
  </si>
  <si>
    <t>submitted</t>
  </si>
  <si>
    <t>THIS SHOULD HAVE BEEN DONE ON 25th</t>
  </si>
  <si>
    <t>Quick Calculator</t>
  </si>
  <si>
    <t>Card Bonus</t>
  </si>
  <si>
    <t>Site Bonus</t>
  </si>
  <si>
    <t>Total Price</t>
  </si>
  <si>
    <t>Bonus Price</t>
  </si>
  <si>
    <t>Value (£)</t>
  </si>
  <si>
    <t>Luna insurance</t>
  </si>
  <si>
    <t>To Do</t>
  </si>
  <si>
    <t>Forecast for april</t>
  </si>
  <si>
    <t>Move direct debits</t>
  </si>
  <si>
    <t>Date night</t>
  </si>
  <si>
    <t>Post passport</t>
  </si>
  <si>
    <t>Renew crdit cards</t>
  </si>
  <si>
    <t>Home insurance</t>
  </si>
  <si>
    <t>Pet insurance (1st May)</t>
  </si>
  <si>
    <t>Uncle Mick Accom</t>
  </si>
  <si>
    <t>V5C update</t>
  </si>
  <si>
    <t>Drivers license form (again)</t>
  </si>
  <si>
    <t>Lipoma</t>
  </si>
  <si>
    <t>Downgrade Barclaycard</t>
  </si>
  <si>
    <t>Call and add watch + rings</t>
  </si>
  <si>
    <t>Work</t>
  </si>
  <si>
    <t>trainers</t>
  </si>
  <si>
    <t>kris transferred for 3 peaks accom</t>
  </si>
  <si>
    <t>spent on mothers day</t>
  </si>
  <si>
    <t>Office</t>
  </si>
  <si>
    <t>Mac pro 15</t>
  </si>
  <si>
    <t>Mac pro 13</t>
  </si>
  <si>
    <t>Drone</t>
  </si>
  <si>
    <t>Eng. Ring</t>
  </si>
  <si>
    <t>Wed. ring</t>
  </si>
  <si>
    <t>Omega</t>
  </si>
  <si>
    <t>K Necklace</t>
  </si>
  <si>
    <t>Garmin</t>
  </si>
  <si>
    <t>Roberts Radio</t>
  </si>
  <si>
    <t>Korg keyboard</t>
  </si>
  <si>
    <t>Ring from mum</t>
  </si>
  <si>
    <t>Cross ring</t>
  </si>
  <si>
    <t>Furniture</t>
  </si>
  <si>
    <t>Kitchen</t>
  </si>
  <si>
    <t>Toaster + Kettle</t>
  </si>
  <si>
    <t>Air fryer</t>
  </si>
  <si>
    <t>Coffee machine</t>
  </si>
  <si>
    <t>Screens</t>
  </si>
  <si>
    <t>Dock</t>
  </si>
  <si>
    <t>LED Mask</t>
  </si>
  <si>
    <t>Sports wear</t>
  </si>
  <si>
    <t>Bags</t>
  </si>
  <si>
    <t>Clothes</t>
  </si>
  <si>
    <t>Walking boots</t>
  </si>
  <si>
    <t>Coats</t>
  </si>
  <si>
    <t>Generic</t>
  </si>
  <si>
    <t>Dining chairs</t>
  </si>
  <si>
    <t>Shelving</t>
  </si>
  <si>
    <t>Ergo chair</t>
  </si>
  <si>
    <t>Comfy chair</t>
  </si>
  <si>
    <t>Rug</t>
  </si>
  <si>
    <t>Carpet</t>
  </si>
  <si>
    <t xml:space="preserve">Total valuables &lt; 1500 </t>
  </si>
  <si>
    <t>Total valuables &gt; 1500</t>
  </si>
  <si>
    <t>Valuable</t>
  </si>
  <si>
    <t>H</t>
  </si>
  <si>
    <t>Total other</t>
  </si>
  <si>
    <t>Tree</t>
  </si>
  <si>
    <t>Baubles</t>
  </si>
  <si>
    <t>Lights</t>
  </si>
  <si>
    <t>HV</t>
  </si>
  <si>
    <t>V</t>
  </si>
  <si>
    <t>Total - HV</t>
  </si>
  <si>
    <t>Dell Latitude 7490</t>
  </si>
  <si>
    <t>Dell Latitude 5420</t>
  </si>
  <si>
    <t>finish form</t>
  </si>
  <si>
    <t>AMEX Updated: 1075.49</t>
  </si>
  <si>
    <t>BA Avios: 948.7</t>
  </si>
  <si>
    <t>fee</t>
  </si>
  <si>
    <t>cc total</t>
  </si>
  <si>
    <t>less cib</t>
  </si>
  <si>
    <t>less savings</t>
  </si>
  <si>
    <t>"+ work exp"</t>
  </si>
  <si>
    <t>Plus Standard</t>
  </si>
  <si>
    <t>Plus Expen</t>
  </si>
  <si>
    <t>Already paid</t>
  </si>
  <si>
    <t>AMEX Updated: 618.02</t>
  </si>
  <si>
    <t>trax</t>
  </si>
  <si>
    <t>Bills that can claim points</t>
  </si>
  <si>
    <t>Comparison sites</t>
  </si>
  <si>
    <t>Pet insuance</t>
  </si>
  <si>
    <t>3000-5000</t>
  </si>
  <si>
    <t>Mobile</t>
  </si>
  <si>
    <t>Life Insurance</t>
  </si>
  <si>
    <t>any time</t>
  </si>
  <si>
    <t>Buy flights</t>
  </si>
  <si>
    <t>https://www.britishairways.com/travel/redeem/execclub/_gf/en_gb?eId=106019&amp;tab_selected=redeem&amp;redemption_type=STD_RED</t>
  </si>
  <si>
    <t>Hotels</t>
  </si>
  <si>
    <t>https://rewards.ba.com/en-GB?tab=hotels</t>
  </si>
  <si>
    <t>https://pgt.shopping.ba.com/booster</t>
  </si>
  <si>
    <t>https://www.shopping.ba.com/retailers/lululemon-uk</t>
  </si>
  <si>
    <t>Seaplane</t>
  </si>
  <si>
    <t>Boat</t>
  </si>
  <si>
    <t>$</t>
  </si>
  <si>
    <t>£</t>
  </si>
  <si>
    <t>Flight</t>
  </si>
  <si>
    <t>Transfer</t>
  </si>
  <si>
    <t>LHR Hotel</t>
  </si>
  <si>
    <t>Tui</t>
  </si>
  <si>
    <t>Spending</t>
  </si>
  <si>
    <t>BA Avios: 1092.39</t>
  </si>
  <si>
    <t>Get Moving Backlog</t>
  </si>
  <si>
    <t>Anniversarys</t>
  </si>
  <si>
    <t>amex companion voucher</t>
  </si>
  <si>
    <t>NORD</t>
  </si>
  <si>
    <t>Retailer</t>
  </si>
  <si>
    <t>SAINS</t>
  </si>
  <si>
    <t>Max days</t>
  </si>
  <si>
    <t>Expires</t>
  </si>
  <si>
    <t>Policy</t>
  </si>
  <si>
    <t>Pet</t>
  </si>
  <si>
    <t>2500-3000</t>
  </si>
  <si>
    <t>BMW insurance</t>
  </si>
  <si>
    <t>RR insurance</t>
  </si>
  <si>
    <t>Owed</t>
  </si>
  <si>
    <t>Dyst</t>
  </si>
  <si>
    <t>AMEX Updated: 4025.82</t>
  </si>
  <si>
    <t>angelica</t>
  </si>
  <si>
    <t>BA Avios: 851.39</t>
  </si>
  <si>
    <t>theatre</t>
  </si>
  <si>
    <t>Return ikea shelves</t>
  </si>
  <si>
    <t>Interest (October)</t>
  </si>
  <si>
    <t>SHORT</t>
  </si>
  <si>
    <t>Cash surplus</t>
  </si>
  <si>
    <t>Inbound Savings</t>
  </si>
  <si>
    <t>Extra bonus (July)</t>
  </si>
  <si>
    <t>NYE Gift</t>
  </si>
  <si>
    <t>Personal</t>
  </si>
  <si>
    <t>Household</t>
  </si>
  <si>
    <t>maldives</t>
  </si>
  <si>
    <t>Yearly cost</t>
  </si>
  <si>
    <t>Fair share</t>
  </si>
  <si>
    <t>Barclaycard worth it?</t>
  </si>
  <si>
    <t>TOTAL SPENT</t>
  </si>
  <si>
    <t>TOTAL EARNED</t>
  </si>
  <si>
    <t>EXTRA AVIOS</t>
  </si>
  <si>
    <t>MEMBERSHIP COST TO DATE</t>
  </si>
  <si>
    <t>AVIOS VALUE</t>
  </si>
  <si>
    <t>UPGRADE VOUCHER</t>
  </si>
  <si>
    <t>Spend</t>
  </si>
  <si>
    <t>AMEX (x2)</t>
  </si>
  <si>
    <t>Boost</t>
  </si>
  <si>
    <t>1x</t>
  </si>
  <si>
    <t>2x</t>
  </si>
  <si>
    <t>3x</t>
  </si>
  <si>
    <t>RyanAir</t>
  </si>
  <si>
    <t>pp</t>
  </si>
  <si>
    <t>TOTALS</t>
  </si>
  <si>
    <t>CORFU</t>
  </si>
  <si>
    <t>29k + £1</t>
  </si>
  <si>
    <t xml:space="preserve">LON </t>
  </si>
  <si>
    <t>"=&gt;"</t>
  </si>
  <si>
    <t>DOH</t>
  </si>
  <si>
    <t>160k</t>
  </si>
  <si>
    <t>Companion (business)</t>
  </si>
  <si>
    <t>DPS</t>
  </si>
  <si>
    <t>wuthering</t>
  </si>
  <si>
    <t>Morocco</t>
  </si>
  <si>
    <t>Exchanged</t>
  </si>
  <si>
    <t>Lips</t>
  </si>
  <si>
    <t>Over holiday budget</t>
  </si>
  <si>
    <t>Unaccounted for</t>
  </si>
  <si>
    <t>Current savings</t>
  </si>
  <si>
    <t>Expected savings</t>
  </si>
  <si>
    <t>Savings - spending</t>
  </si>
  <si>
    <t>next month</t>
  </si>
  <si>
    <t>Filler</t>
  </si>
  <si>
    <t>future bonuses</t>
  </si>
  <si>
    <t>Luna coco expense</t>
  </si>
  <si>
    <t>future</t>
  </si>
  <si>
    <t>Ikea shelves</t>
  </si>
  <si>
    <t>Ghost tickets</t>
  </si>
  <si>
    <t>Over spend unaccounted</t>
  </si>
  <si>
    <t>Over spend accounted</t>
  </si>
  <si>
    <t>Shopping returns</t>
  </si>
  <si>
    <t>Remaining unaccounted</t>
  </si>
  <si>
    <t>BA Avios: 3155.27</t>
  </si>
  <si>
    <t>AMEX Updated: 2160.81</t>
  </si>
  <si>
    <t>High altitude</t>
  </si>
  <si>
    <t>Cash Flow 2026</t>
  </si>
  <si>
    <t>AMZ PRIME</t>
  </si>
  <si>
    <t>AMEX BA PREMIER</t>
  </si>
  <si>
    <t>Prime</t>
  </si>
  <si>
    <t>Extras</t>
  </si>
  <si>
    <t>Credit cards</t>
  </si>
  <si>
    <t>Provider</t>
  </si>
  <si>
    <t>PCM</t>
  </si>
  <si>
    <t>Term Start</t>
  </si>
  <si>
    <t>Length</t>
  </si>
  <si>
    <t>Remaining (cost)</t>
  </si>
  <si>
    <t>APR (%)</t>
  </si>
  <si>
    <t>Drip feeder</t>
  </si>
  <si>
    <t>First direct</t>
  </si>
  <si>
    <t>Max PY</t>
  </si>
  <si>
    <t>Switch Builder</t>
  </si>
  <si>
    <t>Conditions</t>
  </si>
  <si>
    <t>Completed</t>
  </si>
  <si>
    <t>Awarded</t>
  </si>
  <si>
    <t>First Direct</t>
  </si>
  <si>
    <t>Pay in £1000</t>
  </si>
  <si>
    <t>Use card 5 times</t>
  </si>
  <si>
    <t>Join blue rewards</t>
  </si>
  <si>
    <t>Pay in £800</t>
  </si>
  <si>
    <t>Online banking</t>
  </si>
  <si>
    <t>Lloyds</t>
  </si>
  <si>
    <t>Pay in £2000</t>
  </si>
  <si>
    <t>%7 reg saver</t>
  </si>
  <si>
    <t>%5.12 saver</t>
  </si>
  <si>
    <t>Apple TV</t>
  </si>
  <si>
    <t>%6.25 saver</t>
  </si>
  <si>
    <t>12m disney</t>
  </si>
  <si>
    <t>Account</t>
  </si>
  <si>
    <t>Opened</t>
  </si>
  <si>
    <t>Reward</t>
  </si>
  <si>
    <t>FlexPlus</t>
  </si>
  <si>
    <t>No</t>
  </si>
  <si>
    <t>Yes</t>
  </si>
  <si>
    <t>ebay</t>
  </si>
  <si>
    <t>BA Avios: 563.83</t>
  </si>
  <si>
    <t>healthy opts</t>
  </si>
  <si>
    <t>Bank switches</t>
  </si>
  <si>
    <t>2 years</t>
  </si>
  <si>
    <t>AMEX Updated: 1542.64</t>
  </si>
  <si>
    <t>Hopefully get around 1.6k from it = 400 more than planned</t>
  </si>
  <si>
    <t>MPB</t>
  </si>
  <si>
    <t>Transport</t>
  </si>
  <si>
    <t>"Rollover" to pay on pay day</t>
  </si>
  <si>
    <t>Recovery</t>
  </si>
  <si>
    <t>Claim item</t>
  </si>
  <si>
    <t>Cost</t>
  </si>
  <si>
    <t>Reasoning</t>
  </si>
  <si>
    <t>Relocation</t>
  </si>
  <si>
    <t>It's in the covered components list</t>
  </si>
  <si>
    <t>Join</t>
  </si>
  <si>
    <t>Monthly * 12</t>
  </si>
  <si>
    <t>After 4 months</t>
  </si>
  <si>
    <t>Value (Boost)</t>
  </si>
  <si>
    <t>CCs</t>
  </si>
  <si>
    <t>Barclays premier accounts</t>
  </si>
  <si>
    <t>Soccer</t>
  </si>
  <si>
    <t>Starter motor replacement incl. diag</t>
  </si>
  <si>
    <t>Current cash</t>
  </si>
  <si>
    <t>Less CC + remaining</t>
  </si>
  <si>
    <t>Plus novuna RFD</t>
  </si>
  <si>
    <t>Phone CB + Sale</t>
  </si>
  <si>
    <t>What happened to the cash?</t>
  </si>
  <si>
    <t>Less MPB</t>
  </si>
  <si>
    <t>Cash without loan</t>
  </si>
  <si>
    <t>AMEX (statement)</t>
  </si>
  <si>
    <t>Less novuna</t>
  </si>
  <si>
    <t>Novuna (rfd)</t>
  </si>
  <si>
    <t>Less tesco</t>
  </si>
  <si>
    <t>Rias</t>
  </si>
  <si>
    <t>Ins</t>
  </si>
  <si>
    <t>NRG</t>
  </si>
  <si>
    <t>CTX</t>
  </si>
  <si>
    <t>PP</t>
  </si>
  <si>
    <t>CAR</t>
  </si>
  <si>
    <t>AMEX (balance)</t>
  </si>
  <si>
    <t>BARC (balance)</t>
  </si>
  <si>
    <t>BALANCE</t>
  </si>
  <si>
    <t>Transferred to savings</t>
  </si>
  <si>
    <t>19-22 JUL</t>
  </si>
  <si>
    <t>START</t>
  </si>
  <si>
    <t>END</t>
  </si>
  <si>
    <t>22-23 JUL</t>
  </si>
  <si>
    <t>NAT</t>
  </si>
  <si>
    <t>PET</t>
  </si>
  <si>
    <t>INS</t>
  </si>
  <si>
    <t>NW Updated: 4926.28</t>
  </si>
  <si>
    <t>ink</t>
  </si>
  <si>
    <t>Life / Income Insurance (HFX)</t>
  </si>
  <si>
    <t>Matt Phone (HFX)</t>
  </si>
  <si>
    <t>CARD</t>
  </si>
  <si>
    <t>ANNIVERSARY</t>
  </si>
  <si>
    <t>TARGET</t>
  </si>
  <si>
    <t>PROGRESS</t>
  </si>
  <si>
    <t>REMAINING</t>
  </si>
  <si>
    <t>Book bunny hotel</t>
  </si>
  <si>
    <t>Get in contact with Maldives hotel</t>
  </si>
  <si>
    <t>Order Jack present</t>
  </si>
  <si>
    <t>Report missing avios - life insurance</t>
  </si>
  <si>
    <t>To do</t>
  </si>
  <si>
    <t>Reduce level-term life insurance</t>
  </si>
  <si>
    <t>Book Christmas Carol ballet</t>
  </si>
  <si>
    <t>Call</t>
  </si>
  <si>
    <t>Don't forget avios</t>
  </si>
  <si>
    <t>Message</t>
  </si>
  <si>
    <t>Arriving 14th</t>
  </si>
  <si>
    <t>Looking into it</t>
  </si>
  <si>
    <t>Book Heathrow parking w/ APH</t>
  </si>
  <si>
    <t>Broadband renewal</t>
  </si>
  <si>
    <t>Sat</t>
  </si>
  <si>
    <t>Sun</t>
  </si>
  <si>
    <t>Go to hotel, unload, relax</t>
  </si>
  <si>
    <t>Bus from long stay to terminal (10m)</t>
  </si>
  <si>
    <t>Sofit</t>
  </si>
  <si>
    <t>Drive to long stay</t>
  </si>
  <si>
    <t>Walk to hotel</t>
  </si>
  <si>
    <t>Drive from hotel to long stay (10m)</t>
  </si>
  <si>
    <t>Reload car</t>
  </si>
  <si>
    <t>Premier Inn (cheapest)</t>
  </si>
  <si>
    <t>Hilton</t>
  </si>
  <si>
    <t>Book SEP hotel + food</t>
  </si>
  <si>
    <t>14th @ plaza + san carlo</t>
  </si>
  <si>
    <t>Kris reply to salary email</t>
  </si>
  <si>
    <t>PTO</t>
  </si>
  <si>
    <t>BANK</t>
  </si>
  <si>
    <t>TOTAL INC WEEKEND</t>
  </si>
  <si>
    <t>Had call from Matt</t>
  </si>
  <si>
    <t>Protein order</t>
  </si>
  <si>
    <t>Hamish V2</t>
  </si>
  <si>
    <t>AMEX Updated: 1083.34</t>
  </si>
  <si>
    <t>3cpayment</t>
  </si>
  <si>
    <t>BA Avios: 1553.12</t>
  </si>
  <si>
    <t>Book carpet clean</t>
  </si>
  <si>
    <t>Friday 27th</t>
  </si>
  <si>
    <t>Consequtive</t>
  </si>
  <si>
    <t>ID verification needed in branch</t>
  </si>
  <si>
    <t>27th @ 11.30am</t>
  </si>
  <si>
    <t>riverview6@outlook.com</t>
  </si>
  <si>
    <t>email + submitted online request</t>
  </si>
  <si>
    <t>Book brid for weekend</t>
  </si>
  <si>
    <t>Birthday present research</t>
  </si>
  <si>
    <t>Car stereo</t>
  </si>
  <si>
    <t>Follow up with Jamie</t>
  </si>
  <si>
    <t>Caravan refund</t>
  </si>
  <si>
    <t>Book SEP spa</t>
  </si>
  <si>
    <t>rudding park</t>
  </si>
  <si>
    <t>BOOKING</t>
  </si>
  <si>
    <t>Heathrow Parking</t>
  </si>
  <si>
    <t>Heathrow Hotel</t>
  </si>
  <si>
    <t>NW Updated: 3870.28</t>
  </si>
  <si>
    <t>car</t>
  </si>
  <si>
    <t>cash less cc's</t>
  </si>
  <si>
    <t>savings less car</t>
  </si>
  <si>
    <t>barclays savings</t>
  </si>
  <si>
    <t>carpet clean</t>
  </si>
  <si>
    <t>coco stay</t>
  </si>
  <si>
    <t>Birthday</t>
  </si>
  <si>
    <t>Savings less maldives</t>
  </si>
  <si>
    <t>Stuff</t>
  </si>
  <si>
    <t>Hitchfields</t>
  </si>
  <si>
    <t>AMEX Updated: 2057.95</t>
  </si>
  <si>
    <t>BA Avios: 1196.58</t>
  </si>
  <si>
    <t>parking</t>
  </si>
  <si>
    <t>"010793"</t>
  </si>
  <si>
    <t>"53206592"</t>
  </si>
  <si>
    <t>Initial cost</t>
  </si>
  <si>
    <t>repair-to-cost ratio</t>
  </si>
  <si>
    <t>99k</t>
  </si>
  <si>
    <t>61k</t>
  </si>
  <si>
    <t>105k</t>
  </si>
  <si>
    <t>Still to pay</t>
  </si>
  <si>
    <t>$50</t>
  </si>
  <si>
    <t>coco</t>
  </si>
  <si>
    <t>spending inc transfer</t>
  </si>
  <si>
    <t>Parking, london, pet care</t>
  </si>
  <si>
    <t>Expected outgoings</t>
  </si>
  <si>
    <t>Total cash</t>
  </si>
  <si>
    <t>Short (pull from savings)</t>
  </si>
  <si>
    <t>Engine</t>
  </si>
  <si>
    <t>Re-sale (scrap)</t>
  </si>
  <si>
    <t>Re-sale (private)</t>
  </si>
  <si>
    <t>BA Avios: 250.18</t>
  </si>
  <si>
    <t>screwfix</t>
  </si>
  <si>
    <t>NW Updated: 3567.77</t>
  </si>
  <si>
    <t>Upgrade vouchers</t>
  </si>
  <si>
    <t>180k</t>
  </si>
  <si>
    <t>Premium economy return</t>
  </si>
  <si>
    <t>Business</t>
  </si>
  <si>
    <t>2 4 1 Voucher</t>
  </si>
  <si>
    <t>Upgrade Voucher</t>
  </si>
  <si>
    <t>Business (1)</t>
  </si>
  <si>
    <t>95k</t>
  </si>
  <si>
    <t>Upgrade w/ Points</t>
  </si>
  <si>
    <t>60k</t>
  </si>
  <si>
    <t>190k</t>
  </si>
  <si>
    <t>Seller rating</t>
  </si>
  <si>
    <t>Milage</t>
  </si>
  <si>
    <t>Re-sale average</t>
  </si>
  <si>
    <t>Warranty</t>
  </si>
  <si>
    <t>Link</t>
  </si>
  <si>
    <t>Offered</t>
  </si>
  <si>
    <t>Extra cost</t>
  </si>
  <si>
    <t>40,000 / 99.7</t>
  </si>
  <si>
    <t>Timing</t>
  </si>
  <si>
    <t>https://www.ebay.co.uk/itm/116362748524</t>
  </si>
  <si>
    <t>2075 / 100</t>
  </si>
  <si>
    <t>1 year</t>
  </si>
  <si>
    <t>https://www.ebay.co.uk/itm/165002805902</t>
  </si>
  <si>
    <t>563 / 99.7</t>
  </si>
  <si>
    <t>30 day</t>
  </si>
  <si>
    <t>https://www.ebay.co.uk/itm/335287400160</t>
  </si>
  <si>
    <t>2091 / 100</t>
  </si>
  <si>
    <t>https://www.ebay.co.uk/itm/135295895949</t>
  </si>
  <si>
    <t>AMEX Updated: 3814.12</t>
  </si>
  <si>
    <t>Saviongs (less car)</t>
  </si>
  <si>
    <t>Savings (missing)</t>
  </si>
  <si>
    <t>sweets</t>
  </si>
  <si>
    <t>F&amp;C</t>
  </si>
  <si>
    <t>Work Hotel</t>
  </si>
  <si>
    <t>"20-11-81 43115208"</t>
  </si>
  <si>
    <t>FROM SAVINGS</t>
  </si>
  <si>
    <t>MOVE TO BARC</t>
  </si>
  <si>
    <t>NW / REG SAV</t>
  </si>
  <si>
    <t>NW / INS ACC SAV</t>
  </si>
  <si>
    <t>BARC / REG SAV</t>
  </si>
  <si>
    <t>SAVINGS LEFT</t>
  </si>
  <si>
    <t>LESS CAR REMAINING</t>
  </si>
  <si>
    <t>PLUS SALE</t>
  </si>
  <si>
    <t>Amelia</t>
  </si>
  <si>
    <t>House hold</t>
  </si>
  <si>
    <t>Handbag</t>
  </si>
  <si>
    <t>Cards</t>
  </si>
  <si>
    <t>Kate (Pilates)</t>
  </si>
  <si>
    <t>Health + Wellness</t>
  </si>
  <si>
    <t>NW Updated: 4830.55</t>
  </si>
  <si>
    <t>AMEX Updated: 2028.56</t>
  </si>
  <si>
    <t>BA Avios: 2858.03</t>
  </si>
  <si>
    <t>sains</t>
  </si>
  <si>
    <t>Lee + Kat + Morgan + Dylan</t>
  </si>
  <si>
    <t>Craig + Alex + Adam</t>
  </si>
  <si>
    <t>Steve + Emma + Ben</t>
  </si>
  <si>
    <t>Varley Party Distribution Group</t>
  </si>
  <si>
    <t>Auntie Distribution Group</t>
  </si>
  <si>
    <t>Neighbours / Friends Distribution Group</t>
  </si>
  <si>
    <t>To post</t>
  </si>
  <si>
    <t>PARTY</t>
  </si>
  <si>
    <t>Sale method</t>
  </si>
  <si>
    <t>WBAC</t>
  </si>
  <si>
    <t>Private</t>
  </si>
  <si>
    <t>New car</t>
  </si>
  <si>
    <t>Cinch</t>
  </si>
  <si>
    <t>Motorway</t>
  </si>
  <si>
    <t>AMEX Updated: 1329.69</t>
  </si>
  <si>
    <t>BA Avios: 2576.97</t>
  </si>
  <si>
    <t>spar</t>
  </si>
  <si>
    <t>NW Updated: 3825.55</t>
  </si>
  <si>
    <t>Save £100 fuel</t>
  </si>
  <si>
    <t>Inbound $$$</t>
  </si>
  <si>
    <t>Pay rise discussion</t>
  </si>
  <si>
    <t>Exepnses</t>
  </si>
  <si>
    <t>Sell car screen</t>
  </si>
  <si>
    <t>Hitchfields diag</t>
  </si>
  <si>
    <t>Engine strip + rebuild</t>
  </si>
  <si>
    <t>Running H</t>
  </si>
  <si>
    <t>Running Cost</t>
  </si>
  <si>
    <t>Engine fit</t>
  </si>
  <si>
    <t>Bottom Arms</t>
  </si>
  <si>
    <t>AMEX Updated: 9.49</t>
  </si>
  <si>
    <t>BA Avios: 791.25</t>
  </si>
  <si>
    <t>NW Updated: 3383.7</t>
  </si>
  <si>
    <t>msft</t>
  </si>
  <si>
    <t>Interest Rate (%)</t>
  </si>
  <si>
    <t>Increase (£)</t>
  </si>
  <si>
    <t>Term (y)</t>
  </si>
  <si>
    <t>Current Mortgage (£)</t>
  </si>
  <si>
    <t>Equity (£)</t>
  </si>
  <si>
    <t>New House Price (£)</t>
  </si>
  <si>
    <t>Renovations (£)</t>
  </si>
  <si>
    <t>Extras (£)</t>
  </si>
  <si>
    <t>Required Mortgage (£)</t>
  </si>
  <si>
    <t>LTV (%)</t>
  </si>
  <si>
    <t>Current Monthly</t>
  </si>
  <si>
    <t>New Monthly</t>
  </si>
  <si>
    <t>Current Home Value (£)</t>
  </si>
  <si>
    <t>Current Loan</t>
  </si>
  <si>
    <t>Current Monthly Mtg</t>
  </si>
  <si>
    <t>New Monthly Mtg</t>
  </si>
  <si>
    <t>Current Utilities</t>
  </si>
  <si>
    <t>New Utilities</t>
  </si>
  <si>
    <t>BA Avios: 1766.02</t>
  </si>
  <si>
    <t>Hub + Bearing</t>
  </si>
  <si>
    <t>Card / Month</t>
  </si>
  <si>
    <t>Gross</t>
  </si>
  <si>
    <t>NW Updated: 3092.64</t>
  </si>
  <si>
    <t>AMEX Updated: 54.47</t>
  </si>
  <si>
    <t>Kris sunglasses + stuff</t>
  </si>
  <si>
    <t>Avios Flow 2025</t>
  </si>
  <si>
    <t>Avios Flow 2026</t>
  </si>
  <si>
    <t>Barclays Premier</t>
  </si>
  <si>
    <t>Monthly Spend</t>
  </si>
  <si>
    <t>Bi-monthly bill transfer</t>
  </si>
  <si>
    <t>BONUS</t>
  </si>
  <si>
    <t>Avios Flow 2027</t>
  </si>
  <si>
    <t>Barclaycard avios</t>
  </si>
  <si>
    <t>2 years welcome bonus</t>
  </si>
  <si>
    <t>Welcome</t>
  </si>
  <si>
    <t>Matt AMEX</t>
  </si>
  <si>
    <t>Kris AMEX</t>
  </si>
  <si>
    <t>Barclaycard Premium</t>
  </si>
  <si>
    <t>FEES</t>
  </si>
  <si>
    <t>Business flights</t>
  </si>
  <si>
    <t>Flights (tax)</t>
  </si>
  <si>
    <t>Cash required</t>
  </si>
  <si>
    <t>Cash available</t>
  </si>
  <si>
    <t>Total Deficit</t>
  </si>
  <si>
    <t>Cash in hand</t>
  </si>
  <si>
    <t>eBay</t>
  </si>
  <si>
    <t>Amz rfd</t>
  </si>
  <si>
    <t>RAM</t>
  </si>
  <si>
    <t>SSD</t>
  </si>
  <si>
    <t>AMZ rfd</t>
  </si>
  <si>
    <t>BA Avios: 3130.99</t>
  </si>
  <si>
    <t>sfix</t>
  </si>
  <si>
    <t>AMEX Updated: 454.82</t>
  </si>
  <si>
    <t>NW Updated: 1056.62</t>
  </si>
  <si>
    <t>Ebay (balance)</t>
  </si>
  <si>
    <t>Ebay (planned)</t>
  </si>
  <si>
    <t>AMEX Updated: 36.71</t>
  </si>
  <si>
    <t>Defecit</t>
  </si>
  <si>
    <t>Defecit less extras</t>
  </si>
  <si>
    <t>NW Updated: 2080.76</t>
  </si>
  <si>
    <t>AMEX (KRIS): 2362.43</t>
  </si>
  <si>
    <t>holister</t>
  </si>
  <si>
    <t>6k in 3 months</t>
  </si>
  <si>
    <t>60k avios</t>
  </si>
  <si>
    <t>Sundays finances</t>
  </si>
  <si>
    <t>Check avios offers</t>
  </si>
  <si>
    <t>Check AMEX offers</t>
  </si>
  <si>
    <t>Check investment opportunities</t>
  </si>
  <si>
    <t>Check ebay</t>
  </si>
  <si>
    <t>BA Avios: 874.95</t>
  </si>
  <si>
    <t>greggs</t>
  </si>
  <si>
    <t>2k @ 1 month</t>
  </si>
  <si>
    <t>Cash Generators</t>
  </si>
  <si>
    <t>Bank transfers</t>
  </si>
  <si>
    <t>Credit card offers</t>
  </si>
  <si>
    <t>Phone swaps</t>
  </si>
  <si>
    <t>Broadband swaps</t>
  </si>
  <si>
    <t>Insurance swaps</t>
  </si>
  <si>
    <t>End Date</t>
  </si>
  <si>
    <t>Cash on hand</t>
  </si>
  <si>
    <t>Total increase</t>
  </si>
  <si>
    <t>james day out</t>
  </si>
  <si>
    <t>DIY</t>
  </si>
  <si>
    <t>PART</t>
  </si>
  <si>
    <t>DPF</t>
  </si>
  <si>
    <t>Timing chain</t>
  </si>
  <si>
    <t>Turbo</t>
  </si>
  <si>
    <t>AMEX (KRIS): 5023.28</t>
  </si>
  <si>
    <t>BA Avios: 405.77</t>
  </si>
  <si>
    <t>refund plt</t>
  </si>
  <si>
    <t>ebay (sold)</t>
  </si>
  <si>
    <t>cash on hand</t>
  </si>
  <si>
    <t>Deficit</t>
  </si>
  <si>
    <t>Deficit less inbound</t>
  </si>
  <si>
    <t>List price</t>
  </si>
  <si>
    <t>Postage</t>
  </si>
  <si>
    <t>BMW Umbrella</t>
  </si>
  <si>
    <t>SSD 512gb</t>
  </si>
  <si>
    <t>32gb RAM</t>
  </si>
  <si>
    <t>Mirrors</t>
  </si>
  <si>
    <t>Panels</t>
  </si>
  <si>
    <t>Gloves</t>
  </si>
  <si>
    <t>Crate</t>
  </si>
  <si>
    <t>NW Updated: 2491.07</t>
  </si>
  <si>
    <t>Deficit less eBay sales</t>
  </si>
  <si>
    <t>Transfer PayPal</t>
  </si>
  <si>
    <t>Pay off current statements</t>
  </si>
  <si>
    <t>Hackfest Reimburse</t>
  </si>
  <si>
    <t>From savings + eBay</t>
  </si>
  <si>
    <t>Total trip</t>
  </si>
  <si>
    <t>Less trip</t>
  </si>
  <si>
    <t>Less zara</t>
  </si>
  <si>
    <t>Less ebay</t>
  </si>
  <si>
    <t>Less savings</t>
  </si>
  <si>
    <t>Less COH</t>
  </si>
  <si>
    <t>Less PLT rfd</t>
  </si>
  <si>
    <t>Less monthlies</t>
  </si>
  <si>
    <t>Less ebay pending</t>
  </si>
  <si>
    <t>Current Cash</t>
  </si>
  <si>
    <t>Less CC's (Defecit)</t>
  </si>
  <si>
    <t>Plus ebay</t>
  </si>
  <si>
    <t>Plus ebay pending</t>
  </si>
  <si>
    <t>AMEX Updated: 8850.92</t>
  </si>
  <si>
    <t>ocado</t>
  </si>
  <si>
    <t>BA Avios: 255.25</t>
  </si>
  <si>
    <t>airdale</t>
  </si>
  <si>
    <t>AMEX (Matt): 31.18</t>
  </si>
  <si>
    <t>Plus cash</t>
  </si>
  <si>
    <t>Savings from next month</t>
  </si>
  <si>
    <t>Singapore</t>
  </si>
  <si>
    <t>NW Updated: 4664.77</t>
  </si>
  <si>
    <t>Moss</t>
  </si>
  <si>
    <t>returning</t>
  </si>
  <si>
    <t>TKMaxx</t>
  </si>
  <si>
    <t>Chinese shop</t>
  </si>
  <si>
    <t>baskets</t>
  </si>
  <si>
    <t>pending barc</t>
  </si>
  <si>
    <t>pending amex</t>
  </si>
  <si>
    <t>Coco</t>
  </si>
  <si>
    <t>Lanterns</t>
  </si>
  <si>
    <t>Inbound</t>
  </si>
  <si>
    <t>mattress</t>
  </si>
  <si>
    <t>Home ins</t>
  </si>
  <si>
    <t>broadband</t>
  </si>
  <si>
    <t>pet ins</t>
  </si>
  <si>
    <t>utilities</t>
  </si>
  <si>
    <t>RR</t>
  </si>
  <si>
    <t>AMEX (Matt): 0</t>
  </si>
  <si>
    <t>Valuation</t>
  </si>
  <si>
    <t>Remaining mortgage</t>
  </si>
  <si>
    <t>Surplus</t>
  </si>
  <si>
    <t>Remortgage @ 85%</t>
  </si>
  <si>
    <t>AMEX Updated: 2770.76</t>
  </si>
  <si>
    <t>battery</t>
  </si>
  <si>
    <t>flight refund</t>
  </si>
  <si>
    <t>Undie refund</t>
  </si>
  <si>
    <t>Coco diff</t>
  </si>
  <si>
    <t>Total Pending</t>
  </si>
  <si>
    <t>Total Sold</t>
  </si>
  <si>
    <t>Sold</t>
  </si>
  <si>
    <t>RL Bag</t>
  </si>
  <si>
    <t>ebay pending</t>
  </si>
  <si>
    <t>ebay balance</t>
  </si>
  <si>
    <t xml:space="preserve">AMEX plus </t>
  </si>
  <si>
    <t>Barclays + Premier</t>
  </si>
  <si>
    <t>Gaurunteed avios</t>
  </si>
  <si>
    <t>4 free lounge passes</t>
  </si>
  <si>
    <t>Barclaycard Annual</t>
  </si>
  <si>
    <t>Plus</t>
  </si>
  <si>
    <t>Card Ownership</t>
  </si>
  <si>
    <t>Owner</t>
  </si>
  <si>
    <t>Bonus Renewal</t>
  </si>
  <si>
    <t>Barclaycard Avios Plus</t>
  </si>
  <si>
    <t>Barclaycard Avios</t>
  </si>
  <si>
    <t>AMEX Premium Plus</t>
  </si>
  <si>
    <t>Date Issued</t>
  </si>
  <si>
    <t>Date Cancelled</t>
  </si>
  <si>
    <t>NW Updated: 1484.45</t>
  </si>
  <si>
    <t>BA Avios: 532.59</t>
  </si>
  <si>
    <t>Cash Flow 2027</t>
  </si>
  <si>
    <t>Cash Flow 2028</t>
  </si>
  <si>
    <t>pcm</t>
  </si>
  <si>
    <t>2028 remortgage @ 25 year term</t>
  </si>
  <si>
    <t>2023 remortgage @ 30 year term</t>
  </si>
  <si>
    <t>loan overpayments</t>
  </si>
  <si>
    <t>to end both by 2028</t>
  </si>
  <si>
    <t>FP16YMS</t>
  </si>
  <si>
    <t>Fuel Price</t>
  </si>
  <si>
    <t>MOT + Service</t>
  </si>
  <si>
    <t>Current Milage</t>
  </si>
  <si>
    <t>PX</t>
  </si>
  <si>
    <t>Fuerteventura</t>
  </si>
  <si>
    <t>Italy</t>
  </si>
  <si>
    <t>Thailand</t>
  </si>
  <si>
    <t>christmas</t>
  </si>
  <si>
    <t>BA Avios: 86.72</t>
  </si>
  <si>
    <t>Q2 L10</t>
  </si>
  <si>
    <t>Appx</t>
  </si>
  <si>
    <t>Balance Transfer</t>
  </si>
  <si>
    <t>XC40</t>
  </si>
  <si>
    <t>Fuel saving</t>
  </si>
  <si>
    <t>Insurance saving</t>
  </si>
  <si>
    <t>Best case</t>
  </si>
  <si>
    <t>Car sales</t>
  </si>
  <si>
    <t>Pm savings</t>
  </si>
  <si>
    <t>Metric</t>
  </si>
  <si>
    <t>AMEX Companion Voucher</t>
  </si>
  <si>
    <t>2× Barclaycard Cabin Upgrades</t>
  </si>
  <si>
    <t>Cash/fees</t>
  </si>
  <si>
    <t>Voucher cost</t>
  </si>
  <si>
    <t>£300/year</t>
  </si>
  <si>
    <t>Effective per person</t>
  </si>
  <si>
    <t>110k Avios + £300</t>
  </si>
  <si>
    <t>110k Avios + £580</t>
  </si>
  <si>
    <t>Cabin</t>
  </si>
  <si>
    <t>Club World (Business)</t>
  </si>
  <si>
    <t>£324/year (2 vouchers from 2 cards)</t>
  </si>
  <si>
    <t>Real-world fuel savign</t>
  </si>
  <si>
    <t>Ins saving</t>
  </si>
  <si>
    <t>cancel AMEX</t>
  </si>
  <si>
    <t>MOT only</t>
  </si>
  <si>
    <t>Extra monthly after car sale</t>
  </si>
  <si>
    <t>Enter Annual Salary</t>
  </si>
  <si>
    <t>*Note - If your pay adjusts through the year, your actual bonus payments will vary.</t>
  </si>
  <si>
    <t xml:space="preserve">  Additionally, if you were hired during 2024, please confirm your bonus plan with your manager.</t>
  </si>
  <si>
    <t>Earned Salary</t>
  </si>
  <si>
    <t>Enter Bonus Level from Quarterly Meeting</t>
  </si>
  <si>
    <t>Level #</t>
  </si>
  <si>
    <t>Bonus Level</t>
  </si>
  <si>
    <t>Bonus Payment</t>
  </si>
  <si>
    <t>First Half</t>
  </si>
  <si>
    <t>July Meeting Bonus Level</t>
  </si>
  <si>
    <t>Quarter 3</t>
  </si>
  <si>
    <t>October Meeting Bonus Level</t>
  </si>
  <si>
    <t>Year End</t>
  </si>
  <si>
    <t>January Meeting Bonus Level</t>
  </si>
  <si>
    <t>Total Bonus Payouts</t>
  </si>
  <si>
    <t>Level 1</t>
  </si>
  <si>
    <t>Level 2</t>
  </si>
  <si>
    <t>Level 3</t>
  </si>
  <si>
    <t>Level 4</t>
  </si>
  <si>
    <t>Level 5</t>
  </si>
  <si>
    <t>Level 6</t>
  </si>
  <si>
    <t>Level 7</t>
  </si>
  <si>
    <t>Level 8</t>
  </si>
  <si>
    <t>Level 9</t>
  </si>
  <si>
    <t>Level 10</t>
  </si>
  <si>
    <t>Recurring Revenue Bonus Target</t>
  </si>
  <si>
    <t>Bonus as a % of Earned Salary thru 6/30</t>
  </si>
  <si>
    <t>2024 Bonus Payment #2 - Q3 of 2024</t>
  </si>
  <si>
    <t>Bonus as a % of 3rd Quarter Earned Salary</t>
  </si>
  <si>
    <t>Directions</t>
  </si>
  <si>
    <t>1. Fill out your Annual Salary in B20</t>
  </si>
  <si>
    <t>2. Fill out the levels from each of the quarterly meetings in E23, E24, and E25</t>
  </si>
  <si>
    <t>Double Check</t>
  </si>
  <si>
    <t>Total Earned Salary</t>
  </si>
  <si>
    <t>Total Bonus Paid</t>
  </si>
  <si>
    <t>Actual Bonus %</t>
  </si>
  <si>
    <t>2024 Annual Bonus Plan</t>
  </si>
  <si>
    <t>Bonus as a % of 2024 Earned Salary</t>
  </si>
  <si>
    <t>2024 Bonus Payment #1 - First Half of 2024</t>
  </si>
  <si>
    <t>Post-tax</t>
  </si>
  <si>
    <t>2025 Annual Bonus Plan</t>
  </si>
  <si>
    <t>Bonus as a % of 2025 Earned Salary</t>
  </si>
  <si>
    <t>2025 Bonus Payment #1 - First Half of 2025</t>
  </si>
  <si>
    <t>2025 Bonus Payment #2 - Q3 of 2025</t>
  </si>
  <si>
    <t xml:space="preserve">  Additionally, if you were hired during 2025, please confirm your bonus plan with your manager.</t>
  </si>
  <si>
    <t>Action</t>
  </si>
  <si>
    <t>Respond to email</t>
  </si>
  <si>
    <t>Sell sell sell</t>
  </si>
  <si>
    <t>Contact amex to downgrade</t>
  </si>
  <si>
    <t>Cancel @ JCT600</t>
  </si>
  <si>
    <t>Pray</t>
  </si>
  <si>
    <t>(instead of vouchers)</t>
  </si>
  <si>
    <t>Barclays Combo</t>
  </si>
  <si>
    <t>25-26</t>
  </si>
  <si>
    <t>26-27</t>
  </si>
  <si>
    <t>vodafone</t>
  </si>
  <si>
    <t>BA Premier: 6067.35</t>
  </si>
  <si>
    <t>keighley</t>
  </si>
  <si>
    <t>nights</t>
  </si>
  <si>
    <t>defecit</t>
  </si>
  <si>
    <t>VOUCHER COUNT</t>
  </si>
  <si>
    <t>Big Extras</t>
  </si>
  <si>
    <t>AMEX Updated: 235.98</t>
  </si>
  <si>
    <t>NW Updated: 4144.75</t>
  </si>
  <si>
    <t>Remaining cash</t>
  </si>
  <si>
    <t>Less summer budget</t>
  </si>
  <si>
    <t>Less AMEX card</t>
  </si>
  <si>
    <t>Total Barclays</t>
  </si>
  <si>
    <t>Summer Budget</t>
  </si>
  <si>
    <t>BA Avios: 0</t>
  </si>
  <si>
    <t>Uni bois</t>
  </si>
  <si>
    <t>summer budget</t>
  </si>
  <si>
    <t>Outings</t>
  </si>
  <si>
    <t>Planned Outings</t>
  </si>
  <si>
    <t>AMEX Updated: 10</t>
  </si>
  <si>
    <t>Credit Cards</t>
  </si>
  <si>
    <t>index fund S&amp;P 500</t>
  </si>
  <si>
    <t>high interest savings</t>
  </si>
  <si>
    <t>high risk (crypto)</t>
  </si>
  <si>
    <t>individual stocks</t>
  </si>
  <si>
    <t>NW Updated: 2733.99</t>
  </si>
  <si>
    <t>hp</t>
  </si>
  <si>
    <t>BA Premier: 884.56</t>
  </si>
  <si>
    <t>autotrader</t>
  </si>
  <si>
    <t>Date From</t>
  </si>
  <si>
    <t>Date To</t>
  </si>
  <si>
    <t>Trip</t>
  </si>
  <si>
    <t>Seats (SIN)</t>
  </si>
  <si>
    <t>Seats (PHX)</t>
  </si>
  <si>
    <t>BA Premier: 2328.57</t>
  </si>
  <si>
    <t>hops</t>
  </si>
  <si>
    <t>pets at home refund</t>
  </si>
  <si>
    <t>creamy emergency fund</t>
  </si>
  <si>
    <t>kris bonus cover seat</t>
  </si>
  <si>
    <t>cotswolds overspend</t>
  </si>
  <si>
    <t>AMEX Updated: 382.3</t>
  </si>
  <si>
    <t>NW Updated: 2364.37</t>
  </si>
  <si>
    <t>Column1.dateProcessed</t>
  </si>
  <si>
    <t>Column1.description</t>
  </si>
  <si>
    <t>Column1.type.value</t>
  </si>
  <si>
    <t>Column1.partner.value</t>
  </si>
  <si>
    <t>Column1.amount</t>
  </si>
  <si>
    <t>2025-08-04T21:28:23.000Z</t>
  </si>
  <si>
    <t>BARCLAYCARD</t>
  </si>
  <si>
    <t>Collection</t>
  </si>
  <si>
    <t>2025-08-04T07:21:32.000Z</t>
  </si>
  <si>
    <t>BARCLAYS PREMIER BANKING</t>
  </si>
  <si>
    <t>Finance Card</t>
  </si>
  <si>
    <t>2025-07-28T22:57:33.000Z</t>
  </si>
  <si>
    <t>Nectar to Avios</t>
  </si>
  <si>
    <t>Avios Exchange</t>
  </si>
  <si>
    <t>Avios Conversion</t>
  </si>
  <si>
    <t>2025-07-22T08:35:40.000Z</t>
  </si>
  <si>
    <t>APH Airport Parking &amp; Hotels</t>
  </si>
  <si>
    <t>BA Avios eStore</t>
  </si>
  <si>
    <t>ESTORE</t>
  </si>
  <si>
    <t>2025-07-03T14:50:59.000Z</t>
  </si>
  <si>
    <t>2025-07-03T13:50:10.000Z</t>
  </si>
  <si>
    <t>2025-07-03T08:33:36.000Z</t>
  </si>
  <si>
    <t>Confused.com Car Insurance</t>
  </si>
  <si>
    <t>2025-06-27T17:21:32.000Z</t>
  </si>
  <si>
    <t>BA Avios eStore Redeposit</t>
  </si>
  <si>
    <t>British Airways</t>
  </si>
  <si>
    <t>2025-06-27T16:22:24.000Z</t>
  </si>
  <si>
    <t>2025-06-18T14:58:35.000Z</t>
  </si>
  <si>
    <t>AMEX Premium Plus bonus tier points</t>
  </si>
  <si>
    <t>2025-06-04T22:14:46.000Z</t>
  </si>
  <si>
    <t>AMEX Spend</t>
  </si>
  <si>
    <t>AMEX UK</t>
  </si>
  <si>
    <t>2025-06-03T19:12:29.000Z</t>
  </si>
  <si>
    <t>AVIOS COLLECT</t>
  </si>
  <si>
    <t>2025-06-03T09:21:45.000Z</t>
  </si>
  <si>
    <t>2025-06-03T03:13:29.000Z</t>
  </si>
  <si>
    <t>2025-05-29T08:37:18.000Z</t>
  </si>
  <si>
    <t>2025-05-13T16:50:01.000Z</t>
  </si>
  <si>
    <t>AVUK</t>
  </si>
  <si>
    <t>Combine My Avios Credit</t>
  </si>
  <si>
    <t>Combine my Avios</t>
  </si>
  <si>
    <t>2025-05-09T08:20:01.000Z</t>
  </si>
  <si>
    <t>2025-05-04T22:11:19.000Z</t>
  </si>
  <si>
    <t>2025-05-02T10:34:09.000Z</t>
  </si>
  <si>
    <t>2025-04-28T04:38:23.000Z</t>
  </si>
  <si>
    <t>Candy Kittens</t>
  </si>
  <si>
    <t>2025-04-08T11:08:56.000Z</t>
  </si>
  <si>
    <t>2025-04-04T22:12:10.000Z</t>
  </si>
  <si>
    <t>2025-04-02T12:15:34.000Z</t>
  </si>
  <si>
    <t>2025-04-02T07:24:22.000Z</t>
  </si>
  <si>
    <t>Your Lifetime Tier Points have been updated to reflect our new way of calculating them
Old Value: 100
New Value: 1572</t>
  </si>
  <si>
    <t xml:space="preserve">	Lifetime tier points adjustment</t>
  </si>
  <si>
    <t>2025-04-01T09:09:44.000Z</t>
  </si>
  <si>
    <t>Tier Points Reset for New Membership Year</t>
  </si>
  <si>
    <t>Tier Points Adjustment</t>
  </si>
  <si>
    <t>2025-03-30T04:51:44.000Z</t>
  </si>
  <si>
    <t>Thortful</t>
  </si>
  <si>
    <t>2025-03-23T06:33:03.000Z</t>
  </si>
  <si>
    <t>ASOS UK</t>
  </si>
  <si>
    <t>2025-03-23T06:33:02.000Z</t>
  </si>
  <si>
    <t>2025-03-21T13:09:49.000Z</t>
  </si>
  <si>
    <t>2025-03-21T13:09:48.000Z</t>
  </si>
  <si>
    <t>2025-03-04T21:51:19.000Z</t>
  </si>
  <si>
    <t>2025-03-04T10:03:46.000Z</t>
  </si>
  <si>
    <t>2025-02-04T21:56:26.000Z</t>
  </si>
  <si>
    <t>2025-02-04T08:24:48.000Z</t>
  </si>
  <si>
    <t>2025-01-05T10:12:28.000Z</t>
  </si>
  <si>
    <t>Shopping.ba.com Black Friday 2024 Bonus</t>
  </si>
  <si>
    <t>2025-01-04T21:49:37.000Z</t>
  </si>
  <si>
    <t>2025-01-04T05:55:35.000Z</t>
  </si>
  <si>
    <t>eBay.</t>
  </si>
  <si>
    <t>2025-01-03T15:23:41.000Z</t>
  </si>
  <si>
    <t>2024-12-24T05:39:30.000Z</t>
  </si>
  <si>
    <t>Carphone Warehouse</t>
  </si>
  <si>
    <t>2024-12-24T05:25:05.000Z</t>
  </si>
  <si>
    <t>2024-12-23T05:12:53.000Z</t>
  </si>
  <si>
    <t>2024-12-19T09:38:13.000Z</t>
  </si>
  <si>
    <t>2024-12-18T05:33:38.000Z</t>
  </si>
  <si>
    <t>Fortnum &amp; Mason</t>
  </si>
  <si>
    <t>2024-12-08T03:07:39.000Z</t>
  </si>
  <si>
    <t>2024-12-04T21:44:36.000Z</t>
  </si>
  <si>
    <t>AMEX BA Spend</t>
  </si>
  <si>
    <t>2024-12-03T09:22:01.000Z</t>
  </si>
  <si>
    <t>2024-12-03T15:30:05.000Z</t>
  </si>
  <si>
    <t>Avios Hotels Dec 2024 bonus</t>
  </si>
  <si>
    <t>AGL</t>
  </si>
  <si>
    <t>2024-11-24T18:24:40.000Z</t>
  </si>
  <si>
    <t>London Heathrow to Singapore
Departure Date: 28 Oct 2025
BA0011</t>
  </si>
  <si>
    <t>Companion Voucher Redeemed</t>
  </si>
  <si>
    <t>Contribution received</t>
  </si>
  <si>
    <t>Household Redemption</t>
  </si>
  <si>
    <t>2024-11-18T23:14:51.000Z</t>
  </si>
  <si>
    <t>2024-11-08T23:57:54.000Z</t>
  </si>
  <si>
    <t>PURCHASE AVIOS BALANCE BOOST</t>
  </si>
  <si>
    <t>PURCHASE AVIOS BALANCE BOOSTER</t>
  </si>
  <si>
    <t>2024-11-06T03:04:31.000Z</t>
  </si>
  <si>
    <t>2024-11-04T21:44:49.000Z</t>
  </si>
  <si>
    <t>2024-11-04T10:36:44.000Z</t>
  </si>
  <si>
    <t>2024-10-29T07:07:08.000Z</t>
  </si>
  <si>
    <t>2024-10-29T06:56:34.000Z</t>
  </si>
  <si>
    <t>2024-10-29T05:57:54.000Z</t>
  </si>
  <si>
    <t>Sky TV &amp; Broadband</t>
  </si>
  <si>
    <t>2024-10-29T03:07:04.000Z</t>
  </si>
  <si>
    <t>2024-10-17T04:31:14.000Z</t>
  </si>
  <si>
    <t>Booking.com UK</t>
  </si>
  <si>
    <t>2024-10-09T06:38:26.000Z</t>
  </si>
  <si>
    <t>Velana International to London Heathrow
Departure Date: 6 Oct 2024
BA60
Booking Reference: VX96SM
Total Eligible Spend: GBP 46.00</t>
  </si>
  <si>
    <t>Paid Seating</t>
  </si>
  <si>
    <t>Velana International to London Heathrow
Class: Economy (X)
Departure Date: 6 Oct 2024
BA60
Booking Reference: VX96SM</t>
  </si>
  <si>
    <t>Ineligible Flight</t>
  </si>
  <si>
    <t>2024-10-04T21:59:35.000Z</t>
  </si>
  <si>
    <t>2024-10-04T21:59:34.000Z</t>
  </si>
  <si>
    <t>2024-10-04T05:11:05.000Z</t>
  </si>
  <si>
    <t>Sainsbury's Grocery</t>
  </si>
  <si>
    <t>2024-10-03T04:30:18.000Z</t>
  </si>
  <si>
    <t>2024-10-02T08:38:55.000Z</t>
  </si>
  <si>
    <t>2024-10-01T04:26:58.000Z</t>
  </si>
  <si>
    <t>London Heathrow to Velana International
Class: Economy (X)
Departure Date: 28 Sep 2024
BA61
Booking Reference: VX96SM</t>
  </si>
  <si>
    <t>2024-09-27T05:40:53.000Z</t>
  </si>
  <si>
    <t>SweatyBetty</t>
  </si>
  <si>
    <t>2024-09-26T06:14:50.000Z</t>
  </si>
  <si>
    <t>2024-09-16T04:24:58.000Z</t>
  </si>
  <si>
    <t>Myprotein.com UK</t>
  </si>
  <si>
    <t>2024-09-12T04:13:57.000Z</t>
  </si>
  <si>
    <t>2024-09-04T22:06:12.000Z</t>
  </si>
  <si>
    <t>2024-08-29T05:59:52.000Z</t>
  </si>
  <si>
    <t>lululemon UK</t>
  </si>
  <si>
    <t>2024-08-29T05:43:45.000Z</t>
  </si>
  <si>
    <t>2024-08-28T04:12:56.000Z</t>
  </si>
  <si>
    <t>NordVPN</t>
  </si>
  <si>
    <t>2024-08-24T04:20:23.000Z</t>
  </si>
  <si>
    <t>LOOKFANTASTIC</t>
  </si>
  <si>
    <t>2024-08-21T12:37:13.000Z</t>
  </si>
  <si>
    <t>Tier Point Collection Year Change</t>
  </si>
  <si>
    <t>Tier Point Adjustment</t>
  </si>
  <si>
    <t>2024-08-17T04:17:33.000Z</t>
  </si>
  <si>
    <t>2024-08-09T03:38:00.000Z</t>
  </si>
  <si>
    <t>2024-08-05T21:56:46.000Z</t>
  </si>
  <si>
    <t>2024-07-18T04:13:24.000Z</t>
  </si>
  <si>
    <t>2024-07-17T04:15:49.000Z</t>
  </si>
  <si>
    <t>Kiehl's UK</t>
  </si>
  <si>
    <t>2024-07-05T05:39:33.000Z</t>
  </si>
  <si>
    <t>AMEX NON BA SPEND</t>
  </si>
  <si>
    <t>2024-07-02T18:22:08.000Z</t>
  </si>
  <si>
    <t>2024-06-07T04:20:47.000Z</t>
  </si>
  <si>
    <t>H&amp;M UK</t>
  </si>
  <si>
    <t>2024-06-06T07:04:56.000Z</t>
  </si>
  <si>
    <t>AMEX Premium Plus Tier Points</t>
  </si>
  <si>
    <t>2024-06-04T10:36:14.000Z</t>
  </si>
  <si>
    <t>2024-06-02T04:24:12.000Z</t>
  </si>
  <si>
    <t>2024-05-31T05:24:06.000Z</t>
  </si>
  <si>
    <t>LEGO UK</t>
  </si>
  <si>
    <t>2024-05-31T04:48:14.000Z</t>
  </si>
  <si>
    <t>Stylevana</t>
  </si>
  <si>
    <t>2024-05-29T17:17:37.000Z</t>
  </si>
  <si>
    <t>2024-05-17T04:22:01.000Z</t>
  </si>
  <si>
    <t>2024-05-10T04:22:45.000Z</t>
  </si>
  <si>
    <t>2024-05-10T11:31:24.000Z</t>
  </si>
  <si>
    <t>AMEX BA SPEND</t>
  </si>
  <si>
    <t>2024-05-02T10:52:51.000Z</t>
  </si>
  <si>
    <t>2024-04-29T23:54:38.000Z</t>
  </si>
  <si>
    <t>2024-05-09T06:45:08.000Z</t>
  </si>
  <si>
    <t>AVIS AVIS BASE LEISURE AWARD</t>
  </si>
  <si>
    <t>Car Hire</t>
  </si>
  <si>
    <t>AVIS</t>
  </si>
  <si>
    <t>2024-04-25T05:08:13.000Z</t>
  </si>
  <si>
    <t>2024-04-19T04:16:35.000Z</t>
  </si>
  <si>
    <t>2024-04-18T04:22:43.000Z</t>
  </si>
  <si>
    <t>Manchester Airport Parking</t>
  </si>
  <si>
    <t>2024-04-15T23:53:27.000Z</t>
  </si>
  <si>
    <t>2024-04-13T21:24:32.000Z</t>
  </si>
  <si>
    <t>London Heathrow to Velana International
Departure Date: 28 Sep 2024
BA0061</t>
  </si>
  <si>
    <t>2024-04-13T18:54:29.000Z</t>
  </si>
  <si>
    <t>2024-04-13T17:31:46.000Z</t>
  </si>
  <si>
    <t>2024-04-07T06:30:55.000Z</t>
  </si>
  <si>
    <t>2024-04-05T04:29:37.000Z</t>
  </si>
  <si>
    <t>Debenhams</t>
  </si>
  <si>
    <t>2024-04-03T09:57:32.000Z</t>
  </si>
  <si>
    <t>2024-03-17T05:35:57.000Z</t>
  </si>
  <si>
    <t>2024-03-09T20:49:20.000Z</t>
  </si>
  <si>
    <t>Qatar Exchange</t>
  </si>
  <si>
    <t>QATAR TRANSFER</t>
  </si>
  <si>
    <t>2024-03-09T05:40:12.000Z</t>
  </si>
  <si>
    <t>2024-03-05T07:00:20.000Z</t>
  </si>
  <si>
    <t>2024-03-04T11:29:03.000Z</t>
  </si>
  <si>
    <t>2024-02-27T14:59:42.000Z</t>
  </si>
  <si>
    <t>Collection Redeposit</t>
  </si>
  <si>
    <t>2024-02-13T10:58:42.000Z</t>
  </si>
  <si>
    <t>2024-02-11T11:15:22.000Z</t>
  </si>
  <si>
    <t>Redemption</t>
  </si>
  <si>
    <t>2024-02-05T07:03:51.000Z</t>
  </si>
  <si>
    <t>2024-02-02T17:46:18.000Z</t>
  </si>
  <si>
    <t>2024-01-05T06:57:51.000Z</t>
  </si>
  <si>
    <t>2024-01-03T15:58:15.000Z</t>
  </si>
  <si>
    <t>2023-12-05T06:32:59.000Z</t>
  </si>
  <si>
    <t>2023-12-04T15:29:27.000Z</t>
  </si>
  <si>
    <t>2023-11-05T06:41:06.000Z</t>
  </si>
  <si>
    <t>2023-11-02T19:43:36.000Z</t>
  </si>
  <si>
    <t>2023-10-03T17:32:50.000Z</t>
  </si>
  <si>
    <t>2023-09-22T04:58:43.000Z</t>
  </si>
  <si>
    <t>AMEX WELCOME BONUS</t>
  </si>
  <si>
    <t>2023-09-15T07:25:46.000Z</t>
  </si>
  <si>
    <t>Avios Hotel / Car Award</t>
  </si>
  <si>
    <t>Switchfly</t>
  </si>
  <si>
    <t>2023-09-04T03:56:43.000Z</t>
  </si>
  <si>
    <t>2023-08-22T05:03:30.000Z</t>
  </si>
  <si>
    <t>Enhanced Bonus</t>
  </si>
  <si>
    <t>2025-08-17T22:09:28.000Z</t>
  </si>
  <si>
    <t>Contribution sent</t>
  </si>
  <si>
    <t>2025-08-13T08:42:16.000Z</t>
  </si>
  <si>
    <t>Matalan</t>
  </si>
  <si>
    <t>2025-08-11T08:32:48.000Z</t>
  </si>
  <si>
    <t>2025-08-10T08:32:43.000Z</t>
  </si>
  <si>
    <t>2025-08-09T09:33:09.000Z</t>
  </si>
  <si>
    <t>very.co.uk</t>
  </si>
  <si>
    <t>2025-08-07T22:29:47.000Z</t>
  </si>
  <si>
    <t>2025-08-02T08:14:12.000Z</t>
  </si>
  <si>
    <t>2025-07-30T08:23:19.000Z</t>
  </si>
  <si>
    <t>GetYourGuide</t>
  </si>
  <si>
    <t>2025-07-30T08:16:51.000Z</t>
  </si>
  <si>
    <t>2025-07-28T08:51:43.000Z</t>
  </si>
  <si>
    <t>2025-07-28T08:11:45.000Z</t>
  </si>
  <si>
    <t>2025-07-27T09:15:41.000Z</t>
  </si>
  <si>
    <t>Boots.com</t>
  </si>
  <si>
    <t>2025-07-25T12:37:16.000Z</t>
  </si>
  <si>
    <t>Hollister UK</t>
  </si>
  <si>
    <t>2025-07-25T12:25:43.000Z</t>
  </si>
  <si>
    <t>2025-07-10T09:34:37.000Z</t>
  </si>
  <si>
    <t>2025-07-07T22:28:25.000Z</t>
  </si>
  <si>
    <t>2025-07-04T08:12:43.000Z</t>
  </si>
  <si>
    <t>2025-06-28T12:38:51.000Z</t>
  </si>
  <si>
    <t>PrettyLittleThing</t>
  </si>
  <si>
    <t>2025-06-28T12:24:06.000Z</t>
  </si>
  <si>
    <t>2025-06-28T09:33:07.000Z</t>
  </si>
  <si>
    <t>2025-06-27T16:54:01.000Z</t>
  </si>
  <si>
    <t>2025-06-27T16:19:05.000Z</t>
  </si>
  <si>
    <t>2025-06-20T12:16:57.000Z</t>
  </si>
  <si>
    <t>2025-06-18T14:54:36.000Z</t>
  </si>
  <si>
    <t>2025-06-12T08:17:33.000Z</t>
  </si>
  <si>
    <t>2025-06-10T12:18:35.000Z</t>
  </si>
  <si>
    <t>2025-06-08T08:32:06.000Z</t>
  </si>
  <si>
    <t>2025-06-07T22:25:01.000Z</t>
  </si>
  <si>
    <t>2025-06-07T09:35:05.000Z</t>
  </si>
  <si>
    <t>2025-05-30T09:42:01.000Z</t>
  </si>
  <si>
    <t>Flannels</t>
  </si>
  <si>
    <t>2025-05-28T08:31:05.000Z</t>
  </si>
  <si>
    <t>2025-05-26T09:01:04.000Z</t>
  </si>
  <si>
    <t>2025-05-21T08:54:51.000Z</t>
  </si>
  <si>
    <t>2025-05-19T08:36:15.000Z</t>
  </si>
  <si>
    <t>2025-05-12T08:44:56.000Z</t>
  </si>
  <si>
    <t>2025-05-08T22:26:23.000Z</t>
  </si>
  <si>
    <t>2025-04-30T12:18:58.000Z</t>
  </si>
  <si>
    <t>2025-04-25T04:22:37.000Z</t>
  </si>
  <si>
    <t>2025-04-18T04:45:09.000Z</t>
  </si>
  <si>
    <t>2025-04-12T04:29:27.000Z</t>
  </si>
  <si>
    <t>2025-04-07T22:23:26.000Z</t>
  </si>
  <si>
    <t>AMEX Welcome Bonus</t>
  </si>
  <si>
    <t>2025-04-07T22:23:21.000Z</t>
  </si>
  <si>
    <t>2025-04-05T04:43:52.000Z</t>
  </si>
  <si>
    <t>SportsShoes</t>
  </si>
  <si>
    <t>2025-04-02T05:25:49.000Z</t>
  </si>
  <si>
    <t>Your Lifetime Tier Points have been updated to reflect our new way of calculating them
Old Value: 60
New Value: 943</t>
  </si>
  <si>
    <t>2025-03-24T05:39:11.000Z</t>
  </si>
  <si>
    <t>2025-03-23T05:30:39.000Z</t>
  </si>
  <si>
    <t>2025-03-09T05:28:19.000Z</t>
  </si>
  <si>
    <t>Marks &amp; Spencer</t>
  </si>
  <si>
    <t>2025-03-07T21:55:54.000Z</t>
  </si>
  <si>
    <t>2025-03-04T05:54:47.000Z</t>
  </si>
  <si>
    <t>2025-03-04T05:33:56.000Z</t>
  </si>
  <si>
    <t>2025-03-03T14:30:28.000Z</t>
  </si>
  <si>
    <t>TK Maxx</t>
  </si>
  <si>
    <t>2025-03-03T13:39:54.000Z</t>
  </si>
  <si>
    <t>2025-02-25T10:27:04.000Z</t>
  </si>
  <si>
    <t>Avios credit due to Membership Merge</t>
  </si>
  <si>
    <t>Avios Adjustment</t>
  </si>
  <si>
    <t>2025-02-25T05:47:55.000Z</t>
  </si>
  <si>
    <t>Ticketmaster</t>
  </si>
  <si>
    <t>2025-02-16T05:28:43.000Z</t>
  </si>
  <si>
    <t>2025-02-13T05:49:02.000Z</t>
  </si>
  <si>
    <t>2025-02-11T05:34:42.000Z</t>
  </si>
  <si>
    <t>Ninja</t>
  </si>
  <si>
    <t>2025-02-05T03:00:55.000Z</t>
  </si>
  <si>
    <t>2025-01-25T05:42:18.000Z</t>
  </si>
  <si>
    <t>Selfridges</t>
  </si>
  <si>
    <t>2025-01-18T06:41:57.000Z</t>
  </si>
  <si>
    <t>Serenata Flowers</t>
  </si>
  <si>
    <t>2025-01-14T09:39:59.000Z</t>
  </si>
  <si>
    <t>Shopping.ba.com Christmas 2024 Bonus</t>
  </si>
  <si>
    <t>2025-01-13T05:49:37.000Z</t>
  </si>
  <si>
    <t>Nike UK</t>
  </si>
  <si>
    <t>2025-01-05T00:08:55.000Z</t>
  </si>
  <si>
    <t>2024-12-24T13:34:57.000Z</t>
  </si>
  <si>
    <t>2024-12-23T05:48:24.000Z</t>
  </si>
  <si>
    <t>2024-12-21T13:24:08.000Z</t>
  </si>
  <si>
    <t>2024-12-20T05:55:27.000Z</t>
  </si>
  <si>
    <t>John Lewis &amp; Partners</t>
  </si>
  <si>
    <t>2024-12-13T05:33:10.000Z</t>
  </si>
  <si>
    <t>Dare2b UK</t>
  </si>
  <si>
    <t>2024-12-03T22:47:55.000Z</t>
  </si>
  <si>
    <t>2024-11-30T10:27:59.000Z</t>
  </si>
  <si>
    <t>2024-11-29T13:41:14.000Z</t>
  </si>
  <si>
    <t>Face the Future</t>
  </si>
  <si>
    <t>2024-11-25T06:12:47.000Z</t>
  </si>
  <si>
    <t>2024-11-23T09:32:27.000Z</t>
  </si>
  <si>
    <t>2024-11-21T18:21:33.000Z</t>
  </si>
  <si>
    <t>2024-11-05T00:36:38.000Z</t>
  </si>
  <si>
    <t>2024-10-27T05:36:31.000Z</t>
  </si>
  <si>
    <t>2024-10-02T18:53:06.000Z</t>
  </si>
  <si>
    <t>2024-09-29T04:25:32.000Z</t>
  </si>
  <si>
    <t>2024-09-23T04:33:57.000Z</t>
  </si>
  <si>
    <t>SportsDirect</t>
  </si>
  <si>
    <t>2024-09-12T04:35:33.000Z</t>
  </si>
  <si>
    <t>2024-09-09T06:04:11.000Z</t>
  </si>
  <si>
    <t>2024-09-03T02:19:34.000Z</t>
  </si>
  <si>
    <t>2024-08-20T04:28:46.000Z</t>
  </si>
  <si>
    <t>2024-08-19T04:18:21.000Z</t>
  </si>
  <si>
    <t>2024-08-02T10:55:49.000Z</t>
  </si>
  <si>
    <t>2024-07-02T04:17:55.000Z</t>
  </si>
  <si>
    <t>2024-06-27T05:33:48.000Z</t>
  </si>
  <si>
    <t>JD Sports</t>
  </si>
  <si>
    <t>2024-06-27T05:33:47.000Z</t>
  </si>
  <si>
    <t>2024-06-19T04:24:14.000Z</t>
  </si>
  <si>
    <t>2024-02-27T06:09:07.000Z</t>
  </si>
  <si>
    <t>Noi Bai Intl to Hamad International Airport
Class: Economy (T)
Departure Date: 26 Feb 2024
QR983 (Operated by: Qatar Airways)</t>
  </si>
  <si>
    <t>Qatar Airways</t>
  </si>
  <si>
    <t>2024-02-27T06:01:53.000Z</t>
  </si>
  <si>
    <t>Hamad International Airport to Manchester
Class: Economy (T)
Departure Date: 26 Feb 2024
QR23 (Operated by: Qatar Airways)</t>
  </si>
  <si>
    <t>2024-02-16T11:09:38.000Z</t>
  </si>
  <si>
    <t>Hamad International Airport to Noi Bai Intl
Class: Economy (U)
Departure Date: 12 Feb 2024
QR982 (Operated by: Qatar Airways)</t>
  </si>
  <si>
    <t>2024-02-16T11:08:43.000Z</t>
  </si>
  <si>
    <t>Manchester to Hamad International Airport
Class: Economy (T)
Departure Date: 12 Feb 2024
QR22 (Operated by: Qatar Airways)</t>
  </si>
  <si>
    <t>2023-09-18T03:21:15.000Z</t>
  </si>
  <si>
    <t>Orlando to Manchester
Class: Economy (Z)
Departure Date: 10 Sep 2023
EI34 (Operated by: Aer Lingus)</t>
  </si>
  <si>
    <t>2023-09-11T03:19:29.000Z</t>
  </si>
  <si>
    <t>Manchester to Orlando
Class: Economy (A)
Departure Date: 6 Sep 2023
EI35 (Operated by: Aer Lingus)</t>
  </si>
  <si>
    <t>User</t>
  </si>
  <si>
    <t>Boosted</t>
  </si>
  <si>
    <t>Bonuses</t>
  </si>
  <si>
    <t>Running cost</t>
  </si>
  <si>
    <t>Boosting</t>
  </si>
  <si>
    <t>AMEX Membership</t>
  </si>
  <si>
    <t>Premier avios</t>
  </si>
  <si>
    <t>Vietnam Business</t>
  </si>
  <si>
    <t>Santorini</t>
  </si>
  <si>
    <t>Cost (with avios)</t>
  </si>
  <si>
    <t>Cost (without)</t>
  </si>
  <si>
    <t>AUG 24 COMP</t>
  </si>
  <si>
    <t>BILLS</t>
  </si>
  <si>
    <t>KRIS</t>
  </si>
  <si>
    <t>100pcm</t>
  </si>
  <si>
    <t>KRIS COMP</t>
  </si>
  <si>
    <t>Pre-aug 24</t>
  </si>
  <si>
    <t>Post-aug 24</t>
  </si>
  <si>
    <t>pcm gym saving</t>
  </si>
  <si>
    <t>250 in 6 months</t>
  </si>
  <si>
    <t>Feb - Aug 24</t>
  </si>
  <si>
    <t>Aug 24 - 25</t>
  </si>
  <si>
    <t>5.5k</t>
  </si>
  <si>
    <t>24-25</t>
  </si>
  <si>
    <t>23-24</t>
  </si>
  <si>
    <t>Net Increase</t>
  </si>
  <si>
    <t>Gross Increase</t>
  </si>
  <si>
    <t>Milan Hotel</t>
  </si>
  <si>
    <t>Latvia + Milan</t>
  </si>
  <si>
    <t>Milan</t>
  </si>
  <si>
    <t>seats</t>
  </si>
  <si>
    <t>KRIS BONUSES</t>
  </si>
  <si>
    <t>WAGE INCREASE</t>
  </si>
  <si>
    <t>V12</t>
  </si>
  <si>
    <t>Base Income:</t>
  </si>
  <si>
    <t>Changes</t>
  </si>
  <si>
    <t>Differentiate savings from holidays</t>
  </si>
  <si>
    <t>To save</t>
  </si>
  <si>
    <t>Car ins + tax</t>
  </si>
  <si>
    <t>fuel (electric)</t>
  </si>
  <si>
    <t>watch</t>
  </si>
  <si>
    <t>balance transfer</t>
  </si>
  <si>
    <t>home ins</t>
  </si>
  <si>
    <t>Life ins - check if I can cancel bcos of work</t>
  </si>
  <si>
    <t>Balance T</t>
  </si>
  <si>
    <t>Holidays n stuff</t>
  </si>
  <si>
    <t>loan</t>
  </si>
  <si>
    <t>Sing flights</t>
  </si>
  <si>
    <t>Bonsu rev points</t>
  </si>
  <si>
    <t>Base rev points</t>
  </si>
  <si>
    <t>https://www.revolut.com/shops/</t>
  </si>
  <si>
    <t>BA Premier: 701.67</t>
  </si>
  <si>
    <t>NW Updated: 2819.48</t>
  </si>
  <si>
    <t>AMEX Updated: 2788.45</t>
  </si>
  <si>
    <t>OTHER AMEX: 27.27</t>
  </si>
  <si>
    <t>pret</t>
  </si>
  <si>
    <t>audible</t>
  </si>
  <si>
    <t>be you (needling)</t>
  </si>
  <si>
    <t>sports shoes</t>
  </si>
  <si>
    <t>Long Term Planning</t>
  </si>
  <si>
    <t>Pending Refund</t>
  </si>
  <si>
    <t>High Altitude</t>
  </si>
  <si>
    <t>Other inbounds?</t>
  </si>
  <si>
    <t>AMEX Pro Rata</t>
  </si>
  <si>
    <t>Extras on the horizon</t>
  </si>
  <si>
    <t>New suitcase</t>
  </si>
  <si>
    <t>extras</t>
  </si>
  <si>
    <t>Defecit Evaluation</t>
  </si>
  <si>
    <t>Repayment plan</t>
  </si>
  <si>
    <t>Carpet + couch clean</t>
  </si>
  <si>
    <t>E&amp;G</t>
  </si>
  <si>
    <t>WATER</t>
  </si>
  <si>
    <t>CTAX</t>
  </si>
  <si>
    <t>Current Loans</t>
  </si>
  <si>
    <t>AMEX BALANCE</t>
  </si>
  <si>
    <t>AMEX TO PAY</t>
  </si>
  <si>
    <t>BC BALANCE</t>
  </si>
  <si>
    <t>BC TO PAY</t>
  </si>
  <si>
    <t>DEFECIT</t>
  </si>
  <si>
    <t>KRIS AMEX TO PAY</t>
  </si>
  <si>
    <t>Mortgage ERC (1-5%)</t>
  </si>
  <si>
    <t>Stamp duty</t>
  </si>
  <si>
    <t>Mortgage fee</t>
  </si>
  <si>
    <t>Mortgage advisor</t>
  </si>
  <si>
    <t>Solicitor / conveyencer</t>
  </si>
  <si>
    <t>Estate agent fee</t>
  </si>
  <si>
    <t>Internal Flights</t>
  </si>
  <si>
    <t>BKK - SIN</t>
  </si>
  <si>
    <t>SIN - HKT</t>
  </si>
  <si>
    <t>HKT - BKK</t>
  </si>
  <si>
    <t>Gardens</t>
  </si>
  <si>
    <t>Elephants</t>
  </si>
  <si>
    <t>Pro rata</t>
  </si>
  <si>
    <t>SSD sale</t>
  </si>
  <si>
    <t>NW Updated: 2970.91</t>
  </si>
  <si>
    <t>barclays</t>
  </si>
  <si>
    <t>AMEX Updated: 2651.52</t>
  </si>
  <si>
    <t>BA Premier: 311</t>
  </si>
  <si>
    <t>airedale</t>
  </si>
  <si>
    <t>starbucks</t>
  </si>
  <si>
    <t>Doggy Care Cost</t>
  </si>
  <si>
    <t>Flights</t>
  </si>
  <si>
    <t>Tattoo (deposit)</t>
  </si>
  <si>
    <t>Tattoo (rest)</t>
  </si>
  <si>
    <t>Running total</t>
  </si>
  <si>
    <t>Remaining budget</t>
  </si>
  <si>
    <t>Singapore (2)</t>
  </si>
  <si>
    <t>Bangkok (1)</t>
  </si>
  <si>
    <t>Budget - spending</t>
  </si>
  <si>
    <t>ikea rfd</t>
  </si>
  <si>
    <t>Renovations + furnishing (£)</t>
  </si>
  <si>
    <t>Car loan</t>
  </si>
  <si>
    <t>Phuket (10)</t>
  </si>
  <si>
    <t>Surplus for furnishing</t>
  </si>
  <si>
    <t>New phone</t>
  </si>
  <si>
    <t>Laptop sale</t>
  </si>
  <si>
    <t>LIFE / CI INS</t>
  </si>
  <si>
    <t>Sold rosita</t>
  </si>
  <si>
    <t>What changed?</t>
  </si>
  <si>
    <t>Paid off barclaycard</t>
  </si>
  <si>
    <t>Paid of mattress</t>
  </si>
  <si>
    <t>1 car tax + ins</t>
  </si>
  <si>
    <t>one off</t>
  </si>
  <si>
    <t>Phone sale</t>
  </si>
  <si>
    <t>Less Thailand</t>
  </si>
  <si>
    <t>Jan bonus</t>
  </si>
  <si>
    <t>2026 Savings</t>
  </si>
  <si>
    <t>Broadband (30 aug)</t>
  </si>
  <si>
    <t>Home Ins (20 Jun)</t>
  </si>
  <si>
    <t>Sphere</t>
  </si>
  <si>
    <t>Doggy care</t>
  </si>
  <si>
    <t>Current budget + hotel loss</t>
  </si>
  <si>
    <t>12th - 17th november</t>
  </si>
  <si>
    <t>Loss:</t>
  </si>
  <si>
    <t>Seats</t>
  </si>
  <si>
    <t>Kata beach</t>
  </si>
  <si>
    <t>Tattoo deposit</t>
  </si>
  <si>
    <t>Singapore gardens</t>
  </si>
  <si>
    <t>Flights (no seats)</t>
  </si>
  <si>
    <t>RFD</t>
  </si>
  <si>
    <t>LOST</t>
  </si>
  <si>
    <t>New budget + flight refund + 
elephant refund + food + fuel + fun + 1k from 2026 + SIN flight reunfds + tattoo</t>
  </si>
  <si>
    <t>Esta</t>
  </si>
  <si>
    <t>Original budget</t>
  </si>
  <si>
    <t>Required budget</t>
  </si>
  <si>
    <t>Kata beach hotel loss</t>
  </si>
  <si>
    <t>Per day in £ / $</t>
  </si>
  <si>
    <t>TOTAL BUDGET</t>
  </si>
  <si>
    <t>AMOUNT</t>
  </si>
  <si>
    <t>$ -&gt; £</t>
  </si>
  <si>
    <t>AVIOS</t>
  </si>
  <si>
    <t>London parking</t>
  </si>
  <si>
    <t>Required balance</t>
  </si>
  <si>
    <t>Vegas</t>
  </si>
  <si>
    <t>Post vegas</t>
  </si>
  <si>
    <t>nye rollover</t>
  </si>
  <si>
    <t>iPhone</t>
  </si>
  <si>
    <t>Kris contribution</t>
  </si>
  <si>
    <t>Hotel Tax</t>
  </si>
  <si>
    <t>Fitness tracker RFS</t>
  </si>
  <si>
    <t>Race fees</t>
  </si>
  <si>
    <t>PC lunch</t>
  </si>
  <si>
    <t>Kris fun</t>
  </si>
  <si>
    <t>Sin refunds</t>
  </si>
  <si>
    <t>Helicopter (canyon)</t>
  </si>
  <si>
    <t>Helicopter (night)</t>
  </si>
  <si>
    <t>Tattoo</t>
  </si>
  <si>
    <t>Skin budget</t>
  </si>
  <si>
    <t>Vegas Inbound</t>
  </si>
  <si>
    <t>Show 2</t>
  </si>
  <si>
    <t>Show 1</t>
  </si>
  <si>
    <t>Arte musuem</t>
  </si>
  <si>
    <t>Matt Phone (6 aug)</t>
  </si>
  <si>
    <t>House stuff</t>
  </si>
  <si>
    <t>Barc</t>
  </si>
  <si>
    <t>Kris Phone</t>
  </si>
  <si>
    <t>Scrap london hotel</t>
  </si>
  <si>
    <t>Shorter parking</t>
  </si>
  <si>
    <t>Tiers</t>
  </si>
  <si>
    <t>Bronze</t>
  </si>
  <si>
    <t>Silver</t>
  </si>
  <si>
    <t>Gold</t>
  </si>
  <si>
    <t>Defecit to next tier</t>
  </si>
  <si>
    <t>Jan pull forward</t>
  </si>
  <si>
    <t>current defecit</t>
  </si>
  <si>
    <t>projected defecit</t>
  </si>
  <si>
    <t>Ikea returns</t>
  </si>
  <si>
    <t>Tesco returns</t>
  </si>
  <si>
    <t>5 full days</t>
  </si>
  <si>
    <t>"@ 225"</t>
  </si>
  <si>
    <t>1 evening</t>
  </si>
  <si>
    <t>Reduced day 1 budget</t>
  </si>
  <si>
    <t>Fun budget</t>
  </si>
  <si>
    <t>Iphone draw down</t>
  </si>
  <si>
    <t>FINISH AMEX</t>
  </si>
  <si>
    <t>prescription refund?</t>
  </si>
  <si>
    <t>Luna food excess</t>
  </si>
  <si>
    <t>Fuel budget excess</t>
  </si>
  <si>
    <t>Spending Tracker</t>
  </si>
  <si>
    <t>Day 1</t>
  </si>
  <si>
    <t>Burger King</t>
  </si>
  <si>
    <t>Day 0</t>
  </si>
  <si>
    <t>Lyft</t>
  </si>
  <si>
    <t>Nomad Esim</t>
  </si>
  <si>
    <t>Day 2</t>
  </si>
  <si>
    <t>Room upgrade</t>
  </si>
  <si>
    <t>Total Spend</t>
  </si>
  <si>
    <t>Starbucks</t>
  </si>
  <si>
    <t>Total remaining</t>
  </si>
  <si>
    <t>Lobster lunch</t>
  </si>
  <si>
    <t>M&amp;M</t>
  </si>
  <si>
    <t>CVS</t>
  </si>
  <si>
    <t>Donut</t>
  </si>
  <si>
    <t>pizza</t>
  </si>
  <si>
    <t>Day 3</t>
  </si>
  <si>
    <t>Total Remaining</t>
  </si>
  <si>
    <t>Breakfast waffles</t>
  </si>
  <si>
    <t>Cvs</t>
  </si>
  <si>
    <t>Bus tickets</t>
  </si>
  <si>
    <t xml:space="preserve">lobster </t>
  </si>
  <si>
    <t>target</t>
  </si>
  <si>
    <t>starbucks merch</t>
  </si>
  <si>
    <t>Kris shopping</t>
  </si>
  <si>
    <t>Sephora</t>
  </si>
  <si>
    <t>casino</t>
  </si>
  <si>
    <t>taxi</t>
  </si>
  <si>
    <t>donut</t>
  </si>
  <si>
    <t>Day 4</t>
  </si>
  <si>
    <t>OC</t>
  </si>
  <si>
    <t>room tip</t>
  </si>
  <si>
    <t>ramen</t>
  </si>
  <si>
    <t>Ralph lauren</t>
  </si>
  <si>
    <t>Ugg</t>
  </si>
  <si>
    <t>Nike</t>
  </si>
  <si>
    <t>levi</t>
  </si>
  <si>
    <t>viori</t>
  </si>
  <si>
    <t>matt levi jacket</t>
  </si>
  <si>
    <t>Kris levi jacket</t>
  </si>
  <si>
    <t>room service + tip</t>
  </si>
  <si>
    <t>Day 5</t>
  </si>
  <si>
    <t>coffee + choc twist</t>
  </si>
  <si>
    <t>lobster</t>
  </si>
  <si>
    <t>Day 6</t>
  </si>
  <si>
    <t>abercrombie</t>
  </si>
  <si>
    <t>pay @ checkout</t>
  </si>
  <si>
    <t>tip</t>
  </si>
  <si>
    <t>driver tip</t>
  </si>
  <si>
    <t>heli tip</t>
  </si>
  <si>
    <t>gifts from maverick</t>
  </si>
  <si>
    <t>Grand total spend</t>
  </si>
  <si>
    <t>walmart</t>
  </si>
  <si>
    <t>total cash remaining</t>
  </si>
  <si>
    <t>total refund pending</t>
  </si>
  <si>
    <t>Amex cost</t>
  </si>
  <si>
    <t>€ cost</t>
  </si>
  <si>
    <t>BA Premier: 399.31</t>
  </si>
  <si>
    <t>lyft</t>
  </si>
  <si>
    <t>approved, pending</t>
  </si>
  <si>
    <t>requested, pending</t>
  </si>
  <si>
    <t>AMEX Updated: 7605.82</t>
  </si>
  <si>
    <t>Night heli</t>
  </si>
  <si>
    <t>Cirque</t>
  </si>
  <si>
    <t>Grand canyon</t>
  </si>
  <si>
    <t>Vegas daily amex</t>
  </si>
  <si>
    <t>Vegas daily cash</t>
  </si>
  <si>
    <t>Vegas taxi's</t>
  </si>
  <si>
    <t>Bellagio</t>
  </si>
  <si>
    <t>Bellagio tax</t>
  </si>
  <si>
    <t>Room charge</t>
  </si>
  <si>
    <t>kris xmas</t>
  </si>
  <si>
    <t>kris drip feed</t>
  </si>
  <si>
    <t>kris xmas (nov 25 matt wage)</t>
  </si>
  <si>
    <t>kris payday (nov 25 kris wage)</t>
  </si>
  <si>
    <t>iphone</t>
  </si>
  <si>
    <t>ikea</t>
  </si>
  <si>
    <t>skin</t>
  </si>
  <si>
    <t>elephants</t>
  </si>
  <si>
    <t>sin refunds</t>
  </si>
  <si>
    <t>rfs stuff</t>
  </si>
  <si>
    <t>kris wage</t>
  </si>
  <si>
    <t>$ in cash</t>
  </si>
  <si>
    <t>bellagio rfd</t>
  </si>
  <si>
    <t>holafly refund</t>
  </si>
  <si>
    <t>Resort fee + tx</t>
  </si>
  <si>
    <t>Upgrade + tx</t>
  </si>
  <si>
    <t>Dining</t>
  </si>
  <si>
    <t>kris chasing</t>
  </si>
  <si>
    <t>CLAIMED</t>
  </si>
  <si>
    <t>Duvet</t>
  </si>
  <si>
    <t>Pillows x4</t>
  </si>
  <si>
    <t>Blind</t>
  </si>
  <si>
    <t>Christmas tree</t>
  </si>
  <si>
    <t>Rug + couch cleaned</t>
  </si>
  <si>
    <t>Xmas</t>
  </si>
  <si>
    <t>Bedroom reno</t>
  </si>
  <si>
    <t>Cost being claimed</t>
  </si>
  <si>
    <t>No show confirmation</t>
  </si>
  <si>
    <t>Food serving dish</t>
  </si>
  <si>
    <t>Gardens by the bay tickets</t>
  </si>
  <si>
    <t>Reference</t>
  </si>
  <si>
    <t>Purchased with</t>
  </si>
  <si>
    <t>AMEX (31006)</t>
  </si>
  <si>
    <t>PXM0VG23430V</t>
  </si>
  <si>
    <t>Claim started</t>
  </si>
  <si>
    <t>Claim reference</t>
  </si>
  <si>
    <t>Singapore pilates</t>
  </si>
  <si>
    <t>BA Seat Cost</t>
  </si>
  <si>
    <t>Booking confirmation</t>
  </si>
  <si>
    <t>DONE</t>
  </si>
  <si>
    <t>SIN - PHK</t>
  </si>
  <si>
    <t>Kata bay</t>
  </si>
  <si>
    <t>Medical form sent to GP?</t>
  </si>
  <si>
    <t>RECEIVED</t>
  </si>
  <si>
    <t>Payment Confirmation</t>
  </si>
  <si>
    <t>Refund</t>
  </si>
  <si>
    <t>WHATSAPP</t>
  </si>
  <si>
    <t>BARCLAYCARD (7000)</t>
  </si>
  <si>
    <t>OUPUU2</t>
  </si>
  <si>
    <t>E73SCS</t>
  </si>
  <si>
    <t>E78B6G</t>
  </si>
  <si>
    <t>EGBL8E</t>
  </si>
  <si>
    <t>AMEX (71007) (OLD)</t>
  </si>
  <si>
    <t>BARCLAYCARD (0009) (OLD)</t>
  </si>
  <si>
    <t>PHK - DMK</t>
  </si>
  <si>
    <t>Claims</t>
  </si>
  <si>
    <t>Costs</t>
  </si>
  <si>
    <t>Status</t>
  </si>
  <si>
    <t>Request submitted</t>
  </si>
  <si>
    <t>Submitted</t>
  </si>
  <si>
    <t>nov 28th</t>
  </si>
  <si>
    <t>Purchase Date</t>
  </si>
  <si>
    <t>Purchased With</t>
  </si>
  <si>
    <t>GROSS TOTAL</t>
  </si>
  <si>
    <t>TOTAL BALANCE</t>
  </si>
  <si>
    <t>Outbound</t>
  </si>
  <si>
    <t>Total days</t>
  </si>
  <si>
    <t>Food + fuel savings</t>
  </si>
  <si>
    <t>Baby garside</t>
  </si>
  <si>
    <t>Uncle Andrew (JJ) (RIP)</t>
  </si>
  <si>
    <t>Auntie Jo + Harry</t>
  </si>
  <si>
    <t>Theatre + meal</t>
  </si>
  <si>
    <t>Alfie</t>
  </si>
  <si>
    <t>Charlotte + Josh</t>
  </si>
  <si>
    <t>Peppa Pig clothes</t>
  </si>
  <si>
    <t>Hamper</t>
  </si>
  <si>
    <t>dec 5th</t>
  </si>
  <si>
    <t>dec 12th</t>
  </si>
  <si>
    <t>Beverley, Dogs</t>
  </si>
  <si>
    <t>Xmas shared</t>
  </si>
  <si>
    <t>Bedroom Reno</t>
  </si>
  <si>
    <t>Rug / Carpet Clean</t>
  </si>
  <si>
    <t>Ground Service Charge</t>
  </si>
  <si>
    <t>NW Updated: 2683.32</t>
  </si>
  <si>
    <t>DEF</t>
  </si>
  <si>
    <t>Rollover Strategy</t>
  </si>
  <si>
    <t>Taken</t>
  </si>
  <si>
    <t>NY Day</t>
  </si>
  <si>
    <t>Family aprty</t>
  </si>
  <si>
    <t>Kris owes</t>
  </si>
  <si>
    <t>Anna + Roman</t>
  </si>
  <si>
    <t>watermelon</t>
  </si>
  <si>
    <t>lego</t>
  </si>
  <si>
    <t>play doh</t>
  </si>
  <si>
    <t>game</t>
  </si>
  <si>
    <t>pjs</t>
  </si>
  <si>
    <t>hamper</t>
  </si>
  <si>
    <t>clothes</t>
  </si>
  <si>
    <t>$ / Euro / Cash</t>
  </si>
  <si>
    <t>Natwest</t>
  </si>
  <si>
    <t>Work Expense</t>
  </si>
  <si>
    <t>First Payment</t>
  </si>
  <si>
    <t>Gifts left</t>
  </si>
  <si>
    <t>voucher + biscuits</t>
  </si>
  <si>
    <t>voucher + wine</t>
  </si>
  <si>
    <t>chocs + voucher</t>
  </si>
  <si>
    <t>Lena + kids</t>
  </si>
  <si>
    <t>Will + sam</t>
  </si>
  <si>
    <t>Outings left</t>
  </si>
  <si>
    <t>Post office</t>
  </si>
  <si>
    <t>Friday</t>
  </si>
  <si>
    <t>Ballet</t>
  </si>
  <si>
    <t>Royal + ancient</t>
  </si>
  <si>
    <t>Pave</t>
  </si>
  <si>
    <t>Tue</t>
  </si>
  <si>
    <t>Wed (24th)</t>
  </si>
  <si>
    <t>Something? Colin cake?</t>
  </si>
  <si>
    <t>Days since contact</t>
  </si>
  <si>
    <t>"+50 voucher"</t>
  </si>
  <si>
    <t>Cinema</t>
  </si>
  <si>
    <t>Mon</t>
  </si>
  <si>
    <t>Per quarter</t>
  </si>
  <si>
    <t>Race Fees</t>
  </si>
  <si>
    <t>NW Updated: 3389.36</t>
  </si>
  <si>
    <t>ringo</t>
  </si>
  <si>
    <t>Over</t>
  </si>
  <si>
    <t>Schemes</t>
  </si>
  <si>
    <t>Sell blind</t>
  </si>
  <si>
    <t>Sell yeti cooler</t>
  </si>
  <si>
    <t>Goal</t>
  </si>
  <si>
    <t>Balance to -200 overspend</t>
  </si>
  <si>
    <t>Cover kris bday</t>
  </si>
  <si>
    <t>Cover amz things</t>
  </si>
  <si>
    <t>Massage</t>
  </si>
  <si>
    <t>No tax</t>
  </si>
  <si>
    <t>Taxed</t>
  </si>
  <si>
    <t>sweaty</t>
  </si>
  <si>
    <t>AMEX Updated: 3184.77</t>
  </si>
  <si>
    <t>BA Premier: 5019.33</t>
  </si>
  <si>
    <t>church charity</t>
  </si>
  <si>
    <t>Move loans (natwest / novuna / iphone) to 1st</t>
  </si>
  <si>
    <t>dinner</t>
  </si>
  <si>
    <t>Payment Day</t>
  </si>
  <si>
    <t>USA</t>
  </si>
  <si>
    <t>Debit Moves</t>
  </si>
  <si>
    <t>Airport Parking</t>
  </si>
  <si>
    <t>Chania (4n)</t>
  </si>
  <si>
    <t>Porto (4n)</t>
  </si>
  <si>
    <t>DVLA</t>
  </si>
  <si>
    <t>Merchant</t>
  </si>
  <si>
    <t>Day</t>
  </si>
  <si>
    <t>1st Central</t>
  </si>
  <si>
    <t>Pet Health</t>
  </si>
  <si>
    <t>Barclays Avios</t>
  </si>
  <si>
    <t>OneDrive</t>
  </si>
  <si>
    <t>Changeable</t>
  </si>
  <si>
    <t>Barclaycard Membership</t>
  </si>
  <si>
    <t>Aviva</t>
  </si>
  <si>
    <t>Mattress Finance</t>
  </si>
  <si>
    <t>Account Fee</t>
  </si>
  <si>
    <t>MOVE TO 27TH</t>
  </si>
  <si>
    <t>London Fuel</t>
  </si>
  <si>
    <t>Fun Budget</t>
  </si>
  <si>
    <t>London Hotel</t>
  </si>
  <si>
    <t>Total Luna Nights</t>
  </si>
  <si>
    <t>Car Rental</t>
  </si>
  <si>
    <t>London fuel</t>
  </si>
  <si>
    <t>Antelope Canyon</t>
  </si>
  <si>
    <t>Universal</t>
  </si>
  <si>
    <t>Horseback</t>
  </si>
  <si>
    <t>TOTAL INC CC FEE</t>
  </si>
  <si>
    <t>CC FEE</t>
  </si>
  <si>
    <t>MOVE TO 1ST OR 28th</t>
  </si>
  <si>
    <t>ManyPets</t>
  </si>
  <si>
    <t>Elec</t>
  </si>
  <si>
    <t>Balance</t>
  </si>
  <si>
    <t>Gas kWh</t>
  </si>
  <si>
    <t>Elec kWh</t>
  </si>
  <si>
    <t>November</t>
  </si>
  <si>
    <t>December</t>
  </si>
  <si>
    <t>January</t>
  </si>
  <si>
    <t>February</t>
  </si>
  <si>
    <t>April</t>
  </si>
  <si>
    <t>August</t>
  </si>
  <si>
    <t>September</t>
  </si>
  <si>
    <t>October</t>
  </si>
  <si>
    <t>Inheritence</t>
  </si>
  <si>
    <t>$150</t>
  </si>
  <si>
    <t>Income shock goal</t>
  </si>
  <si>
    <t>Home contingency</t>
  </si>
  <si>
    <t>Car 1 contingency</t>
  </si>
  <si>
    <t>Car 2 contingency</t>
  </si>
  <si>
    <t>Already saving for MOT + SVC</t>
  </si>
  <si>
    <t>GOALS</t>
  </si>
  <si>
    <t>CURRENT</t>
  </si>
  <si>
    <t>MONTHLY</t>
  </si>
  <si>
    <t>INTEREST RATE</t>
  </si>
  <si>
    <t>Total nights</t>
  </si>
  <si>
    <t>Campsite</t>
  </si>
  <si>
    <t>Eating out</t>
  </si>
  <si>
    <t>Current Age</t>
  </si>
  <si>
    <t>Brother Andrew</t>
  </si>
  <si>
    <t>Brother Lee</t>
  </si>
  <si>
    <t>Brother Craig</t>
  </si>
  <si>
    <t>NW Updated: 1593.02</t>
  </si>
  <si>
    <t>nw</t>
  </si>
  <si>
    <t>LA / VEGAS 2026</t>
  </si>
  <si>
    <t>AMEX Updated: 4821.24</t>
  </si>
  <si>
    <t>BA Premier: 275.48</t>
  </si>
  <si>
    <t>Point source</t>
  </si>
  <si>
    <t>Activity points</t>
  </si>
  <si>
    <t>Vitality Points</t>
  </si>
  <si>
    <t>K/M</t>
  </si>
  <si>
    <t>Health profile</t>
  </si>
  <si>
    <t>Both</t>
  </si>
  <si>
    <t>Non-smoker</t>
  </si>
  <si>
    <t>Bluecrest HC</t>
  </si>
  <si>
    <t>Bluecrest non-smoker</t>
  </si>
  <si>
    <t>PAP Smear</t>
  </si>
  <si>
    <t>One off</t>
  </si>
  <si>
    <t>Eye test</t>
  </si>
  <si>
    <t>Dental</t>
  </si>
  <si>
    <t>M</t>
  </si>
  <si>
    <t>per 1k pay</t>
  </si>
  <si>
    <t>Projected rises</t>
  </si>
  <si>
    <t>2025 Increases</t>
  </si>
  <si>
    <t>2026 Increases</t>
  </si>
  <si>
    <t>matt phone</t>
  </si>
  <si>
    <t>rosita ins</t>
  </si>
  <si>
    <t>bmw</t>
  </si>
  <si>
    <t>Listed</t>
  </si>
  <si>
    <t>Yeti</t>
  </si>
  <si>
    <t>Table legs</t>
  </si>
  <si>
    <t>Beethoven Sonatas</t>
  </si>
  <si>
    <t>Beethoven Book 2</t>
  </si>
  <si>
    <t>Camping Gear</t>
  </si>
  <si>
    <t>Desk Mount</t>
  </si>
  <si>
    <t>Rosita History</t>
  </si>
  <si>
    <t>Interim service</t>
  </si>
  <si>
    <t>F/Brake Pads + sensor</t>
  </si>
  <si>
    <t>2024/25</t>
  </si>
  <si>
    <t>25/26</t>
  </si>
  <si>
    <t>Increase since last MOT</t>
  </si>
  <si>
    <t>R/Brake Pads + sensor</t>
  </si>
  <si>
    <t>DPF Clean + Ad Blue</t>
  </si>
  <si>
    <t>Starter motor</t>
  </si>
  <si>
    <t>Garage</t>
  </si>
  <si>
    <t>Yorkshire DPF</t>
  </si>
  <si>
    <t>Leeming Bros</t>
  </si>
  <si>
    <t>Unscheduled</t>
  </si>
  <si>
    <t>Item Cost</t>
  </si>
  <si>
    <t>Labour Cost</t>
  </si>
  <si>
    <t>Engine Strip</t>
  </si>
  <si>
    <t>Knuckle Front</t>
  </si>
  <si>
    <t>Bottom arms</t>
  </si>
  <si>
    <t>CV Boot</t>
  </si>
  <si>
    <t>Scheduled</t>
  </si>
  <si>
    <t>2 Front Tyres</t>
  </si>
  <si>
    <t>Vegas 2025</t>
  </si>
  <si>
    <t>Vegas 2026</t>
  </si>
  <si>
    <t>Kris Venice 2026</t>
  </si>
  <si>
    <t>Summer / xmas Budgets</t>
  </si>
  <si>
    <t>Tentbox</t>
  </si>
  <si>
    <t xml:space="preserve">Get Moving </t>
  </si>
  <si>
    <t>Per year</t>
  </si>
  <si>
    <t>Greece 2027</t>
  </si>
  <si>
    <t>Dolomites 2027</t>
  </si>
  <si>
    <t>Summer / Xmas Budgets</t>
  </si>
  <si>
    <t>Universal 2027</t>
  </si>
  <si>
    <t>Italy 2027</t>
  </si>
  <si>
    <t>Scotland 2026</t>
  </si>
  <si>
    <t>Travel Insurance</t>
  </si>
  <si>
    <t>tfer</t>
  </si>
  <si>
    <t>Luna Healthcheck</t>
  </si>
  <si>
    <t>post office</t>
  </si>
  <si>
    <t>trainline</t>
  </si>
  <si>
    <t>AMEX Updated: 3289.49</t>
  </si>
  <si>
    <t>BA Premier: 4192.79</t>
  </si>
  <si>
    <t>Council tax (9%)</t>
  </si>
  <si>
    <t>Zach Christening</t>
  </si>
  <si>
    <t>NW Updated: 4724.58</t>
  </si>
  <si>
    <t>Kris Vietnam 2026</t>
  </si>
  <si>
    <t>Parking + fuel</t>
  </si>
  <si>
    <t>SALARY 2026</t>
  </si>
  <si>
    <t>BAR BA</t>
  </si>
  <si>
    <t>AMEX TOTAL</t>
  </si>
  <si>
    <t>BA TOTAL</t>
  </si>
  <si>
    <t>bmw ins</t>
  </si>
  <si>
    <t>BA Premier: 263.76</t>
  </si>
  <si>
    <t>jollyes</t>
  </si>
  <si>
    <t>AMEX Updated: 1442.22</t>
  </si>
  <si>
    <t>2026 Bonus Payment #1 - First Half of 2026</t>
  </si>
  <si>
    <t>Guaranteed Bonus % of Earned Salary thru 6/30</t>
  </si>
  <si>
    <t>2026 Bonus Payment #2 - Q3 of 2026</t>
  </si>
  <si>
    <t>Guaranteed Bonus as a % of 3rd Quarter Earned Salary</t>
  </si>
  <si>
    <t>1. Fill out your Annual Salary in B24</t>
  </si>
  <si>
    <t>2. Fill out the levels from each of the quarterly meetings in E27, E28, and E29.</t>
  </si>
  <si>
    <t>Annual Salary</t>
  </si>
  <si>
    <t xml:space="preserve">  Additionally, if you were hired during 2026, please confirm your bonus plan with your manager.</t>
  </si>
  <si>
    <t>Enter Bonus Level from Quarterly Mtg</t>
  </si>
  <si>
    <t>Total Guaranteed Bonus Payouts</t>
  </si>
  <si>
    <t>2026 Annual Bonus Plan</t>
  </si>
  <si>
    <t>Guaranteed Bonus % of 2026 Earned Salary</t>
  </si>
  <si>
    <t>Discretionary % Bonus Pool</t>
  </si>
  <si>
    <t>Guaranteed Bonus % based on eligible team members earned salaries.</t>
  </si>
  <si>
    <t>Discretionary % is a company level pool.</t>
  </si>
  <si>
    <t>after salary sacrifice</t>
  </si>
  <si>
    <t>Sinking Fund</t>
  </si>
  <si>
    <t>Monthly Contingency</t>
  </si>
  <si>
    <t>Current No. Payments</t>
  </si>
  <si>
    <t>Remaining payments</t>
  </si>
  <si>
    <t>Dell charger</t>
  </si>
  <si>
    <t>Car cover</t>
  </si>
  <si>
    <t>windows</t>
  </si>
  <si>
    <t>Roast</t>
  </si>
  <si>
    <t>NW Updated: 222.08</t>
  </si>
  <si>
    <t>AMEX (71007) (KRIS OLD)</t>
  </si>
  <si>
    <t>Appointments</t>
  </si>
  <si>
    <t>Bali Refund</t>
  </si>
  <si>
    <t>Float</t>
  </si>
  <si>
    <t>Deluxe Ocean View</t>
  </si>
  <si>
    <t>all inc</t>
  </si>
  <si>
    <t>wed 30th - wed</t>
  </si>
  <si>
    <t>$150 TOTAL on direct ferries.com</t>
  </si>
  <si>
    <t>swith deals ashback</t>
  </si>
  <si>
    <t>eBay mirrors</t>
  </si>
  <si>
    <t>ebay amping gear</t>
  </si>
  <si>
    <t>Car rental</t>
  </si>
  <si>
    <t>Parking LGW</t>
  </si>
  <si>
    <t>AMEX Updated: 2595.99</t>
  </si>
  <si>
    <t>royal mail</t>
  </si>
  <si>
    <t>BA Premier: -619.29</t>
  </si>
  <si>
    <t>burger king</t>
  </si>
  <si>
    <t>Italy 2026</t>
  </si>
  <si>
    <t>Latvia 2026</t>
  </si>
  <si>
    <t>dollar + euro</t>
  </si>
  <si>
    <t>now</t>
  </si>
  <si>
    <t>JAX</t>
  </si>
  <si>
    <t>Page</t>
  </si>
  <si>
    <t>Start</t>
  </si>
  <si>
    <t>End</t>
  </si>
  <si>
    <t>Location</t>
  </si>
  <si>
    <t>LA</t>
  </si>
  <si>
    <t>Flafgstaff</t>
  </si>
  <si>
    <t>No bfast</t>
  </si>
  <si>
    <t>Bfast</t>
  </si>
  <si>
    <t>MAN-RIG</t>
  </si>
  <si>
    <t>RIG-MAN</t>
  </si>
  <si>
    <t>NW Updated: 3139.21</t>
  </si>
  <si>
    <t>national trust</t>
  </si>
  <si>
    <t>Royal Mail Shit</t>
  </si>
  <si>
    <t>Yorkshire Day</t>
  </si>
  <si>
    <t>CASH less BALI RFD</t>
  </si>
  <si>
    <t>AMEX Less work xpns</t>
  </si>
  <si>
    <t>BARC less bali RFD</t>
  </si>
  <si>
    <t>Sinking</t>
  </si>
  <si>
    <t>Minuses</t>
  </si>
  <si>
    <t>BARCLAYS MINUS</t>
  </si>
  <si>
    <t>CASH less AMEX - WORK</t>
  </si>
  <si>
    <t>CASH less SINK</t>
  </si>
  <si>
    <t>CASH plus BARC MIN</t>
  </si>
  <si>
    <t>CASH plus KRIS / CONT MIN</t>
  </si>
  <si>
    <t>BALI RFD</t>
  </si>
  <si>
    <t>SINK</t>
  </si>
  <si>
    <t>BARC NEG</t>
  </si>
  <si>
    <t>TOT</t>
  </si>
  <si>
    <t>CONT</t>
  </si>
  <si>
    <t>TFER FROM BARC</t>
  </si>
  <si>
    <t>TFER FROM SAVINGS</t>
  </si>
  <si>
    <t>kristas toy</t>
  </si>
  <si>
    <t>pre trip</t>
  </si>
  <si>
    <t>earmarked</t>
  </si>
  <si>
    <t>tanya bills</t>
  </si>
  <si>
    <t>airport</t>
  </si>
  <si>
    <t>hotel water</t>
  </si>
  <si>
    <t>esim</t>
  </si>
  <si>
    <t>dermatologist</t>
  </si>
  <si>
    <t>breakfast</t>
  </si>
  <si>
    <t>lido</t>
  </si>
  <si>
    <t>drinks</t>
  </si>
  <si>
    <t>taxis</t>
  </si>
  <si>
    <t>tickets</t>
  </si>
  <si>
    <t>cake</t>
  </si>
  <si>
    <t>rimi</t>
  </si>
  <si>
    <t>family lunch</t>
  </si>
  <si>
    <t>tea</t>
  </si>
  <si>
    <t>bfast</t>
  </si>
  <si>
    <t>lunch</t>
  </si>
  <si>
    <t>beer</t>
  </si>
  <si>
    <t>train</t>
  </si>
  <si>
    <t>latte</t>
  </si>
  <si>
    <t>dentist</t>
  </si>
  <si>
    <t>sushi</t>
  </si>
  <si>
    <t>babu</t>
  </si>
  <si>
    <t>tania</t>
  </si>
  <si>
    <t>maxima</t>
  </si>
  <si>
    <t>£ left</t>
  </si>
  <si>
    <t>€ left</t>
  </si>
  <si>
    <t>cash spend in £</t>
  </si>
  <si>
    <t>souvenir</t>
  </si>
  <si>
    <t>kinvir</t>
  </si>
  <si>
    <t>Spending (£)</t>
  </si>
  <si>
    <t>Airport</t>
  </si>
  <si>
    <t>Gatwick Terminal S</t>
  </si>
  <si>
    <t>Total miles</t>
  </si>
  <si>
    <t>Ferry</t>
  </si>
  <si>
    <t>SINKING FUND DEFECIT PLAN</t>
  </si>
  <si>
    <t xml:space="preserve">  </t>
  </si>
  <si>
    <t>NW Updated: 6452.98</t>
  </si>
  <si>
    <t>AMEX Updated: 2835.71</t>
  </si>
  <si>
    <t>TO PAY</t>
  </si>
  <si>
    <t>BA Premier: 1473.74</t>
  </si>
  <si>
    <t>home protect</t>
  </si>
  <si>
    <t>ebay thermal liner</t>
  </si>
  <si>
    <t>ebay whoop</t>
  </si>
  <si>
    <t>nat trust</t>
  </si>
  <si>
    <t>BY</t>
  </si>
  <si>
    <t>Health Insurance</t>
  </si>
  <si>
    <t>Skin Budget</t>
  </si>
  <si>
    <t>Vietnam spending</t>
  </si>
  <si>
    <t>Gili T Transfers</t>
  </si>
  <si>
    <t>Gili T Hotels</t>
  </si>
  <si>
    <t>MATT AMEX (31006)</t>
  </si>
  <si>
    <t>MAN - HAN</t>
  </si>
  <si>
    <t>DPS - MAN</t>
  </si>
  <si>
    <t>Bali 2026</t>
  </si>
  <si>
    <t>RFD PENDING</t>
  </si>
  <si>
    <t>14:55:00 -&gt; 13:55:00 (next day)</t>
  </si>
  <si>
    <t>Wayan house</t>
  </si>
  <si>
    <t>Mount Batur</t>
  </si>
  <si>
    <t>Seminyak hotel</t>
  </si>
  <si>
    <t>BARC DEADLINE</t>
  </si>
  <si>
    <t>Hanoi hotel</t>
  </si>
  <si>
    <t>Per day Spending</t>
  </si>
  <si>
    <t>Massage budget</t>
  </si>
  <si>
    <t>NW Updated: 4435.64</t>
  </si>
  <si>
    <t>Work do</t>
  </si>
  <si>
    <t>Barclaycard premium</t>
  </si>
  <si>
    <t>AMEX Updated: 4911.94</t>
  </si>
  <si>
    <t>BA Premier: 1336.37</t>
  </si>
  <si>
    <t>euro food</t>
  </si>
  <si>
    <t>work expenses</t>
  </si>
  <si>
    <t>less fun</t>
  </si>
  <si>
    <t>kris surplus</t>
  </si>
  <si>
    <t>food defecit</t>
  </si>
  <si>
    <t>work surplus</t>
  </si>
  <si>
    <t>skin budget</t>
  </si>
  <si>
    <t>Tuyen Quang hotel</t>
  </si>
  <si>
    <t>Vietnam internal flights</t>
  </si>
  <si>
    <t>bali rfd</t>
  </si>
  <si>
    <t>lgw HOTEL</t>
  </si>
  <si>
    <t>MAY - JUN</t>
  </si>
  <si>
    <t>Credit Card rollover strategy</t>
  </si>
  <si>
    <t>Move home insurance to 1st</t>
  </si>
  <si>
    <t>RFD PEND</t>
  </si>
  <si>
    <t>oct</t>
  </si>
  <si>
    <t>Kris pay 110 for shoes next wage</t>
  </si>
  <si>
    <t>AMEX current spend = 13750</t>
  </si>
  <si>
    <t>Need 15k for 750 tier points</t>
  </si>
  <si>
    <t>20k + 750 tier points</t>
  </si>
  <si>
    <t>Aer lingus missing avios claim</t>
  </si>
  <si>
    <t>Grounds Fee</t>
  </si>
  <si>
    <t>Kris (settled)</t>
  </si>
  <si>
    <t>Kris (pending)</t>
  </si>
  <si>
    <t>Heathrow</t>
  </si>
  <si>
    <t>Parking HTR</t>
  </si>
  <si>
    <t>HTR HOTEL</t>
  </si>
  <si>
    <t>pay watch now</t>
  </si>
  <si>
    <t>remainder to BT</t>
  </si>
  <si>
    <t>AMEX Updated: 4579.84</t>
  </si>
  <si>
    <t>BA Premier: 1237.63</t>
  </si>
  <si>
    <t>Matt FB over</t>
  </si>
  <si>
    <t>Kris dress</t>
  </si>
  <si>
    <t>BBQ</t>
  </si>
  <si>
    <t>Payrise Month 1</t>
  </si>
  <si>
    <t>Payrise</t>
  </si>
  <si>
    <t>NW Updated: 1302.31</t>
  </si>
  <si>
    <t>EMG</t>
  </si>
  <si>
    <t>Dresses</t>
  </si>
  <si>
    <t>Matt FB Over</t>
  </si>
  <si>
    <t>JUL SINK</t>
  </si>
  <si>
    <t>Charlotte Wedding</t>
  </si>
  <si>
    <t>Green dress</t>
  </si>
  <si>
    <t>USA FLIGHT RFD</t>
  </si>
  <si>
    <t>USA CANYON RFD</t>
  </si>
  <si>
    <t>Kris zara</t>
  </si>
  <si>
    <t>Kris oner</t>
  </si>
  <si>
    <t>Kris running shoes</t>
  </si>
  <si>
    <t>Kris new look</t>
  </si>
  <si>
    <t>Kris next shoes (rfd)</t>
  </si>
  <si>
    <t>Blue dress (rfd)</t>
  </si>
  <si>
    <t>obn</t>
  </si>
  <si>
    <t>AMEX Updated: 5593.23</t>
  </si>
  <si>
    <t>BA Premier: 2322.66</t>
  </si>
  <si>
    <t>seaview</t>
  </si>
  <si>
    <t>Kris oner rfd</t>
  </si>
  <si>
    <t>NW Updated: 6540.55</t>
  </si>
  <si>
    <t>Per day food</t>
  </si>
  <si>
    <t>Fuel + hotel</t>
  </si>
  <si>
    <t>Car fuel</t>
  </si>
  <si>
    <t>HOLD ON TO UNTIL LATER</t>
  </si>
  <si>
    <t>Car + fuel</t>
  </si>
  <si>
    <t>Barbados 2027</t>
  </si>
  <si>
    <t>London Parking</t>
  </si>
  <si>
    <t>Brid</t>
  </si>
  <si>
    <t>13:20 -&gt; 18:15</t>
  </si>
  <si>
    <t>20:15 -&gt; 08:30 (next day)</t>
  </si>
  <si>
    <t>LHR - BGI</t>
  </si>
  <si>
    <t>BGI - LHR</t>
  </si>
  <si>
    <t>BARBADOS (ZXDU92)</t>
  </si>
  <si>
    <t>Overpayment A</t>
  </si>
  <si>
    <t>Overpayment B</t>
  </si>
  <si>
    <t>salts</t>
  </si>
  <si>
    <t>kristina</t>
  </si>
  <si>
    <t>cleckheaton</t>
  </si>
  <si>
    <t>sat</t>
  </si>
  <si>
    <t>Kris Pilates Plan</t>
  </si>
  <si>
    <t>Seaside</t>
  </si>
  <si>
    <t>Scotland (APR 27)</t>
  </si>
  <si>
    <t>Nights</t>
  </si>
  <si>
    <t>Scarborough (MAY 27)</t>
  </si>
  <si>
    <t>Sctoland 2027</t>
  </si>
  <si>
    <t>Scarborough 2027</t>
  </si>
  <si>
    <t>Hotel deposit</t>
  </si>
  <si>
    <t>Membership Fee</t>
  </si>
  <si>
    <t xml:space="preserve">Bank switch </t>
  </si>
  <si>
    <t>potential</t>
  </si>
  <si>
    <t>including summer budget</t>
  </si>
  <si>
    <t>Toe</t>
  </si>
  <si>
    <t>Kris Refunds Pending</t>
  </si>
  <si>
    <t>switch deals mobile</t>
  </si>
  <si>
    <t>Post Refunds</t>
  </si>
  <si>
    <t>NW Updated: 2008.00</t>
  </si>
  <si>
    <t>AMEX Updated: 1456.54</t>
  </si>
  <si>
    <t>range</t>
  </si>
  <si>
    <t>BA Premier: 3746.01</t>
  </si>
  <si>
    <t>sm 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</si>
</sst>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6" formatCode="&quot;£&quot;#,##0;[Red]\-&quot;£&quot;#,##0"/>
    <numFmt numFmtId="8" formatCode="&quot;£&quot;#,##0.00;[Red]\-&quot;£&quot;#,##0.00"/>
    <numFmt numFmtId="44" formatCode="_-&quot;£&quot;* #,##0.00_-;\-&quot;£&quot;* #,##0.00_-;_-&quot;£&quot;* &quot;-&quot;??_-;_-@_-"/>
    <numFmt numFmtId="43" formatCode="_-* #,##0.00_-;\-* #,##0.00_-;_-* &quot;-&quot;??_-;_-@_-"/>
    <numFmt numFmtId="164" formatCode="&quot;£&quot;#,##0_);[Red]\(&quot;£&quot;#,##0\)"/>
    <numFmt numFmtId="165" formatCode="&quot;£&quot;#,##0.00_);[Red]\(&quot;£&quot;#,##0.00\)"/>
    <numFmt numFmtId="166" formatCode="&quot;$&quot;#,##0_);[Red]\(&quot;$&quot;#,##0\)"/>
    <numFmt numFmtId="167" formatCode="&quot;$&quot;#,##0.00_);[Red]\(&quot;$&quot;#,##0.00\)"/>
    <numFmt numFmtId="168" formatCode="&quot;$&quot;#,##0.00"/>
    <numFmt numFmtId="169" formatCode="&quot;$&quot;#,##0.0000"/>
    <numFmt numFmtId="170" formatCode="dd/mm/yyyy;@"/>
    <numFmt numFmtId="171" formatCode="[$£-809]#,##0.00"/>
    <numFmt numFmtId="172" formatCode="[$-409]mmmm\ d\,\ yyyy;@"/>
    <numFmt numFmtId="173" formatCode="&quot;$&quot;#,##0.00;[Red]&quot;$&quot;#,##0.00"/>
    <numFmt numFmtId="174" formatCode="#,##0.0;[Red]#,##0.0"/>
    <numFmt numFmtId="175" formatCode="#,##0.00000000000000"/>
    <numFmt numFmtId="176" formatCode="#,##0.0000000000000"/>
    <numFmt numFmtId="177" formatCode="#,##0.000000000000"/>
    <numFmt numFmtId="178" formatCode="#,##0.0"/>
    <numFmt numFmtId="179" formatCode="&quot;£&quot;#,##0.00"/>
    <numFmt numFmtId="180" formatCode="#,##0.00;[Red]#,##0.00"/>
    <numFmt numFmtId="181" formatCode="#,##0.0000;[Red]#,##0.0000"/>
    <numFmt numFmtId="182" formatCode="#,##0.0000"/>
    <numFmt numFmtId="183" formatCode="&quot;£&quot;#,##0.00;[Red]&quot;£&quot;#,##0.00"/>
    <numFmt numFmtId="184" formatCode="_(&quot;$&quot;* #,##0.00_);_(&quot;$&quot;* \(#,##0.00\);_(&quot;$&quot;* &quot;-&quot;??_);_(@_)"/>
    <numFmt numFmtId="185" formatCode="_(&quot;$&quot;* #,##0_);_(&quot;$&quot;* \(#,##0\);_(&quot;$&quot;* &quot;-&quot;??_);_(@_)"/>
    <numFmt numFmtId="186" formatCode="0.0%"/>
    <numFmt numFmtId="187" formatCode="\£#,##0.00"/>
    <numFmt numFmtId="188" formatCode="\£#,##0.00&quot; saved&quot;"/>
    <numFmt numFmtId="189" formatCode="\£#,##0.00&quot;/month freed&quot;"/>
  </numFmts>
  <fonts count="97">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4"/>
      <color theme="1"/>
      <name val="Helvetica Neue"/>
      <family val="2"/>
    </font>
    <font>
      <sz val="14"/>
      <color theme="1"/>
      <name val="Helvetica Neue"/>
      <family val="2"/>
    </font>
    <font>
      <b/>
      <sz val="10"/>
      <color indexed="81"/>
      <name val="Calibri"/>
      <family val="2"/>
    </font>
    <font>
      <sz val="10"/>
      <color indexed="81"/>
      <name val="Calibri"/>
      <family val="2"/>
    </font>
    <font>
      <sz val="14"/>
      <color theme="1"/>
      <name val="Calibri"/>
      <family val="2"/>
      <scheme val="minor"/>
    </font>
    <font>
      <sz val="14"/>
      <color rgb="FF141414"/>
      <name val="Helvetica"/>
      <family val="2"/>
    </font>
    <font>
      <b/>
      <sz val="11"/>
      <color theme="1"/>
      <name val="Calibri"/>
      <family val="2"/>
      <scheme val="minor"/>
    </font>
    <font>
      <b/>
      <sz val="14"/>
      <color theme="1"/>
      <name val="Calibri"/>
      <family val="2"/>
      <scheme val="minor"/>
    </font>
    <font>
      <u/>
      <sz val="11"/>
      <color theme="10"/>
      <name val="Calibri"/>
      <family val="2"/>
      <scheme val="minor"/>
    </font>
    <font>
      <u/>
      <sz val="11"/>
      <color theme="11"/>
      <name val="Calibri"/>
      <family val="2"/>
      <scheme val="minor"/>
    </font>
    <font>
      <i/>
      <sz val="11"/>
      <color theme="1"/>
      <name val="Calibri"/>
      <family val="2"/>
      <scheme val="minor"/>
    </font>
    <font>
      <b/>
      <sz val="14"/>
      <color theme="1"/>
      <name val="Helvetica"/>
      <family val="2"/>
    </font>
    <font>
      <sz val="13"/>
      <color rgb="FF242729"/>
      <name val="Consolas"/>
      <family val="2"/>
    </font>
    <font>
      <sz val="8"/>
      <name val="Calibri"/>
      <family val="2"/>
      <scheme val="minor"/>
    </font>
    <font>
      <sz val="14"/>
      <color theme="1"/>
      <name val="Helvetica"/>
      <family val="2"/>
    </font>
    <font>
      <sz val="11"/>
      <color rgb="FF000000"/>
      <name val="Calibri"/>
      <family val="2"/>
      <scheme val="minor"/>
    </font>
    <font>
      <i/>
      <sz val="15"/>
      <color rgb="FFDD0055"/>
      <name val="Helvetica Neue"/>
      <family val="2"/>
    </font>
    <font>
      <sz val="16"/>
      <color rgb="FF222222"/>
      <name val="Arial"/>
      <family val="2"/>
    </font>
    <font>
      <sz val="11"/>
      <color theme="1"/>
      <name val="Helvetica"/>
      <family val="2"/>
    </font>
    <font>
      <sz val="16"/>
      <color theme="1"/>
      <name val="Helvetica"/>
      <family val="2"/>
    </font>
    <font>
      <b/>
      <sz val="14"/>
      <name val="Calibri"/>
      <family val="2"/>
      <scheme val="minor"/>
    </font>
    <font>
      <sz val="11"/>
      <name val="Calibri"/>
      <family val="2"/>
      <scheme val="minor"/>
    </font>
    <font>
      <sz val="11"/>
      <name val="Arial"/>
      <family val="2"/>
    </font>
    <font>
      <b/>
      <sz val="13.5"/>
      <color rgb="FF333333"/>
      <name val="Helvetica"/>
      <family val="18"/>
    </font>
    <font>
      <sz val="10"/>
      <color rgb="FF0C0D0E"/>
      <name val="Consolas"/>
      <family val="18"/>
    </font>
    <font>
      <sz val="14"/>
      <color rgb="FF0C0D0E"/>
      <name val="Helvetica"/>
      <family val="2"/>
    </font>
    <font>
      <i/>
      <sz val="14"/>
      <color theme="1"/>
      <name val="Helvetica"/>
      <family val="2"/>
    </font>
    <font>
      <b/>
      <i/>
      <sz val="14"/>
      <color theme="1"/>
      <name val="Calibri"/>
      <family val="2"/>
      <scheme val="minor"/>
    </font>
    <font>
      <b/>
      <i/>
      <sz val="11"/>
      <color theme="1"/>
      <name val="Calibri"/>
      <family val="2"/>
      <scheme val="minor"/>
    </font>
    <font>
      <i/>
      <sz val="14"/>
      <color theme="1"/>
      <name val="Calibri"/>
      <family val="2"/>
      <scheme val="minor"/>
    </font>
    <font>
      <sz val="14"/>
      <color rgb="FF000000"/>
      <name val="Calibri"/>
      <family val="2"/>
      <scheme val="minor"/>
    </font>
    <font>
      <b/>
      <i/>
      <sz val="14"/>
      <color rgb="FF000000"/>
      <name val="Calibri"/>
      <family val="2"/>
      <scheme val="minor"/>
    </font>
    <font>
      <sz val="13"/>
      <color rgb="FF666666"/>
      <name val="Arial"/>
      <family val="2"/>
    </font>
    <font>
      <sz val="14"/>
      <color theme="0"/>
      <name val="Calibri"/>
      <family val="2"/>
      <scheme val="minor"/>
    </font>
    <font>
      <sz val="11"/>
      <color theme="0"/>
      <name val="Calibri"/>
      <family val="2"/>
      <scheme val="minor"/>
    </font>
    <font>
      <b/>
      <sz val="14"/>
      <color theme="0"/>
      <name val="Calibri"/>
      <family val="2"/>
      <scheme val="minor"/>
    </font>
    <font>
      <i/>
      <sz val="14"/>
      <color theme="0"/>
      <name val="Calibri"/>
      <family val="2"/>
      <scheme val="minor"/>
    </font>
    <font>
      <b/>
      <i/>
      <sz val="14"/>
      <color theme="0"/>
      <name val="Calibri"/>
      <family val="2"/>
      <scheme val="minor"/>
    </font>
    <font>
      <sz val="10"/>
      <color rgb="FF000000"/>
      <name val="Tahoma"/>
      <family val="2"/>
    </font>
    <font>
      <b/>
      <sz val="10"/>
      <color rgb="FF000000"/>
      <name val="Tahoma"/>
      <family val="2"/>
    </font>
    <font>
      <sz val="11"/>
      <color rgb="FFFF0000"/>
      <name val="Calibri"/>
      <family val="2"/>
      <scheme val="minor"/>
    </font>
    <font>
      <sz val="11"/>
      <color rgb="FF9C0006"/>
      <name val="Calibri"/>
      <family val="2"/>
      <scheme val="minor"/>
    </font>
    <font>
      <sz val="7"/>
      <color rgb="FF222222"/>
      <name val="Arial"/>
      <family val="2"/>
    </font>
    <font>
      <sz val="11"/>
      <color rgb="FF006100"/>
      <name val="Calibri"/>
      <family val="2"/>
      <scheme val="minor"/>
    </font>
    <font>
      <b/>
      <sz val="10"/>
      <color theme="1"/>
      <name val="Calibri"/>
      <family val="2"/>
      <scheme val="minor"/>
    </font>
    <font>
      <b/>
      <sz val="7"/>
      <color rgb="FF333333"/>
      <name val="Arial"/>
      <family val="2"/>
    </font>
    <font>
      <sz val="9"/>
      <color rgb="FF000000"/>
      <name val="Arial"/>
      <family val="2"/>
    </font>
    <font>
      <b/>
      <sz val="12"/>
      <color theme="1"/>
      <name val="Calibri"/>
      <family val="2"/>
      <scheme val="minor"/>
    </font>
    <font>
      <b/>
      <sz val="20"/>
      <color theme="1"/>
      <name val="Calibri"/>
      <family val="2"/>
      <scheme val="minor"/>
    </font>
    <font>
      <sz val="14"/>
      <color rgb="FFFF0000"/>
      <name val="Calibri"/>
      <family val="2"/>
      <scheme val="minor"/>
    </font>
    <font>
      <sz val="12"/>
      <color rgb="FFFF0000"/>
      <name val="Calibri"/>
      <family val="2"/>
      <scheme val="minor"/>
    </font>
    <font>
      <i/>
      <sz val="12"/>
      <color theme="1"/>
      <name val="Calibri"/>
      <family val="2"/>
      <scheme val="minor"/>
    </font>
    <font>
      <sz val="11"/>
      <color rgb="FF9C5700"/>
      <name val="Calibri"/>
      <family val="2"/>
      <scheme val="minor"/>
    </font>
    <font>
      <b/>
      <sz val="11"/>
      <color rgb="FFFF0000"/>
      <name val="Calibri"/>
      <family val="2"/>
      <scheme val="minor"/>
    </font>
    <font>
      <b/>
      <sz val="7"/>
      <color rgb="FF484848"/>
      <name val="Arial"/>
      <family val="2"/>
    </font>
    <font>
      <sz val="7"/>
      <color theme="1"/>
      <name val="Arial"/>
      <family val="2"/>
    </font>
    <font>
      <b/>
      <sz val="7"/>
      <color theme="1"/>
      <name val="Arial"/>
      <family val="2"/>
    </font>
    <font>
      <b/>
      <sz val="11"/>
      <color rgb="FF484848"/>
      <name val="Calibri"/>
      <family val="2"/>
      <scheme val="minor"/>
    </font>
    <font>
      <b/>
      <sz val="7"/>
      <color rgb="FF484848"/>
      <name val="Open Sans"/>
      <family val="2"/>
    </font>
    <font>
      <sz val="12"/>
      <color rgb="FF3F3F3F"/>
      <name val="Helvetica"/>
      <family val="2"/>
    </font>
    <font>
      <sz val="10"/>
      <color rgb="FF484848"/>
      <name val="Open Sans"/>
      <family val="2"/>
    </font>
    <font>
      <b/>
      <sz val="11"/>
      <color rgb="FF484848"/>
      <name val="Open Sans"/>
      <family val="2"/>
    </font>
    <font>
      <sz val="11"/>
      <color rgb="FF484848"/>
      <name val="Open Sans"/>
      <family val="2"/>
    </font>
    <font>
      <sz val="20"/>
      <color theme="1"/>
      <name val="Calibri"/>
      <family val="2"/>
      <scheme val="minor"/>
    </font>
    <font>
      <b/>
      <sz val="12"/>
      <name val="Calibri"/>
      <family val="2"/>
      <scheme val="minor"/>
    </font>
    <font>
      <b/>
      <sz val="11"/>
      <color rgb="FFFA7D00"/>
      <name val="Calibri"/>
      <family val="2"/>
      <scheme val="minor"/>
    </font>
    <font>
      <sz val="10"/>
      <color rgb="FF484848"/>
      <name val="Open Sans"/>
    </font>
    <font>
      <sz val="11"/>
      <color theme="1"/>
      <name val="Calibri"/>
      <family val="2"/>
      <scheme val="minor"/>
    </font>
    <font>
      <sz val="11"/>
      <color rgb="FF3F3F76"/>
      <name val="Calibri"/>
      <family val="2"/>
      <scheme val="minor"/>
    </font>
    <font>
      <sz val="12"/>
      <color theme="0"/>
      <name val="Calibri"/>
      <family val="2"/>
      <scheme val="minor"/>
    </font>
    <font>
      <b/>
      <sz val="14"/>
      <color rgb="FF000000"/>
      <name val="Calibri"/>
      <family val="2"/>
    </font>
    <font>
      <sz val="11"/>
      <color rgb="FFFFC000"/>
      <name val="Calibri"/>
      <family val="2"/>
      <scheme val="minor"/>
    </font>
    <font>
      <i/>
      <sz val="10"/>
      <color theme="1"/>
      <name val="Calibri"/>
      <family val="2"/>
      <scheme val="minor"/>
    </font>
    <font>
      <b/>
      <sz val="11"/>
      <color rgb="FFFFFFFF"/>
      <name val="Calibri"/>
      <family val="2"/>
      <scheme val="minor"/>
    </font>
    <font>
      <b/>
      <sz val="12"/>
      <color rgb="FFFFFFFF"/>
      <name val="Calibri"/>
      <family val="2"/>
      <scheme val="minor"/>
    </font>
    <font>
      <b/>
      <sz val="11"/>
      <name val="Calibri"/>
      <family val="2"/>
      <scheme val="minor"/>
    </font>
    <font>
      <sz val="9"/>
      <color indexed="81"/>
      <name val="Tahoma"/>
      <charset val="1"/>
    </font>
  </fonts>
  <fills count="3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rgb="FFFFC7CE"/>
      </patternFill>
    </fill>
    <fill>
      <patternFill patternType="solid">
        <fgColor theme="9" tint="0.79998168889431442"/>
        <bgColor indexed="64"/>
      </patternFill>
    </fill>
    <fill>
      <patternFill patternType="solid">
        <fgColor theme="0" tint="-0.249977111117893"/>
        <bgColor indexed="64"/>
      </patternFill>
    </fill>
    <fill>
      <patternFill patternType="solid">
        <fgColor rgb="FFC6EFCE"/>
      </patternFill>
    </fill>
    <fill>
      <patternFill patternType="solid">
        <fgColor theme="9"/>
        <bgColor indexed="64"/>
      </patternFill>
    </fill>
    <fill>
      <patternFill patternType="solid">
        <fgColor theme="5" tint="0.79998168889431442"/>
        <bgColor indexed="64"/>
      </patternFill>
    </fill>
    <fill>
      <patternFill patternType="solid">
        <fgColor rgb="FFFFEB9C"/>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bgColor indexed="64"/>
      </patternFill>
    </fill>
    <fill>
      <patternFill patternType="solid">
        <fgColor rgb="FFFFC000"/>
        <bgColor indexed="64"/>
      </patternFill>
    </fill>
    <fill>
      <patternFill patternType="solid">
        <fgColor theme="8" tint="0.79998168889431442"/>
        <bgColor indexed="64"/>
      </patternFill>
    </fill>
    <fill>
      <patternFill patternType="solid">
        <fgColor rgb="FFC000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rgb="FFF2F2F2"/>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CC99"/>
      </patternFill>
    </fill>
    <fill>
      <patternFill patternType="solid">
        <fgColor theme="3" tint="0.39997558519241921"/>
        <bgColor indexed="64"/>
      </patternFill>
    </fill>
    <fill>
      <patternFill patternType="solid">
        <fgColor theme="3" tint="0.79998168889431442"/>
        <bgColor indexed="64"/>
      </patternFill>
    </fill>
    <fill>
      <patternFill patternType="solid">
        <fgColor rgb="FFEAF0F6"/>
        <bgColor indexed="64"/>
      </patternFill>
    </fill>
    <fill>
      <patternFill patternType="solid">
        <fgColor theme="0" tint="-9.9978637043366805E-2"/>
        <bgColor indexed="64"/>
      </patternFill>
    </fill>
    <fill>
      <patternFill patternType="solid">
        <fgColor theme="1" tint="0.89999084444715716"/>
        <bgColor indexed="64"/>
      </patternFill>
    </fill>
    <fill>
      <patternFill patternType="solid">
        <fgColor rgb="FFD9E1F2"/>
        <bgColor indexed="64"/>
      </patternFill>
    </fill>
  </fills>
  <borders count="71">
    <border>
      <left/>
      <right/>
      <top/>
      <bottom/>
      <diagonal/>
    </border>
    <border>
      <left/>
      <right/>
      <top style="thin">
        <color theme="2" tint="-9.9978637043366805E-2"/>
      </top>
      <bottom style="thin">
        <color theme="2" tint="-9.9978637043366805E-2"/>
      </bottom>
      <diagonal/>
    </border>
    <border>
      <left/>
      <right style="thin">
        <color theme="2" tint="-9.9978637043366805E-2"/>
      </right>
      <top/>
      <bottom/>
      <diagonal/>
    </border>
    <border>
      <left style="thin">
        <color theme="2" tint="-9.9978637043366805E-2"/>
      </left>
      <right style="thin">
        <color theme="2" tint="-9.9978637043366805E-2"/>
      </right>
      <top/>
      <bottom style="thin">
        <color theme="2" tint="-9.9978637043366805E-2"/>
      </bottom>
      <diagonal/>
    </border>
    <border>
      <left/>
      <right/>
      <top/>
      <bottom style="thin">
        <color theme="2" tint="-9.9978637043366805E-2"/>
      </bottom>
      <diagonal/>
    </border>
    <border>
      <left style="thin">
        <color theme="2" tint="-9.9978637043366805E-2"/>
      </left>
      <right/>
      <top/>
      <bottom style="thin">
        <color theme="2" tint="-9.9978637043366805E-2"/>
      </bottom>
      <diagonal/>
    </border>
    <border>
      <left/>
      <right style="thin">
        <color theme="2" tint="-9.9978637043366805E-2"/>
      </right>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right/>
      <top/>
      <bottom style="medium">
        <color theme="1"/>
      </bottom>
      <diagonal/>
    </border>
    <border>
      <left/>
      <right/>
      <top style="medium">
        <color theme="1"/>
      </top>
      <bottom style="thin">
        <color theme="2" tint="-9.9978637043366805E-2"/>
      </bottom>
      <diagonal/>
    </border>
    <border>
      <left/>
      <right style="thin">
        <color theme="2" tint="-9.9978637043366805E-2"/>
      </right>
      <top style="medium">
        <color theme="1"/>
      </top>
      <bottom style="thin">
        <color theme="2" tint="-9.9978637043366805E-2"/>
      </bottom>
      <diagonal/>
    </border>
    <border>
      <left style="thin">
        <color theme="2" tint="-9.9978637043366805E-2"/>
      </left>
      <right/>
      <top style="medium">
        <color theme="1"/>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style="thin">
        <color theme="2" tint="-9.9978637043366805E-2"/>
      </left>
      <right/>
      <top/>
      <bottom/>
      <diagonal/>
    </border>
    <border>
      <left/>
      <right style="medium">
        <color rgb="FFDDDDDD"/>
      </right>
      <top/>
      <bottom/>
      <diagonal/>
    </border>
    <border>
      <left style="medium">
        <color rgb="FFDDDDDD"/>
      </left>
      <right style="medium">
        <color rgb="FFDDDDDD"/>
      </right>
      <top/>
      <bottom/>
      <diagonal/>
    </border>
    <border>
      <left style="medium">
        <color rgb="FFDDDDDD"/>
      </left>
      <right/>
      <top/>
      <bottom/>
      <diagonal/>
    </border>
    <border>
      <left style="medium">
        <color rgb="FF000000"/>
      </left>
      <right style="medium">
        <color rgb="FF000000"/>
      </right>
      <top style="medium">
        <color rgb="FF000000"/>
      </top>
      <bottom/>
      <diagonal/>
    </border>
    <border>
      <left/>
      <right/>
      <top style="thick">
        <color rgb="FFDDDDDD"/>
      </top>
      <bottom/>
      <diagonal/>
    </border>
    <border>
      <left/>
      <right style="medium">
        <color rgb="FF000000"/>
      </right>
      <top style="medium">
        <color rgb="FF000000"/>
      </top>
      <bottom/>
      <diagonal/>
    </border>
    <border>
      <left/>
      <right style="medium">
        <color rgb="FF000000"/>
      </right>
      <top style="medium">
        <color rgb="FF000000"/>
      </top>
      <bottom style="medium">
        <color rgb="FFDDDDDD"/>
      </bottom>
      <diagonal/>
    </border>
    <border>
      <left/>
      <right/>
      <top style="thick">
        <color rgb="FFDDDDDD"/>
      </top>
      <bottom style="medium">
        <color rgb="FFDDDDDD"/>
      </bottom>
      <diagonal/>
    </border>
    <border>
      <left style="medium">
        <color rgb="FFFFFFFF"/>
      </left>
      <right style="medium">
        <color rgb="FF000000"/>
      </right>
      <top style="medium">
        <color rgb="FFFFFFFF"/>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top/>
      <bottom/>
      <diagonal/>
    </border>
    <border>
      <left style="thin">
        <color theme="0"/>
      </left>
      <right/>
      <top style="thin">
        <color theme="0"/>
      </top>
      <bottom/>
      <diagonal/>
    </border>
    <border>
      <left style="thin">
        <color indexed="64"/>
      </left>
      <right/>
      <top/>
      <bottom style="thin">
        <color indexed="64"/>
      </bottom>
      <diagonal/>
    </border>
    <border>
      <left style="thin">
        <color theme="0"/>
      </left>
      <right/>
      <top/>
      <bottom style="thin">
        <color indexed="64"/>
      </bottom>
      <diagonal/>
    </border>
    <border>
      <left style="thin">
        <color theme="0"/>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theme="0"/>
      </left>
      <right style="thin">
        <color indexed="64"/>
      </right>
      <top style="thin">
        <color theme="0"/>
      </top>
      <bottom/>
      <diagonal/>
    </border>
  </borders>
  <cellStyleXfs count="27">
    <xf numFmtId="0" fontId="0" fillId="0" borderId="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61" fillId="13" borderId="0" applyNumberFormat="0" applyBorder="0" applyAlignment="0" applyProtection="0"/>
    <xf numFmtId="0" fontId="63" fillId="16" borderId="0" applyNumberFormat="0" applyBorder="0" applyAlignment="0" applyProtection="0"/>
    <xf numFmtId="0" fontId="72" fillId="19" borderId="0" applyNumberFormat="0" applyBorder="0" applyAlignment="0" applyProtection="0"/>
    <xf numFmtId="0" fontId="85" fillId="29" borderId="42" applyNumberFormat="0" applyAlignment="0" applyProtection="0"/>
    <xf numFmtId="44" fontId="87" fillId="0" borderId="0" applyFont="0" applyFill="0" applyBorder="0" applyAlignment="0" applyProtection="0"/>
    <xf numFmtId="9" fontId="87" fillId="0" borderId="0" applyFont="0" applyFill="0" applyBorder="0" applyAlignment="0" applyProtection="0"/>
    <xf numFmtId="0" fontId="88" fillId="32" borderId="42" applyNumberFormat="0" applyAlignment="0" applyProtection="0"/>
  </cellStyleXfs>
  <cellXfs count="802">
    <xf numFmtId="0" fontId="0" fillId="0" borderId="0" xfId="0"/>
    <xf numFmtId="0" fontId="21" fillId="0" borderId="0" xfId="0" applyFont="1" applyAlignment="1">
      <alignment horizontal="center" vertical="center"/>
    </xf>
    <xf numFmtId="166" fontId="21" fillId="0" borderId="0" xfId="0" applyNumberFormat="1" applyFont="1" applyAlignment="1">
      <alignment horizontal="center" vertical="center"/>
    </xf>
    <xf numFmtId="167" fontId="21" fillId="0" borderId="0" xfId="0" applyNumberFormat="1" applyFont="1" applyAlignment="1">
      <alignment horizontal="center" vertical="center"/>
    </xf>
    <xf numFmtId="0" fontId="21" fillId="0" borderId="0" xfId="0" applyFont="1" applyAlignment="1">
      <alignment horizontal="left" vertical="center"/>
    </xf>
    <xf numFmtId="0" fontId="21" fillId="0" borderId="0" xfId="0" applyFont="1" applyAlignment="1">
      <alignment horizontal="left" vertical="center" wrapText="1"/>
    </xf>
    <xf numFmtId="0" fontId="20" fillId="0" borderId="0" xfId="0" applyFont="1" applyAlignment="1">
      <alignment horizontal="center" vertical="center"/>
    </xf>
    <xf numFmtId="0" fontId="0" fillId="0" borderId="0" xfId="0" applyAlignment="1">
      <alignment horizontal="center" vertical="center"/>
    </xf>
    <xf numFmtId="167" fontId="20" fillId="0" borderId="0" xfId="0" applyNumberFormat="1" applyFont="1" applyAlignment="1">
      <alignment horizontal="center" vertical="center"/>
    </xf>
    <xf numFmtId="0" fontId="24" fillId="0" borderId="0" xfId="0" applyFont="1"/>
    <xf numFmtId="168" fontId="24" fillId="0" borderId="0" xfId="0" applyNumberFormat="1" applyFont="1"/>
    <xf numFmtId="168" fontId="0" fillId="0" borderId="0" xfId="0" applyNumberFormat="1"/>
    <xf numFmtId="0" fontId="24" fillId="2" borderId="0" xfId="0" applyFont="1" applyFill="1"/>
    <xf numFmtId="0" fontId="24" fillId="2" borderId="0" xfId="0" applyFont="1" applyFill="1" applyAlignment="1">
      <alignment horizontal="center"/>
    </xf>
    <xf numFmtId="168" fontId="24" fillId="0" borderId="1" xfId="0" applyNumberFormat="1" applyFont="1" applyBorder="1"/>
    <xf numFmtId="168" fontId="24" fillId="0" borderId="2" xfId="0" applyNumberFormat="1" applyFont="1" applyBorder="1"/>
    <xf numFmtId="168" fontId="24" fillId="3" borderId="3" xfId="0" applyNumberFormat="1" applyFont="1" applyFill="1" applyBorder="1"/>
    <xf numFmtId="168" fontId="24" fillId="3" borderId="7" xfId="0" applyNumberFormat="1" applyFont="1" applyFill="1" applyBorder="1"/>
    <xf numFmtId="168" fontId="24" fillId="3" borderId="8" xfId="0" applyNumberFormat="1" applyFont="1" applyFill="1" applyBorder="1"/>
    <xf numFmtId="168" fontId="24" fillId="0" borderId="4" xfId="0" applyNumberFormat="1" applyFont="1" applyBorder="1"/>
    <xf numFmtId="0" fontId="24" fillId="3" borderId="8" xfId="0" applyFont="1" applyFill="1" applyBorder="1"/>
    <xf numFmtId="168" fontId="24" fillId="3" borderId="5" xfId="0" applyNumberFormat="1" applyFont="1" applyFill="1" applyBorder="1"/>
    <xf numFmtId="0" fontId="0" fillId="0" borderId="3" xfId="0" applyBorder="1"/>
    <xf numFmtId="168" fontId="24" fillId="0" borderId="6" xfId="0" applyNumberFormat="1" applyFont="1" applyBorder="1"/>
    <xf numFmtId="0" fontId="24" fillId="0" borderId="7" xfId="0" applyFont="1" applyBorder="1"/>
    <xf numFmtId="168" fontId="0" fillId="0" borderId="3" xfId="0" applyNumberFormat="1" applyBorder="1"/>
    <xf numFmtId="168" fontId="24" fillId="0" borderId="4" xfId="0" applyNumberFormat="1" applyFont="1" applyBorder="1" applyAlignment="1">
      <alignment horizontal="center"/>
    </xf>
    <xf numFmtId="168" fontId="24" fillId="0" borderId="6" xfId="0" applyNumberFormat="1" applyFont="1" applyBorder="1" applyAlignment="1">
      <alignment horizontal="center"/>
    </xf>
    <xf numFmtId="14" fontId="24" fillId="0" borderId="0" xfId="0" applyNumberFormat="1" applyFont="1"/>
    <xf numFmtId="0" fontId="20" fillId="2" borderId="0" xfId="0" applyFont="1" applyFill="1" applyAlignment="1">
      <alignment horizontal="center" vertical="center"/>
    </xf>
    <xf numFmtId="0" fontId="21" fillId="2" borderId="0" xfId="0" applyFont="1" applyFill="1" applyAlignment="1">
      <alignment horizontal="left" vertical="center"/>
    </xf>
    <xf numFmtId="0" fontId="24" fillId="2" borderId="0" xfId="0" applyFont="1" applyFill="1" applyAlignment="1">
      <alignment horizontal="right"/>
    </xf>
    <xf numFmtId="0" fontId="24" fillId="2" borderId="8" xfId="0" applyFont="1" applyFill="1" applyBorder="1" applyAlignment="1">
      <alignment horizontal="left"/>
    </xf>
    <xf numFmtId="168" fontId="24" fillId="0" borderId="0" xfId="0" applyNumberFormat="1" applyFont="1" applyAlignment="1">
      <alignment horizontal="right"/>
    </xf>
    <xf numFmtId="168" fontId="24" fillId="2" borderId="0" xfId="0" applyNumberFormat="1" applyFont="1" applyFill="1"/>
    <xf numFmtId="168" fontId="24" fillId="0" borderId="8" xfId="0" applyNumberFormat="1" applyFont="1" applyBorder="1"/>
    <xf numFmtId="168" fontId="24" fillId="0" borderId="8" xfId="0" applyNumberFormat="1" applyFont="1" applyBorder="1" applyAlignment="1">
      <alignment horizontal="center"/>
    </xf>
    <xf numFmtId="168" fontId="24" fillId="3" borderId="0" xfId="0" applyNumberFormat="1" applyFont="1" applyFill="1"/>
    <xf numFmtId="167" fontId="0" fillId="0" borderId="0" xfId="0" applyNumberFormat="1"/>
    <xf numFmtId="0" fontId="24" fillId="3" borderId="3" xfId="0" applyFont="1" applyFill="1" applyBorder="1"/>
    <xf numFmtId="0" fontId="24" fillId="0" borderId="1" xfId="0" applyFont="1" applyBorder="1"/>
    <xf numFmtId="14" fontId="24" fillId="0" borderId="2" xfId="0" applyNumberFormat="1" applyFont="1" applyBorder="1"/>
    <xf numFmtId="14" fontId="0" fillId="0" borderId="0" xfId="0" applyNumberFormat="1"/>
    <xf numFmtId="0" fontId="24" fillId="3" borderId="5" xfId="0" applyFont="1" applyFill="1" applyBorder="1"/>
    <xf numFmtId="14" fontId="24" fillId="2" borderId="2" xfId="0" applyNumberFormat="1" applyFont="1" applyFill="1" applyBorder="1" applyAlignment="1">
      <alignment horizontal="center"/>
    </xf>
    <xf numFmtId="169" fontId="21" fillId="0" borderId="0" xfId="0" applyNumberFormat="1" applyFont="1" applyAlignment="1">
      <alignment horizontal="left" vertical="center"/>
    </xf>
    <xf numFmtId="168" fontId="24" fillId="0" borderId="0" xfId="0" applyNumberFormat="1" applyFont="1" applyAlignment="1">
      <alignment horizontal="center" vertical="center"/>
    </xf>
    <xf numFmtId="0" fontId="25" fillId="0" borderId="0" xfId="0" applyFont="1"/>
    <xf numFmtId="0" fontId="24" fillId="3" borderId="0" xfId="0" applyFont="1" applyFill="1"/>
    <xf numFmtId="14" fontId="24" fillId="0" borderId="2" xfId="0" applyNumberFormat="1" applyFont="1" applyBorder="1" applyAlignment="1">
      <alignment horizontal="center"/>
    </xf>
    <xf numFmtId="168" fontId="24" fillId="3" borderId="1" xfId="0" applyNumberFormat="1" applyFont="1" applyFill="1" applyBorder="1"/>
    <xf numFmtId="168" fontId="24" fillId="3" borderId="6" xfId="0" applyNumberFormat="1" applyFont="1" applyFill="1" applyBorder="1"/>
    <xf numFmtId="0" fontId="24" fillId="3" borderId="6" xfId="0" applyFont="1" applyFill="1" applyBorder="1"/>
    <xf numFmtId="0" fontId="25" fillId="0" borderId="8" xfId="0" applyFont="1" applyBorder="1"/>
    <xf numFmtId="0" fontId="24" fillId="3" borderId="7" xfId="0" applyFont="1" applyFill="1" applyBorder="1"/>
    <xf numFmtId="2" fontId="0" fillId="0" borderId="0" xfId="0" applyNumberFormat="1"/>
    <xf numFmtId="3" fontId="0" fillId="0" borderId="0" xfId="0" applyNumberFormat="1"/>
    <xf numFmtId="2" fontId="24" fillId="0" borderId="0" xfId="0" applyNumberFormat="1" applyFont="1"/>
    <xf numFmtId="3" fontId="24" fillId="0" borderId="0" xfId="0" applyNumberFormat="1" applyFont="1"/>
    <xf numFmtId="168" fontId="25" fillId="0" borderId="8" xfId="0" applyNumberFormat="1" applyFont="1" applyBorder="1"/>
    <xf numFmtId="0" fontId="26" fillId="4" borderId="0" xfId="0" applyFont="1" applyFill="1" applyAlignment="1">
      <alignment horizontal="center" vertical="center"/>
    </xf>
    <xf numFmtId="0" fontId="26" fillId="4" borderId="0" xfId="0" applyFont="1" applyFill="1" applyAlignment="1">
      <alignment horizontal="center"/>
    </xf>
    <xf numFmtId="0" fontId="26" fillId="4" borderId="0" xfId="0" applyFont="1" applyFill="1"/>
    <xf numFmtId="168" fontId="26" fillId="4" borderId="0" xfId="0" applyNumberFormat="1" applyFont="1" applyFill="1"/>
    <xf numFmtId="0" fontId="27" fillId="5" borderId="0" xfId="0" applyFont="1" applyFill="1" applyAlignment="1">
      <alignment horizontal="center" vertical="center"/>
    </xf>
    <xf numFmtId="168" fontId="21" fillId="0" borderId="0" xfId="0" applyNumberFormat="1" applyFont="1" applyAlignment="1">
      <alignment horizontal="center" vertical="center"/>
    </xf>
    <xf numFmtId="0" fontId="30" fillId="0" borderId="0" xfId="0" applyFont="1" applyAlignment="1">
      <alignment horizontal="right" vertical="center"/>
    </xf>
    <xf numFmtId="168" fontId="30" fillId="0" borderId="0" xfId="0" applyNumberFormat="1" applyFont="1" applyAlignment="1">
      <alignment horizontal="right"/>
    </xf>
    <xf numFmtId="167" fontId="31" fillId="0" borderId="0" xfId="0" applyNumberFormat="1" applyFont="1" applyAlignment="1">
      <alignment horizontal="center" vertical="center"/>
    </xf>
    <xf numFmtId="167" fontId="21" fillId="5" borderId="0" xfId="0" applyNumberFormat="1" applyFont="1" applyFill="1" applyAlignment="1">
      <alignment horizontal="center" vertical="center"/>
    </xf>
    <xf numFmtId="167" fontId="21" fillId="6" borderId="0" xfId="0" applyNumberFormat="1" applyFont="1" applyFill="1" applyAlignment="1">
      <alignment horizontal="center" vertical="center"/>
    </xf>
    <xf numFmtId="167" fontId="21" fillId="7" borderId="0" xfId="0" applyNumberFormat="1" applyFont="1" applyFill="1" applyAlignment="1">
      <alignment horizontal="center" vertical="center"/>
    </xf>
    <xf numFmtId="167" fontId="21" fillId="8" borderId="0" xfId="0" applyNumberFormat="1" applyFont="1" applyFill="1" applyAlignment="1">
      <alignment horizontal="center" vertical="center"/>
    </xf>
    <xf numFmtId="0" fontId="32" fillId="0" borderId="0" xfId="0" applyFont="1"/>
    <xf numFmtId="168" fontId="34" fillId="0" borderId="0" xfId="0" applyNumberFormat="1" applyFont="1"/>
    <xf numFmtId="0" fontId="31" fillId="4" borderId="0" xfId="0" applyFont="1" applyFill="1" applyAlignment="1">
      <alignment horizontal="center" vertical="center"/>
    </xf>
    <xf numFmtId="0" fontId="34" fillId="4" borderId="0" xfId="0" applyFont="1" applyFill="1"/>
    <xf numFmtId="16" fontId="0" fillId="0" borderId="0" xfId="0" applyNumberFormat="1"/>
    <xf numFmtId="0" fontId="0" fillId="4" borderId="0" xfId="0" applyFill="1"/>
    <xf numFmtId="0" fontId="0" fillId="0" borderId="0" xfId="0" applyAlignment="1">
      <alignment horizontal="center"/>
    </xf>
    <xf numFmtId="0" fontId="35" fillId="0" borderId="0" xfId="0" applyFont="1"/>
    <xf numFmtId="0" fontId="0" fillId="4" borderId="9" xfId="0" applyFill="1" applyBorder="1" applyAlignment="1">
      <alignment horizontal="center" vertical="center"/>
    </xf>
    <xf numFmtId="0" fontId="26" fillId="0" borderId="10" xfId="0" applyFont="1" applyBorder="1" applyAlignment="1">
      <alignment horizontal="center" vertical="center"/>
    </xf>
    <xf numFmtId="0" fontId="0" fillId="4" borderId="9" xfId="0" applyFill="1" applyBorder="1" applyAlignment="1">
      <alignment horizontal="center"/>
    </xf>
    <xf numFmtId="0" fontId="0" fillId="4" borderId="11" xfId="0" applyFill="1" applyBorder="1" applyAlignment="1">
      <alignment horizontal="center"/>
    </xf>
    <xf numFmtId="168" fontId="0" fillId="0" borderId="10" xfId="0" applyNumberFormat="1" applyBorder="1"/>
    <xf numFmtId="0" fontId="0" fillId="4" borderId="11" xfId="0" applyFill="1" applyBorder="1"/>
    <xf numFmtId="168" fontId="26" fillId="4" borderId="13" xfId="0" applyNumberFormat="1" applyFont="1" applyFill="1" applyBorder="1"/>
    <xf numFmtId="168" fontId="26" fillId="4" borderId="12" xfId="0" applyNumberFormat="1" applyFont="1" applyFill="1" applyBorder="1"/>
    <xf numFmtId="168" fontId="0" fillId="0" borderId="0" xfId="0" applyNumberFormat="1" applyAlignment="1">
      <alignment horizontal="right"/>
    </xf>
    <xf numFmtId="0" fontId="26" fillId="0" borderId="0" xfId="0" applyFont="1" applyAlignment="1">
      <alignment horizontal="center" vertical="center"/>
    </xf>
    <xf numFmtId="168" fontId="26" fillId="0" borderId="0" xfId="0" applyNumberFormat="1" applyFont="1" applyAlignment="1">
      <alignment horizontal="center"/>
    </xf>
    <xf numFmtId="168" fontId="26" fillId="0" borderId="3" xfId="0" applyNumberFormat="1" applyFont="1" applyBorder="1"/>
    <xf numFmtId="0" fontId="0" fillId="0" borderId="8" xfId="0" applyBorder="1" applyAlignment="1">
      <alignment horizontal="center"/>
    </xf>
    <xf numFmtId="168" fontId="0" fillId="0" borderId="8" xfId="0" applyNumberFormat="1" applyBorder="1"/>
    <xf numFmtId="0" fontId="30" fillId="0" borderId="8" xfId="0" applyFont="1" applyBorder="1" applyAlignment="1">
      <alignment horizontal="right" vertical="center"/>
    </xf>
    <xf numFmtId="0" fontId="0" fillId="0" borderId="8" xfId="0" applyBorder="1" applyAlignment="1">
      <alignment horizontal="center" vertical="center"/>
    </xf>
    <xf numFmtId="0" fontId="0" fillId="0" borderId="8" xfId="0" applyBorder="1"/>
    <xf numFmtId="168" fontId="26" fillId="0" borderId="8" xfId="0" applyNumberFormat="1" applyFont="1" applyBorder="1"/>
    <xf numFmtId="168" fontId="26" fillId="0" borderId="14" xfId="0" applyNumberFormat="1" applyFont="1" applyBorder="1"/>
    <xf numFmtId="168" fontId="26" fillId="0" borderId="15" xfId="0" applyNumberFormat="1" applyFont="1" applyBorder="1"/>
    <xf numFmtId="0" fontId="0" fillId="0" borderId="16" xfId="0" applyBorder="1"/>
    <xf numFmtId="0" fontId="30" fillId="0" borderId="0" xfId="0" applyFont="1" applyAlignment="1">
      <alignment horizontal="right" vertical="center" wrapText="1"/>
    </xf>
    <xf numFmtId="0" fontId="27" fillId="5" borderId="0" xfId="0" applyFont="1" applyFill="1" applyAlignment="1">
      <alignment horizontal="center"/>
    </xf>
    <xf numFmtId="3" fontId="24" fillId="2" borderId="0" xfId="0" applyNumberFormat="1" applyFont="1" applyFill="1"/>
    <xf numFmtId="0" fontId="27" fillId="2" borderId="0" xfId="0" applyFont="1" applyFill="1" applyAlignment="1">
      <alignment horizontal="center"/>
    </xf>
    <xf numFmtId="2" fontId="27" fillId="2" borderId="0" xfId="0" applyNumberFormat="1" applyFont="1" applyFill="1" applyAlignment="1">
      <alignment horizontal="center"/>
    </xf>
    <xf numFmtId="0" fontId="26" fillId="2" borderId="0" xfId="0" applyFont="1" applyFill="1" applyAlignment="1">
      <alignment horizontal="center" vertical="center"/>
    </xf>
    <xf numFmtId="168" fontId="0" fillId="0" borderId="5" xfId="0" applyNumberFormat="1" applyBorder="1"/>
    <xf numFmtId="168" fontId="24" fillId="3" borderId="17" xfId="0" applyNumberFormat="1" applyFont="1" applyFill="1" applyBorder="1"/>
    <xf numFmtId="0" fontId="24" fillId="3" borderId="17" xfId="0" applyFont="1" applyFill="1" applyBorder="1"/>
    <xf numFmtId="14" fontId="24" fillId="0" borderId="8" xfId="0" applyNumberFormat="1" applyFont="1" applyBorder="1"/>
    <xf numFmtId="0" fontId="0" fillId="0" borderId="10" xfId="0" applyBorder="1" applyAlignment="1">
      <alignment horizontal="center"/>
    </xf>
    <xf numFmtId="0" fontId="0" fillId="0" borderId="12" xfId="0" applyBorder="1" applyAlignment="1">
      <alignment horizontal="center"/>
    </xf>
    <xf numFmtId="40" fontId="0" fillId="0" borderId="0" xfId="0" applyNumberFormat="1"/>
    <xf numFmtId="0" fontId="36" fillId="0" borderId="0" xfId="0" applyFont="1"/>
    <xf numFmtId="14" fontId="24" fillId="0" borderId="0" xfId="0" applyNumberFormat="1" applyFont="1" applyAlignment="1">
      <alignment horizontal="center" vertical="center"/>
    </xf>
    <xf numFmtId="0" fontId="24" fillId="0" borderId="0" xfId="0" applyFont="1" applyAlignment="1">
      <alignment horizontal="center" vertical="center"/>
    </xf>
    <xf numFmtId="0" fontId="0" fillId="0" borderId="0" xfId="0" applyAlignment="1">
      <alignment vertical="center"/>
    </xf>
    <xf numFmtId="0" fontId="26" fillId="4" borderId="18" xfId="0" applyFont="1" applyFill="1" applyBorder="1" applyAlignment="1">
      <alignment horizontal="center" vertical="center"/>
    </xf>
    <xf numFmtId="0" fontId="26" fillId="4" borderId="19" xfId="0" applyFont="1" applyFill="1" applyBorder="1" applyAlignment="1">
      <alignment horizontal="center" vertical="center"/>
    </xf>
    <xf numFmtId="0" fontId="26" fillId="4" borderId="18" xfId="0" applyFont="1" applyFill="1" applyBorder="1" applyAlignment="1">
      <alignment horizontal="center"/>
    </xf>
    <xf numFmtId="0" fontId="26" fillId="4" borderId="20" xfId="0" applyFont="1" applyFill="1" applyBorder="1" applyAlignment="1">
      <alignment horizontal="center"/>
    </xf>
    <xf numFmtId="0" fontId="26" fillId="4" borderId="20" xfId="0" applyFont="1" applyFill="1" applyBorder="1" applyAlignment="1">
      <alignment horizontal="center" vertical="center"/>
    </xf>
    <xf numFmtId="0" fontId="26" fillId="4" borderId="19" xfId="0" applyFont="1" applyFill="1" applyBorder="1" applyAlignment="1">
      <alignment horizontal="center"/>
    </xf>
    <xf numFmtId="0" fontId="37" fillId="0" borderId="0" xfId="0" applyFont="1"/>
    <xf numFmtId="167" fontId="21" fillId="0" borderId="8" xfId="0" applyNumberFormat="1" applyFont="1" applyBorder="1" applyAlignment="1">
      <alignment horizontal="center" vertical="center"/>
    </xf>
    <xf numFmtId="167" fontId="34" fillId="0" borderId="0" xfId="0" applyNumberFormat="1" applyFont="1" applyAlignment="1">
      <alignment horizontal="center" vertical="center"/>
    </xf>
    <xf numFmtId="0" fontId="31" fillId="2" borderId="0" xfId="0" applyFont="1" applyFill="1" applyAlignment="1">
      <alignment horizontal="center" vertical="center"/>
    </xf>
    <xf numFmtId="0" fontId="34" fillId="2" borderId="0" xfId="0" applyFont="1" applyFill="1" applyAlignment="1">
      <alignment horizontal="left" vertical="center"/>
    </xf>
    <xf numFmtId="0" fontId="34" fillId="0" borderId="0" xfId="0" applyFont="1" applyAlignment="1">
      <alignment horizontal="left" vertical="center"/>
    </xf>
    <xf numFmtId="0" fontId="34" fillId="0" borderId="0" xfId="0" applyFont="1" applyAlignment="1">
      <alignment horizontal="center" vertical="center"/>
    </xf>
    <xf numFmtId="167" fontId="34" fillId="7" borderId="0" xfId="0" applyNumberFormat="1" applyFont="1" applyFill="1" applyAlignment="1">
      <alignment horizontal="center" vertical="center"/>
    </xf>
    <xf numFmtId="167" fontId="34" fillId="8" borderId="0" xfId="0" applyNumberFormat="1" applyFont="1" applyFill="1" applyAlignment="1">
      <alignment horizontal="center" vertical="center"/>
    </xf>
    <xf numFmtId="168" fontId="34" fillId="0" borderId="0" xfId="0" applyNumberFormat="1" applyFont="1" applyAlignment="1">
      <alignment horizontal="center" vertical="center"/>
    </xf>
    <xf numFmtId="14" fontId="34" fillId="0" borderId="0" xfId="0" applyNumberFormat="1" applyFont="1" applyAlignment="1">
      <alignment horizontal="center" vertical="center"/>
    </xf>
    <xf numFmtId="167" fontId="34" fillId="6" borderId="0" xfId="0" applyNumberFormat="1" applyFont="1" applyFill="1" applyAlignment="1">
      <alignment horizontal="center" vertical="center"/>
    </xf>
    <xf numFmtId="0" fontId="34" fillId="0" borderId="0" xfId="0" applyFont="1" applyAlignment="1">
      <alignment horizontal="left" vertical="center" wrapText="1"/>
    </xf>
    <xf numFmtId="167" fontId="34" fillId="5" borderId="0" xfId="0" applyNumberFormat="1" applyFont="1" applyFill="1" applyAlignment="1">
      <alignment horizontal="center" vertical="center"/>
    </xf>
    <xf numFmtId="0" fontId="38" fillId="0" borderId="0" xfId="0" applyFont="1"/>
    <xf numFmtId="168" fontId="38" fillId="0" borderId="0" xfId="0" applyNumberFormat="1" applyFont="1"/>
    <xf numFmtId="0" fontId="39" fillId="0" borderId="0" xfId="0" applyFont="1" applyAlignment="1">
      <alignment horizontal="center" vertical="center"/>
    </xf>
    <xf numFmtId="169" fontId="34" fillId="0" borderId="0" xfId="0" applyNumberFormat="1" applyFont="1" applyAlignment="1">
      <alignment horizontal="left" vertical="center"/>
    </xf>
    <xf numFmtId="167" fontId="38" fillId="0" borderId="0" xfId="0" applyNumberFormat="1" applyFont="1"/>
    <xf numFmtId="168" fontId="38" fillId="0" borderId="0" xfId="0" applyNumberFormat="1" applyFont="1" applyAlignment="1">
      <alignment horizontal="center" vertical="center"/>
    </xf>
    <xf numFmtId="0" fontId="38" fillId="0" borderId="0" xfId="0" applyFont="1" applyAlignment="1">
      <alignment horizontal="center" vertical="center"/>
    </xf>
    <xf numFmtId="17" fontId="34" fillId="0" borderId="0" xfId="0" applyNumberFormat="1" applyFont="1" applyAlignment="1">
      <alignment horizontal="center" vertical="center"/>
    </xf>
    <xf numFmtId="168" fontId="21" fillId="0" borderId="0" xfId="0" applyNumberFormat="1" applyFont="1" applyAlignment="1">
      <alignment horizontal="left" vertical="center"/>
    </xf>
    <xf numFmtId="16" fontId="34" fillId="0" borderId="0" xfId="0" applyNumberFormat="1" applyFont="1" applyAlignment="1">
      <alignment horizontal="center" vertical="center"/>
    </xf>
    <xf numFmtId="0" fontId="40" fillId="9" borderId="21" xfId="0" applyFont="1" applyFill="1" applyBorder="1" applyAlignment="1">
      <alignment horizontal="left"/>
    </xf>
    <xf numFmtId="0" fontId="41" fillId="9" borderId="22" xfId="0" applyFont="1" applyFill="1" applyBorder="1" applyAlignment="1">
      <alignment horizontal="left"/>
    </xf>
    <xf numFmtId="0" fontId="41" fillId="9" borderId="23" xfId="0" applyFont="1" applyFill="1" applyBorder="1" applyAlignment="1">
      <alignment horizontal="left"/>
    </xf>
    <xf numFmtId="0" fontId="41" fillId="9" borderId="24" xfId="0" applyFont="1" applyFill="1" applyBorder="1" applyAlignment="1">
      <alignment horizontal="left"/>
    </xf>
    <xf numFmtId="0" fontId="41" fillId="9" borderId="25" xfId="0" applyFont="1" applyFill="1" applyBorder="1" applyAlignment="1">
      <alignment horizontal="left"/>
    </xf>
    <xf numFmtId="0" fontId="41" fillId="9" borderId="26" xfId="0" applyFont="1" applyFill="1" applyBorder="1" applyAlignment="1">
      <alignment horizontal="left"/>
    </xf>
    <xf numFmtId="0" fontId="41" fillId="9" borderId="27" xfId="0" applyFont="1" applyFill="1" applyBorder="1" applyAlignment="1">
      <alignment horizontal="left"/>
    </xf>
    <xf numFmtId="0" fontId="41" fillId="9" borderId="28" xfId="0" applyFont="1" applyFill="1" applyBorder="1" applyAlignment="1">
      <alignment horizontal="left"/>
    </xf>
    <xf numFmtId="14" fontId="41" fillId="9" borderId="29" xfId="0" applyNumberFormat="1" applyFont="1" applyFill="1" applyBorder="1" applyAlignment="1">
      <alignment horizontal="left"/>
    </xf>
    <xf numFmtId="170" fontId="41" fillId="9" borderId="0" xfId="0" applyNumberFormat="1" applyFont="1" applyFill="1" applyAlignment="1">
      <alignment horizontal="left" shrinkToFit="1"/>
    </xf>
    <xf numFmtId="0" fontId="41" fillId="9" borderId="0" xfId="0" applyFont="1" applyFill="1" applyAlignment="1">
      <alignment horizontal="left"/>
    </xf>
    <xf numFmtId="0" fontId="41" fillId="9" borderId="30" xfId="0" applyFont="1" applyFill="1" applyBorder="1" applyAlignment="1">
      <alignment horizontal="left"/>
    </xf>
    <xf numFmtId="0" fontId="41" fillId="9" borderId="31" xfId="0" applyFont="1" applyFill="1" applyBorder="1" applyAlignment="1">
      <alignment horizontal="left"/>
    </xf>
    <xf numFmtId="0" fontId="41" fillId="9" borderId="29" xfId="0" applyFont="1" applyFill="1" applyBorder="1" applyAlignment="1">
      <alignment horizontal="left"/>
    </xf>
    <xf numFmtId="2" fontId="41" fillId="9" borderId="0" xfId="0" applyNumberFormat="1" applyFont="1" applyFill="1" applyAlignment="1">
      <alignment horizontal="left"/>
    </xf>
    <xf numFmtId="170" fontId="42" fillId="9" borderId="25" xfId="0" applyNumberFormat="1" applyFont="1" applyFill="1" applyBorder="1" applyAlignment="1">
      <alignment horizontal="left"/>
    </xf>
    <xf numFmtId="170" fontId="42" fillId="9" borderId="26" xfId="0" applyNumberFormat="1" applyFont="1" applyFill="1" applyBorder="1" applyAlignment="1">
      <alignment horizontal="left" shrinkToFit="1"/>
    </xf>
    <xf numFmtId="2" fontId="42" fillId="9" borderId="26" xfId="0" applyNumberFormat="1" applyFont="1" applyFill="1" applyBorder="1" applyAlignment="1">
      <alignment horizontal="left" shrinkToFit="1"/>
    </xf>
    <xf numFmtId="2" fontId="41" fillId="9" borderId="27" xfId="0" applyNumberFormat="1" applyFont="1" applyFill="1" applyBorder="1" applyAlignment="1">
      <alignment horizontal="left"/>
    </xf>
    <xf numFmtId="168" fontId="41" fillId="9" borderId="28" xfId="0" applyNumberFormat="1" applyFont="1" applyFill="1" applyBorder="1" applyAlignment="1">
      <alignment horizontal="left"/>
    </xf>
    <xf numFmtId="0" fontId="41" fillId="9" borderId="21" xfId="0" applyFont="1" applyFill="1" applyBorder="1" applyAlignment="1">
      <alignment horizontal="left"/>
    </xf>
    <xf numFmtId="2" fontId="41" fillId="9" borderId="28" xfId="0" applyNumberFormat="1" applyFont="1" applyFill="1" applyBorder="1" applyAlignment="1">
      <alignment horizontal="left"/>
    </xf>
    <xf numFmtId="0" fontId="43" fillId="0" borderId="0" xfId="0" quotePrefix="1" applyFont="1" applyAlignment="1">
      <alignment wrapText="1"/>
    </xf>
    <xf numFmtId="0" fontId="45" fillId="0" borderId="0" xfId="0" applyFont="1" applyAlignment="1">
      <alignment horizontal="center" vertical="center" wrapText="1"/>
    </xf>
    <xf numFmtId="14" fontId="34" fillId="0" borderId="0" xfId="0" applyNumberFormat="1" applyFont="1" applyAlignment="1">
      <alignment horizontal="right" vertical="center"/>
    </xf>
    <xf numFmtId="0" fontId="34" fillId="0" borderId="0" xfId="0" applyFont="1" applyAlignment="1">
      <alignment horizontal="center" vertical="center" wrapText="1"/>
    </xf>
    <xf numFmtId="0" fontId="46" fillId="0" borderId="0" xfId="0" applyFont="1" applyAlignment="1">
      <alignment horizontal="left" vertical="center" wrapText="1"/>
    </xf>
    <xf numFmtId="0" fontId="46" fillId="0" borderId="0" xfId="0" applyFont="1" applyAlignment="1">
      <alignment horizontal="left" vertical="center"/>
    </xf>
    <xf numFmtId="0" fontId="47" fillId="2" borderId="0" xfId="0" applyFont="1" applyFill="1" applyAlignment="1">
      <alignment horizontal="left"/>
    </xf>
    <xf numFmtId="0" fontId="47" fillId="2" borderId="0" xfId="0" applyFont="1" applyFill="1"/>
    <xf numFmtId="0" fontId="24" fillId="2" borderId="8" xfId="0" applyFont="1" applyFill="1" applyBorder="1" applyAlignment="1">
      <alignment horizontal="center"/>
    </xf>
    <xf numFmtId="0" fontId="27" fillId="5" borderId="0" xfId="0" applyFont="1" applyFill="1" applyAlignment="1">
      <alignment horizontal="left"/>
    </xf>
    <xf numFmtId="168" fontId="47" fillId="0" borderId="0" xfId="0" applyNumberFormat="1" applyFont="1"/>
    <xf numFmtId="0" fontId="48" fillId="0" borderId="0" xfId="0" applyFont="1"/>
    <xf numFmtId="168" fontId="49" fillId="0" borderId="0" xfId="0" applyNumberFormat="1" applyFont="1" applyAlignment="1">
      <alignment horizontal="center"/>
    </xf>
    <xf numFmtId="168" fontId="49" fillId="0" borderId="0" xfId="0" applyNumberFormat="1" applyFont="1" applyAlignment="1">
      <alignment horizontal="right"/>
    </xf>
    <xf numFmtId="0" fontId="24" fillId="0" borderId="0" xfId="0" applyFont="1" applyAlignment="1">
      <alignment horizontal="right"/>
    </xf>
    <xf numFmtId="0" fontId="47" fillId="0" borderId="0" xfId="0" applyFont="1"/>
    <xf numFmtId="0" fontId="44" fillId="0" borderId="0" xfId="0" applyFont="1" applyAlignment="1">
      <alignment wrapText="1"/>
    </xf>
    <xf numFmtId="0" fontId="0" fillId="0" borderId="0" xfId="0" applyAlignment="1">
      <alignment horizontal="left"/>
    </xf>
    <xf numFmtId="168" fontId="49" fillId="0" borderId="0" xfId="0" applyNumberFormat="1" applyFont="1"/>
    <xf numFmtId="14" fontId="21" fillId="0" borderId="0" xfId="0" applyNumberFormat="1" applyFont="1" applyAlignment="1">
      <alignment horizontal="left" vertical="center" wrapText="1"/>
    </xf>
    <xf numFmtId="14" fontId="21" fillId="4" borderId="0" xfId="0" applyNumberFormat="1" applyFont="1" applyFill="1" applyAlignment="1">
      <alignment horizontal="left" vertical="center"/>
    </xf>
    <xf numFmtId="14" fontId="24" fillId="0" borderId="1" xfId="0" applyNumberFormat="1" applyFont="1" applyBorder="1"/>
    <xf numFmtId="171" fontId="24" fillId="0" borderId="2" xfId="0" applyNumberFormat="1" applyFont="1" applyBorder="1"/>
    <xf numFmtId="171" fontId="0" fillId="0" borderId="0" xfId="0" applyNumberFormat="1"/>
    <xf numFmtId="0" fontId="30" fillId="0" borderId="0" xfId="0" applyFont="1" applyAlignment="1">
      <alignment horizontal="center"/>
    </xf>
    <xf numFmtId="0" fontId="30" fillId="0" borderId="0" xfId="0" applyFont="1" applyAlignment="1">
      <alignment horizontal="center" vertical="center"/>
    </xf>
    <xf numFmtId="168" fontId="30" fillId="0" borderId="0" xfId="0" applyNumberFormat="1" applyFont="1" applyAlignment="1">
      <alignment horizontal="center"/>
    </xf>
    <xf numFmtId="167" fontId="30" fillId="0" borderId="0" xfId="0" applyNumberFormat="1" applyFont="1" applyAlignment="1">
      <alignment horizontal="center" vertical="center"/>
    </xf>
    <xf numFmtId="168" fontId="36" fillId="0" borderId="0" xfId="0" applyNumberFormat="1" applyFont="1"/>
    <xf numFmtId="167" fontId="21" fillId="10" borderId="0" xfId="0" applyNumberFormat="1" applyFont="1" applyFill="1" applyAlignment="1">
      <alignment horizontal="center" vertical="center"/>
    </xf>
    <xf numFmtId="0" fontId="24" fillId="2" borderId="0" xfId="0" applyFont="1" applyFill="1" applyAlignment="1">
      <alignment horizontal="left"/>
    </xf>
    <xf numFmtId="0" fontId="47" fillId="2" borderId="8" xfId="0" applyFont="1" applyFill="1" applyBorder="1" applyAlignment="1">
      <alignment horizontal="left"/>
    </xf>
    <xf numFmtId="14" fontId="30" fillId="0" borderId="0" xfId="0" applyNumberFormat="1" applyFont="1" applyAlignment="1">
      <alignment horizontal="center"/>
    </xf>
    <xf numFmtId="0" fontId="24" fillId="0" borderId="0" xfId="0" applyFont="1" applyAlignment="1">
      <alignment horizontal="left"/>
    </xf>
    <xf numFmtId="0" fontId="24" fillId="0" borderId="7" xfId="0" applyFont="1" applyBorder="1" applyAlignment="1">
      <alignment horizontal="center"/>
    </xf>
    <xf numFmtId="168" fontId="50" fillId="0" borderId="0" xfId="0" applyNumberFormat="1" applyFont="1"/>
    <xf numFmtId="168" fontId="51" fillId="0" borderId="0" xfId="0" applyNumberFormat="1" applyFont="1"/>
    <xf numFmtId="0" fontId="24" fillId="3" borderId="0" xfId="0" applyFont="1" applyFill="1" applyAlignment="1">
      <alignment horizontal="right"/>
    </xf>
    <xf numFmtId="2" fontId="24" fillId="0" borderId="0" xfId="0" applyNumberFormat="1" applyFont="1" applyAlignment="1">
      <alignment horizontal="left"/>
    </xf>
    <xf numFmtId="168" fontId="24" fillId="4" borderId="0" xfId="0" applyNumberFormat="1" applyFont="1" applyFill="1"/>
    <xf numFmtId="168" fontId="24" fillId="9" borderId="0" xfId="0" applyNumberFormat="1" applyFont="1" applyFill="1"/>
    <xf numFmtId="0" fontId="26" fillId="0" borderId="0" xfId="0" applyFont="1"/>
    <xf numFmtId="168" fontId="26" fillId="0" borderId="0" xfId="0" applyNumberFormat="1" applyFont="1"/>
    <xf numFmtId="166" fontId="0" fillId="0" borderId="0" xfId="0" applyNumberFormat="1"/>
    <xf numFmtId="167" fontId="52" fillId="0" borderId="0" xfId="0" applyNumberFormat="1" applyFont="1"/>
    <xf numFmtId="0" fontId="24" fillId="11" borderId="0" xfId="0" applyFont="1" applyFill="1"/>
    <xf numFmtId="0" fontId="0" fillId="11" borderId="0" xfId="0" applyFill="1"/>
    <xf numFmtId="0" fontId="24" fillId="12" borderId="0" xfId="0" applyFont="1" applyFill="1"/>
    <xf numFmtId="0" fontId="53" fillId="12" borderId="0" xfId="0" applyFont="1" applyFill="1"/>
    <xf numFmtId="0" fontId="54" fillId="12" borderId="0" xfId="0" applyFont="1" applyFill="1" applyAlignment="1">
      <alignment horizontal="right"/>
    </xf>
    <xf numFmtId="0" fontId="0" fillId="11" borderId="0" xfId="0" applyFill="1" applyAlignment="1">
      <alignment horizontal="right"/>
    </xf>
    <xf numFmtId="0" fontId="0" fillId="12" borderId="0" xfId="0" applyFill="1" applyAlignment="1">
      <alignment horizontal="right"/>
    </xf>
    <xf numFmtId="0" fontId="53" fillId="12" borderId="0" xfId="0" applyFont="1" applyFill="1" applyAlignment="1">
      <alignment horizontal="center"/>
    </xf>
    <xf numFmtId="0" fontId="55" fillId="12" borderId="0" xfId="0" applyFont="1" applyFill="1" applyAlignment="1">
      <alignment horizontal="center"/>
    </xf>
    <xf numFmtId="168" fontId="55" fillId="12" borderId="0" xfId="0" applyNumberFormat="1" applyFont="1" applyFill="1" applyAlignment="1">
      <alignment horizontal="center"/>
    </xf>
    <xf numFmtId="168" fontId="53" fillId="12" borderId="0" xfId="0" applyNumberFormat="1" applyFont="1" applyFill="1" applyAlignment="1">
      <alignment horizontal="center"/>
    </xf>
    <xf numFmtId="0" fontId="57" fillId="12" borderId="0" xfId="0" applyFont="1" applyFill="1"/>
    <xf numFmtId="0" fontId="57" fillId="12" borderId="0" xfId="0" applyFont="1" applyFill="1" applyAlignment="1">
      <alignment horizontal="right"/>
    </xf>
    <xf numFmtId="0" fontId="56" fillId="12" borderId="0" xfId="0" applyFont="1" applyFill="1"/>
    <xf numFmtId="0" fontId="0" fillId="0" borderId="0" xfId="0" applyAlignment="1">
      <alignment horizontal="right"/>
    </xf>
    <xf numFmtId="0" fontId="28" fillId="0" borderId="0" xfId="19"/>
    <xf numFmtId="0" fontId="0" fillId="0" borderId="0" xfId="0" applyAlignment="1">
      <alignment wrapText="1"/>
    </xf>
    <xf numFmtId="0" fontId="26" fillId="0" borderId="0" xfId="0" applyFont="1" applyAlignment="1">
      <alignment wrapText="1"/>
    </xf>
    <xf numFmtId="168" fontId="47" fillId="0" borderId="0" xfId="0" applyNumberFormat="1" applyFont="1" applyAlignment="1">
      <alignment horizontal="center"/>
    </xf>
    <xf numFmtId="168" fontId="27" fillId="0" borderId="0" xfId="0" applyNumberFormat="1" applyFont="1" applyAlignment="1">
      <alignment horizontal="center"/>
    </xf>
    <xf numFmtId="0" fontId="27" fillId="2" borderId="0" xfId="0" applyFont="1" applyFill="1"/>
    <xf numFmtId="0" fontId="27" fillId="0" borderId="0" xfId="0" applyFont="1"/>
    <xf numFmtId="168" fontId="0" fillId="9" borderId="0" xfId="0" applyNumberFormat="1" applyFill="1"/>
    <xf numFmtId="168" fontId="24" fillId="0" borderId="0" xfId="0" applyNumberFormat="1" applyFont="1" applyAlignment="1">
      <alignment horizontal="right" vertical="center"/>
    </xf>
    <xf numFmtId="0" fontId="60" fillId="0" borderId="0" xfId="0" applyFont="1"/>
    <xf numFmtId="168" fontId="60" fillId="0" borderId="0" xfId="0" applyNumberFormat="1" applyFont="1"/>
    <xf numFmtId="0" fontId="0" fillId="9" borderId="0" xfId="0" applyFill="1"/>
    <xf numFmtId="4" fontId="0" fillId="0" borderId="0" xfId="0" applyNumberFormat="1"/>
    <xf numFmtId="0" fontId="0" fillId="0" borderId="32" xfId="0" applyBorder="1"/>
    <xf numFmtId="0" fontId="27" fillId="2" borderId="0" xfId="0" applyFont="1" applyFill="1" applyAlignment="1">
      <alignment horizontal="center" vertical="center"/>
    </xf>
    <xf numFmtId="168" fontId="61" fillId="13" borderId="0" xfId="20" applyNumberFormat="1" applyAlignment="1">
      <alignment horizontal="center"/>
    </xf>
    <xf numFmtId="0" fontId="0" fillId="14" borderId="0" xfId="0" applyFill="1"/>
    <xf numFmtId="17" fontId="0" fillId="0" borderId="0" xfId="0" applyNumberFormat="1"/>
    <xf numFmtId="0" fontId="27" fillId="0" borderId="0" xfId="0" applyFont="1" applyAlignment="1">
      <alignment horizontal="center"/>
    </xf>
    <xf numFmtId="0" fontId="24" fillId="0" borderId="0" xfId="0" applyFont="1" applyAlignment="1">
      <alignment horizontal="center"/>
    </xf>
    <xf numFmtId="168" fontId="27" fillId="15" borderId="7" xfId="0" applyNumberFormat="1" applyFont="1" applyFill="1" applyBorder="1" applyAlignment="1">
      <alignment horizontal="center"/>
    </xf>
    <xf numFmtId="0" fontId="62" fillId="0" borderId="0" xfId="0" applyFont="1"/>
    <xf numFmtId="168" fontId="24" fillId="3" borderId="7" xfId="0" applyNumberFormat="1" applyFont="1" applyFill="1" applyBorder="1" applyAlignment="1">
      <alignment horizontal="center" vertical="center"/>
    </xf>
    <xf numFmtId="0" fontId="63" fillId="16" borderId="0" xfId="21"/>
    <xf numFmtId="0" fontId="24" fillId="3" borderId="0" xfId="0" applyFont="1" applyFill="1" applyAlignment="1">
      <alignment horizontal="center" vertical="center"/>
    </xf>
    <xf numFmtId="0" fontId="64" fillId="15" borderId="0" xfId="0" applyFont="1" applyFill="1" applyAlignment="1">
      <alignment horizontal="center" vertical="center"/>
    </xf>
    <xf numFmtId="0" fontId="24" fillId="15" borderId="0" xfId="0" applyFont="1" applyFill="1"/>
    <xf numFmtId="9" fontId="0" fillId="0" borderId="0" xfId="0" applyNumberFormat="1"/>
    <xf numFmtId="168" fontId="0" fillId="0" borderId="0" xfId="0" applyNumberFormat="1" applyAlignment="1">
      <alignment horizontal="center"/>
    </xf>
    <xf numFmtId="168" fontId="30" fillId="0" borderId="0" xfId="0" applyNumberFormat="1" applyFont="1"/>
    <xf numFmtId="0" fontId="30" fillId="0" borderId="0" xfId="0" applyFont="1"/>
    <xf numFmtId="0" fontId="24" fillId="3" borderId="17" xfId="0" quotePrefix="1" applyFont="1" applyFill="1" applyBorder="1"/>
    <xf numFmtId="168" fontId="63" fillId="16" borderId="0" xfId="21" applyNumberFormat="1"/>
    <xf numFmtId="0" fontId="24" fillId="0" borderId="2" xfId="0" applyFont="1" applyBorder="1" applyAlignment="1">
      <alignment horizontal="center"/>
    </xf>
    <xf numFmtId="172" fontId="0" fillId="0" borderId="0" xfId="0" applyNumberFormat="1"/>
    <xf numFmtId="2" fontId="24" fillId="0" borderId="2" xfId="0" applyNumberFormat="1" applyFont="1" applyBorder="1" applyAlignment="1">
      <alignment horizontal="center"/>
    </xf>
    <xf numFmtId="168" fontId="19" fillId="0" borderId="0" xfId="0" applyNumberFormat="1" applyFont="1" applyAlignment="1">
      <alignment horizontal="center" vertical="center"/>
    </xf>
    <xf numFmtId="0" fontId="65" fillId="0" borderId="0" xfId="0" applyFont="1"/>
    <xf numFmtId="0" fontId="66" fillId="0" borderId="0" xfId="0" applyFont="1"/>
    <xf numFmtId="0" fontId="47" fillId="2" borderId="0" xfId="0" applyFont="1" applyFill="1" applyAlignment="1">
      <alignment horizontal="center" vertical="center"/>
    </xf>
    <xf numFmtId="168" fontId="0" fillId="15" borderId="0" xfId="0" applyNumberFormat="1" applyFill="1"/>
    <xf numFmtId="168" fontId="27" fillId="0" borderId="0" xfId="0" applyNumberFormat="1" applyFont="1"/>
    <xf numFmtId="0" fontId="0" fillId="15" borderId="0" xfId="0" applyFill="1" applyAlignment="1">
      <alignment horizontal="center" vertical="center"/>
    </xf>
    <xf numFmtId="168" fontId="0" fillId="15" borderId="0" xfId="0" applyNumberFormat="1" applyFill="1" applyAlignment="1">
      <alignment horizontal="center" vertical="center"/>
    </xf>
    <xf numFmtId="173" fontId="0" fillId="0" borderId="0" xfId="0" applyNumberFormat="1"/>
    <xf numFmtId="0" fontId="69" fillId="2" borderId="0" xfId="0" applyFont="1" applyFill="1" applyAlignment="1">
      <alignment horizontal="center"/>
    </xf>
    <xf numFmtId="168" fontId="70" fillId="0" borderId="0" xfId="0" applyNumberFormat="1" applyFont="1" applyAlignment="1">
      <alignment horizontal="center" vertical="center"/>
    </xf>
    <xf numFmtId="168" fontId="67" fillId="0" borderId="0" xfId="0" applyNumberFormat="1" applyFont="1" applyAlignment="1">
      <alignment horizontal="center" vertical="center"/>
    </xf>
    <xf numFmtId="0" fontId="26" fillId="9" borderId="0" xfId="0" applyFont="1" applyFill="1"/>
    <xf numFmtId="167" fontId="0" fillId="9" borderId="0" xfId="0" applyNumberFormat="1" applyFill="1"/>
    <xf numFmtId="168" fontId="27" fillId="15" borderId="0" xfId="0" applyNumberFormat="1" applyFont="1" applyFill="1"/>
    <xf numFmtId="0" fontId="0" fillId="15" borderId="0" xfId="0" applyFill="1"/>
    <xf numFmtId="0" fontId="0" fillId="15" borderId="0" xfId="0" applyFill="1" applyAlignment="1">
      <alignment horizontal="center"/>
    </xf>
    <xf numFmtId="168" fontId="0" fillId="0" borderId="0" xfId="0" applyNumberFormat="1" applyAlignment="1">
      <alignment horizontal="center" vertical="center"/>
    </xf>
    <xf numFmtId="168" fontId="26" fillId="15" borderId="0" xfId="0" applyNumberFormat="1" applyFont="1" applyFill="1" applyAlignment="1">
      <alignment horizontal="center" vertical="center"/>
    </xf>
    <xf numFmtId="168" fontId="0" fillId="18" borderId="0" xfId="0" applyNumberFormat="1" applyFill="1"/>
    <xf numFmtId="168" fontId="0" fillId="14" borderId="0" xfId="0" applyNumberFormat="1" applyFill="1"/>
    <xf numFmtId="10" fontId="0" fillId="0" borderId="0" xfId="0" applyNumberFormat="1"/>
    <xf numFmtId="0" fontId="71" fillId="2" borderId="0" xfId="0" applyFont="1" applyFill="1" applyAlignment="1">
      <alignment horizontal="center"/>
    </xf>
    <xf numFmtId="0" fontId="0" fillId="9" borderId="0" xfId="0" applyFill="1" applyAlignment="1">
      <alignment horizontal="center" vertical="center"/>
    </xf>
    <xf numFmtId="167" fontId="0" fillId="0" borderId="0" xfId="0" applyNumberFormat="1" applyAlignment="1">
      <alignment horizontal="center" vertical="center"/>
    </xf>
    <xf numFmtId="4" fontId="26" fillId="0" borderId="0" xfId="0" applyNumberFormat="1" applyFont="1"/>
    <xf numFmtId="0" fontId="69" fillId="2" borderId="0" xfId="0" applyFont="1" applyFill="1" applyAlignment="1">
      <alignment horizontal="left"/>
    </xf>
    <xf numFmtId="166" fontId="26" fillId="0" borderId="0" xfId="0" applyNumberFormat="1" applyFont="1"/>
    <xf numFmtId="0" fontId="0" fillId="0" borderId="0" xfId="0" applyAlignment="1">
      <alignment horizontal="right" vertical="center"/>
    </xf>
    <xf numFmtId="168" fontId="24" fillId="0" borderId="0" xfId="0" applyNumberFormat="1" applyFont="1" applyAlignment="1">
      <alignment horizontal="center"/>
    </xf>
    <xf numFmtId="0" fontId="0" fillId="2" borderId="0" xfId="0" applyFill="1" applyAlignment="1">
      <alignment horizontal="center"/>
    </xf>
    <xf numFmtId="168" fontId="68" fillId="15" borderId="0" xfId="0" applyNumberFormat="1" applyFont="1" applyFill="1" applyAlignment="1">
      <alignment horizontal="center" vertical="center"/>
    </xf>
    <xf numFmtId="0" fontId="67" fillId="14" borderId="0" xfId="0" applyFont="1" applyFill="1" applyAlignment="1">
      <alignment horizontal="center"/>
    </xf>
    <xf numFmtId="0" fontId="24" fillId="2" borderId="0" xfId="0" applyFont="1" applyFill="1" applyAlignment="1">
      <alignment horizontal="center" vertical="center"/>
    </xf>
    <xf numFmtId="0" fontId="61" fillId="13" borderId="0" xfId="20"/>
    <xf numFmtId="168" fontId="63" fillId="16" borderId="0" xfId="21" applyNumberFormat="1" applyAlignment="1">
      <alignment horizontal="center" vertical="center"/>
    </xf>
    <xf numFmtId="168" fontId="72" fillId="19" borderId="0" xfId="22" applyNumberFormat="1" applyAlignment="1">
      <alignment horizontal="center" vertical="center"/>
    </xf>
    <xf numFmtId="4" fontId="0" fillId="20" borderId="0" xfId="0" applyNumberFormat="1" applyFill="1"/>
    <xf numFmtId="0" fontId="0" fillId="20" borderId="0" xfId="0" applyFill="1"/>
    <xf numFmtId="168" fontId="0" fillId="20" borderId="0" xfId="0" applyNumberFormat="1" applyFill="1"/>
    <xf numFmtId="0" fontId="0" fillId="20" borderId="0" xfId="0" applyFill="1" applyAlignment="1">
      <alignment horizontal="center"/>
    </xf>
    <xf numFmtId="4" fontId="60" fillId="15" borderId="0" xfId="0" applyNumberFormat="1" applyFont="1" applyFill="1" applyAlignment="1">
      <alignment horizontal="center" vertical="center"/>
    </xf>
    <xf numFmtId="0" fontId="73" fillId="15" borderId="0" xfId="0" applyFont="1" applyFill="1" applyAlignment="1">
      <alignment horizontal="center" vertical="center"/>
    </xf>
    <xf numFmtId="0" fontId="26" fillId="0" borderId="0" xfId="0" applyFont="1" applyAlignment="1">
      <alignment horizontal="center"/>
    </xf>
    <xf numFmtId="4" fontId="0" fillId="21" borderId="0" xfId="0" applyNumberFormat="1" applyFill="1"/>
    <xf numFmtId="0" fontId="0" fillId="21" borderId="0" xfId="0" applyFill="1"/>
    <xf numFmtId="0" fontId="0" fillId="21" borderId="0" xfId="0" applyFill="1" applyAlignment="1">
      <alignment horizontal="center" vertical="center"/>
    </xf>
    <xf numFmtId="168" fontId="26" fillId="17" borderId="0" xfId="0" applyNumberFormat="1" applyFont="1" applyFill="1" applyAlignment="1">
      <alignment horizontal="center" vertical="center"/>
    </xf>
    <xf numFmtId="0" fontId="60" fillId="20" borderId="0" xfId="0" applyFont="1" applyFill="1"/>
    <xf numFmtId="14" fontId="26" fillId="0" borderId="0" xfId="0" applyNumberFormat="1" applyFont="1"/>
    <xf numFmtId="168" fontId="48" fillId="0" borderId="0" xfId="0" applyNumberFormat="1" applyFont="1" applyAlignment="1">
      <alignment horizontal="right"/>
    </xf>
    <xf numFmtId="0" fontId="27" fillId="14" borderId="0" xfId="0" applyFont="1" applyFill="1" applyAlignment="1">
      <alignment horizontal="center"/>
    </xf>
    <xf numFmtId="168" fontId="27" fillId="14" borderId="0" xfId="0" applyNumberFormat="1" applyFont="1" applyFill="1" applyAlignment="1">
      <alignment horizontal="center"/>
    </xf>
    <xf numFmtId="0" fontId="27" fillId="14" borderId="0" xfId="0" applyFont="1" applyFill="1" applyAlignment="1">
      <alignment horizontal="center" vertical="center"/>
    </xf>
    <xf numFmtId="168" fontId="67" fillId="14" borderId="0" xfId="0" applyNumberFormat="1" applyFont="1" applyFill="1" applyAlignment="1">
      <alignment horizontal="center" vertical="center"/>
    </xf>
    <xf numFmtId="166" fontId="0" fillId="0" borderId="0" xfId="0" applyNumberFormat="1" applyAlignment="1">
      <alignment vertical="center"/>
    </xf>
    <xf numFmtId="0" fontId="0" fillId="3" borderId="0" xfId="0" applyFill="1"/>
    <xf numFmtId="0" fontId="26" fillId="3" borderId="0" xfId="0" applyFont="1" applyFill="1"/>
    <xf numFmtId="0" fontId="60" fillId="15" borderId="0" xfId="0" applyFont="1" applyFill="1" applyAlignment="1">
      <alignment horizontal="center" vertical="center"/>
    </xf>
    <xf numFmtId="168" fontId="0" fillId="4" borderId="0" xfId="0" applyNumberFormat="1" applyFill="1"/>
    <xf numFmtId="168" fontId="26" fillId="9" borderId="0" xfId="0" applyNumberFormat="1" applyFont="1" applyFill="1"/>
    <xf numFmtId="168" fontId="30" fillId="9" borderId="0" xfId="0" applyNumberFormat="1" applyFont="1" applyFill="1" applyAlignment="1">
      <alignment horizontal="right"/>
    </xf>
    <xf numFmtId="0" fontId="0" fillId="9" borderId="0" xfId="0" applyFill="1" applyAlignment="1">
      <alignment horizontal="center"/>
    </xf>
    <xf numFmtId="0" fontId="26" fillId="15" borderId="0" xfId="0" applyFont="1" applyFill="1" applyAlignment="1">
      <alignment horizontal="center" vertical="center"/>
    </xf>
    <xf numFmtId="0" fontId="0" fillId="23" borderId="0" xfId="0" applyFill="1"/>
    <xf numFmtId="168" fontId="0" fillId="0" borderId="0" xfId="0" applyNumberFormat="1" applyAlignment="1">
      <alignment vertical="center"/>
    </xf>
    <xf numFmtId="168" fontId="26" fillId="15" borderId="0" xfId="0" applyNumberFormat="1" applyFont="1" applyFill="1" applyAlignment="1">
      <alignment horizontal="right"/>
    </xf>
    <xf numFmtId="0" fontId="0" fillId="0" borderId="0" xfId="0" applyAlignment="1">
      <alignment vertical="center" wrapText="1"/>
    </xf>
    <xf numFmtId="4" fontId="74" fillId="0" borderId="0" xfId="0" applyNumberFormat="1" applyFont="1"/>
    <xf numFmtId="0" fontId="74" fillId="0" borderId="0" xfId="0" applyFont="1"/>
    <xf numFmtId="4" fontId="0" fillId="0" borderId="0" xfId="0" applyNumberFormat="1" applyAlignment="1">
      <alignment vertical="center" wrapText="1"/>
    </xf>
    <xf numFmtId="0" fontId="0" fillId="24" borderId="0" xfId="0" applyFill="1"/>
    <xf numFmtId="0" fontId="0" fillId="25" borderId="0" xfId="0" applyFill="1" applyAlignment="1">
      <alignment horizontal="center" vertical="center"/>
    </xf>
    <xf numFmtId="0" fontId="0" fillId="25" borderId="0" xfId="0" applyFill="1"/>
    <xf numFmtId="0" fontId="0" fillId="25" borderId="0" xfId="0" applyFill="1" applyAlignment="1">
      <alignment horizontal="center"/>
    </xf>
    <xf numFmtId="3" fontId="0" fillId="0" borderId="0" xfId="0" applyNumberFormat="1" applyAlignment="1">
      <alignment horizontal="center" vertical="center"/>
    </xf>
    <xf numFmtId="4" fontId="0" fillId="0" borderId="0" xfId="0" applyNumberFormat="1" applyAlignment="1">
      <alignment horizontal="center" vertical="center"/>
    </xf>
    <xf numFmtId="17" fontId="0" fillId="9" borderId="0" xfId="0" applyNumberFormat="1" applyFill="1"/>
    <xf numFmtId="2" fontId="0" fillId="9" borderId="0" xfId="0" applyNumberFormat="1" applyFill="1"/>
    <xf numFmtId="0" fontId="0" fillId="18" borderId="0" xfId="0" applyFill="1"/>
    <xf numFmtId="174" fontId="0" fillId="0" borderId="0" xfId="0" applyNumberFormat="1"/>
    <xf numFmtId="175" fontId="0" fillId="0" borderId="0" xfId="0" applyNumberFormat="1" applyAlignment="1">
      <alignment horizontal="center"/>
    </xf>
    <xf numFmtId="176" fontId="0" fillId="0" borderId="0" xfId="0" applyNumberFormat="1"/>
    <xf numFmtId="175" fontId="0" fillId="15" borderId="0" xfId="0" applyNumberFormat="1" applyFill="1"/>
    <xf numFmtId="4" fontId="78" fillId="0" borderId="0" xfId="0" applyNumberFormat="1" applyFont="1"/>
    <xf numFmtId="14" fontId="35" fillId="0" borderId="0" xfId="0" applyNumberFormat="1" applyFont="1"/>
    <xf numFmtId="177" fontId="0" fillId="0" borderId="0" xfId="0" applyNumberFormat="1"/>
    <xf numFmtId="0" fontId="26" fillId="27" borderId="0" xfId="0" applyFont="1" applyFill="1"/>
    <xf numFmtId="0" fontId="0" fillId="5" borderId="0" xfId="0" applyFill="1"/>
    <xf numFmtId="0" fontId="0" fillId="27" borderId="0" xfId="0" applyFill="1"/>
    <xf numFmtId="0" fontId="26" fillId="9" borderId="0" xfId="0" applyFont="1" applyFill="1" applyAlignment="1">
      <alignment horizontal="center" vertical="center"/>
    </xf>
    <xf numFmtId="0" fontId="0" fillId="26" borderId="0" xfId="0" applyFill="1"/>
    <xf numFmtId="4" fontId="77" fillId="0" borderId="0" xfId="0" applyNumberFormat="1" applyFont="1"/>
    <xf numFmtId="166" fontId="0" fillId="0" borderId="0" xfId="0" applyNumberFormat="1" applyAlignment="1">
      <alignment horizontal="right"/>
    </xf>
    <xf numFmtId="167" fontId="0" fillId="0" borderId="0" xfId="0" applyNumberFormat="1" applyAlignment="1">
      <alignment horizontal="right"/>
    </xf>
    <xf numFmtId="0" fontId="0" fillId="28" borderId="0" xfId="0" applyFill="1"/>
    <xf numFmtId="3" fontId="0" fillId="0" borderId="0" xfId="0" applyNumberFormat="1" applyAlignment="1">
      <alignment vertical="center" wrapText="1"/>
    </xf>
    <xf numFmtId="3" fontId="0" fillId="0" borderId="0" xfId="0" applyNumberFormat="1" applyAlignment="1">
      <alignment vertical="center"/>
    </xf>
    <xf numFmtId="168" fontId="18" fillId="0" borderId="0" xfId="0" applyNumberFormat="1" applyFont="1" applyAlignment="1">
      <alignment horizontal="center" vertical="center"/>
    </xf>
    <xf numFmtId="0" fontId="79" fillId="0" borderId="0" xfId="0" applyFont="1"/>
    <xf numFmtId="8" fontId="80" fillId="0" borderId="0" xfId="0" applyNumberFormat="1" applyFont="1"/>
    <xf numFmtId="168" fontId="28" fillId="0" borderId="0" xfId="19" applyNumberFormat="1" applyFill="1"/>
    <xf numFmtId="178" fontId="0" fillId="0" borderId="0" xfId="0" applyNumberFormat="1"/>
    <xf numFmtId="175" fontId="0" fillId="0" borderId="0" xfId="0" applyNumberFormat="1" applyAlignment="1">
      <alignment horizontal="right"/>
    </xf>
    <xf numFmtId="0" fontId="60" fillId="9" borderId="0" xfId="0" applyFont="1" applyFill="1"/>
    <xf numFmtId="168" fontId="0" fillId="0" borderId="0" xfId="0" applyNumberFormat="1" applyAlignment="1">
      <alignment horizontal="right" vertical="center"/>
    </xf>
    <xf numFmtId="168" fontId="26" fillId="0" borderId="0" xfId="0" applyNumberFormat="1" applyFont="1" applyAlignment="1">
      <alignment horizontal="right" vertical="center"/>
    </xf>
    <xf numFmtId="168" fontId="18" fillId="3" borderId="7" xfId="0" applyNumberFormat="1" applyFont="1" applyFill="1" applyBorder="1" applyAlignment="1">
      <alignment horizontal="center" vertical="center"/>
    </xf>
    <xf numFmtId="168" fontId="18" fillId="15" borderId="0" xfId="0" applyNumberFormat="1" applyFont="1" applyFill="1" applyAlignment="1">
      <alignment horizontal="center" vertical="center"/>
    </xf>
    <xf numFmtId="168" fontId="18" fillId="0" borderId="0" xfId="0" applyNumberFormat="1" applyFont="1"/>
    <xf numFmtId="168" fontId="18" fillId="3" borderId="0" xfId="0" applyNumberFormat="1" applyFont="1" applyFill="1" applyAlignment="1">
      <alignment horizontal="center" vertical="center"/>
    </xf>
    <xf numFmtId="168" fontId="18" fillId="0" borderId="0" xfId="0" applyNumberFormat="1" applyFont="1" applyAlignment="1">
      <alignment horizontal="left" vertical="center"/>
    </xf>
    <xf numFmtId="168" fontId="18" fillId="2" borderId="0" xfId="0" applyNumberFormat="1" applyFont="1" applyFill="1" applyAlignment="1">
      <alignment horizontal="center" vertical="center"/>
    </xf>
    <xf numFmtId="168" fontId="18" fillId="0" borderId="0" xfId="0" applyNumberFormat="1" applyFont="1" applyAlignment="1">
      <alignment horizontal="right"/>
    </xf>
    <xf numFmtId="168" fontId="18" fillId="0" borderId="0" xfId="0" applyNumberFormat="1" applyFont="1" applyAlignment="1">
      <alignment horizontal="right" vertical="center"/>
    </xf>
    <xf numFmtId="0" fontId="18" fillId="0" borderId="0" xfId="0" applyFont="1" applyAlignment="1">
      <alignment horizontal="center" vertical="center"/>
    </xf>
    <xf numFmtId="168" fontId="17" fillId="0" borderId="0" xfId="0" applyNumberFormat="1" applyFont="1" applyAlignment="1">
      <alignment horizontal="right" vertical="center"/>
    </xf>
    <xf numFmtId="168" fontId="17" fillId="0" borderId="0" xfId="0" applyNumberFormat="1" applyFont="1" applyAlignment="1">
      <alignment horizontal="center" vertical="center"/>
    </xf>
    <xf numFmtId="179" fontId="0" fillId="0" borderId="0" xfId="0" applyNumberFormat="1"/>
    <xf numFmtId="4" fontId="26" fillId="0" borderId="0" xfId="0" applyNumberFormat="1" applyFont="1" applyAlignment="1">
      <alignment horizontal="center"/>
    </xf>
    <xf numFmtId="3" fontId="26" fillId="0" borderId="0" xfId="0" applyNumberFormat="1" applyFont="1" applyAlignment="1">
      <alignment horizontal="center" vertical="center"/>
    </xf>
    <xf numFmtId="173" fontId="0" fillId="0" borderId="0" xfId="0" applyNumberFormat="1" applyAlignment="1">
      <alignment horizontal="center"/>
    </xf>
    <xf numFmtId="173" fontId="0" fillId="0" borderId="0" xfId="0" applyNumberFormat="1" applyAlignment="1">
      <alignment horizontal="center" vertical="center"/>
    </xf>
    <xf numFmtId="4" fontId="0" fillId="0" borderId="0" xfId="0" applyNumberFormat="1" applyAlignment="1">
      <alignment horizontal="center"/>
    </xf>
    <xf numFmtId="0" fontId="81" fillId="0" borderId="36" xfId="0" applyFont="1" applyBorder="1" applyAlignment="1">
      <alignment horizontal="left" vertical="center"/>
    </xf>
    <xf numFmtId="0" fontId="28" fillId="0" borderId="36" xfId="19" applyBorder="1" applyAlignment="1">
      <alignment horizontal="left" vertical="center"/>
    </xf>
    <xf numFmtId="0" fontId="81" fillId="0" borderId="37" xfId="0" applyFont="1" applyBorder="1" applyAlignment="1">
      <alignment horizontal="left" vertical="center"/>
    </xf>
    <xf numFmtId="0" fontId="82" fillId="0" borderId="38" xfId="0" applyFont="1" applyBorder="1" applyAlignment="1">
      <alignment horizontal="right" vertical="center"/>
    </xf>
    <xf numFmtId="8" fontId="81" fillId="0" borderId="38" xfId="0" applyNumberFormat="1" applyFont="1" applyBorder="1" applyAlignment="1">
      <alignment horizontal="right" vertical="center"/>
    </xf>
    <xf numFmtId="8" fontId="82" fillId="0" borderId="38" xfId="0" applyNumberFormat="1" applyFont="1" applyBorder="1" applyAlignment="1">
      <alignment horizontal="right" vertical="center"/>
    </xf>
    <xf numFmtId="8" fontId="81" fillId="0" borderId="37" xfId="0" applyNumberFormat="1" applyFont="1" applyBorder="1" applyAlignment="1">
      <alignment horizontal="right" vertical="center"/>
    </xf>
    <xf numFmtId="0" fontId="82" fillId="0" borderId="39" xfId="0" applyFont="1" applyBorder="1" applyAlignment="1">
      <alignment horizontal="right" vertical="center"/>
    </xf>
    <xf numFmtId="8" fontId="81" fillId="0" borderId="39" xfId="0" applyNumberFormat="1" applyFont="1" applyBorder="1" applyAlignment="1">
      <alignment horizontal="right" vertical="center"/>
    </xf>
    <xf numFmtId="8" fontId="82" fillId="0" borderId="39" xfId="0" applyNumberFormat="1" applyFont="1" applyBorder="1" applyAlignment="1">
      <alignment horizontal="right" vertical="center"/>
    </xf>
    <xf numFmtId="8" fontId="81" fillId="0" borderId="40" xfId="0" applyNumberFormat="1" applyFont="1" applyBorder="1" applyAlignment="1">
      <alignment horizontal="right" vertical="center"/>
    </xf>
    <xf numFmtId="3" fontId="0" fillId="0" borderId="0" xfId="0" applyNumberFormat="1" applyAlignment="1">
      <alignment horizontal="center"/>
    </xf>
    <xf numFmtId="0" fontId="81" fillId="0" borderId="41" xfId="0" applyFont="1" applyBorder="1" applyAlignment="1">
      <alignment horizontal="left" vertical="center"/>
    </xf>
    <xf numFmtId="8" fontId="0" fillId="0" borderId="0" xfId="0" applyNumberFormat="1" applyAlignment="1">
      <alignment horizontal="center" vertical="center"/>
    </xf>
    <xf numFmtId="0" fontId="0" fillId="0" borderId="0" xfId="0" applyAlignment="1">
      <alignment horizontal="left" vertical="center"/>
    </xf>
    <xf numFmtId="0" fontId="28" fillId="9" borderId="0" xfId="19" applyFill="1"/>
    <xf numFmtId="180" fontId="0" fillId="0" borderId="0" xfId="0" applyNumberFormat="1"/>
    <xf numFmtId="4" fontId="0" fillId="15" borderId="0" xfId="0" applyNumberFormat="1" applyFill="1"/>
    <xf numFmtId="4" fontId="0" fillId="0" borderId="0" xfId="0" applyNumberFormat="1" applyAlignment="1">
      <alignment horizontal="left" vertical="center"/>
    </xf>
    <xf numFmtId="168" fontId="26" fillId="0" borderId="0" xfId="0" applyNumberFormat="1" applyFont="1" applyAlignment="1">
      <alignment horizontal="left" vertical="center"/>
    </xf>
    <xf numFmtId="0" fontId="26" fillId="0" borderId="0" xfId="0" applyFont="1" applyAlignment="1">
      <alignment horizontal="left" vertical="center"/>
    </xf>
    <xf numFmtId="168" fontId="0" fillId="0" borderId="0" xfId="0" applyNumberFormat="1" applyAlignment="1">
      <alignment horizontal="left" vertical="center"/>
    </xf>
    <xf numFmtId="166" fontId="0" fillId="0" borderId="0" xfId="0" applyNumberFormat="1" applyAlignment="1">
      <alignment horizontal="left" vertical="center"/>
    </xf>
    <xf numFmtId="0" fontId="0" fillId="26" borderId="0" xfId="0" applyFill="1" applyAlignment="1">
      <alignment horizontal="right"/>
    </xf>
    <xf numFmtId="0" fontId="0" fillId="26" borderId="0" xfId="0" applyFill="1" applyAlignment="1">
      <alignment horizontal="left"/>
    </xf>
    <xf numFmtId="4" fontId="0" fillId="0" borderId="0" xfId="0" applyNumberFormat="1" applyAlignment="1">
      <alignment horizontal="left"/>
    </xf>
    <xf numFmtId="9" fontId="76" fillId="0" borderId="33" xfId="0" applyNumberFormat="1" applyFont="1" applyBorder="1" applyAlignment="1">
      <alignment horizontal="left" vertical="top" wrapText="1" indent="1"/>
    </xf>
    <xf numFmtId="10" fontId="75" fillId="0" borderId="34" xfId="0" applyNumberFormat="1" applyFont="1" applyBorder="1" applyAlignment="1">
      <alignment horizontal="left" vertical="top" wrapText="1" indent="1"/>
    </xf>
    <xf numFmtId="10" fontId="75" fillId="0" borderId="35" xfId="0" applyNumberFormat="1" applyFont="1" applyBorder="1" applyAlignment="1">
      <alignment horizontal="left" vertical="top" wrapText="1" indent="1"/>
    </xf>
    <xf numFmtId="0" fontId="75" fillId="0" borderId="0" xfId="0" applyFont="1" applyAlignment="1">
      <alignment vertical="top" wrapText="1"/>
    </xf>
    <xf numFmtId="0" fontId="0" fillId="23" borderId="0" xfId="0" applyFill="1" applyAlignment="1">
      <alignment wrapText="1"/>
    </xf>
    <xf numFmtId="4" fontId="77" fillId="0" borderId="0" xfId="0" applyNumberFormat="1" applyFont="1" applyAlignment="1">
      <alignment horizontal="center" vertical="center"/>
    </xf>
    <xf numFmtId="168" fontId="0" fillId="26" borderId="0" xfId="0" applyNumberFormat="1" applyFill="1" applyAlignment="1">
      <alignment horizontal="left" vertical="center"/>
    </xf>
    <xf numFmtId="4" fontId="0" fillId="26" borderId="0" xfId="0" applyNumberFormat="1" applyFill="1" applyAlignment="1">
      <alignment horizontal="left" vertical="center"/>
    </xf>
    <xf numFmtId="0" fontId="0" fillId="26" borderId="0" xfId="0" applyFill="1" applyAlignment="1">
      <alignment horizontal="left" vertical="center"/>
    </xf>
    <xf numFmtId="1" fontId="0" fillId="0" borderId="0" xfId="0" applyNumberFormat="1"/>
    <xf numFmtId="4" fontId="0" fillId="9" borderId="0" xfId="0" applyNumberFormat="1" applyFill="1" applyAlignment="1">
      <alignment horizontal="left" vertical="center"/>
    </xf>
    <xf numFmtId="10" fontId="0" fillId="0" borderId="0" xfId="0" applyNumberFormat="1" applyAlignment="1">
      <alignment vertical="center" wrapText="1"/>
    </xf>
    <xf numFmtId="168" fontId="19" fillId="0" borderId="0" xfId="0" applyNumberFormat="1" applyFont="1" applyAlignment="1">
      <alignment horizontal="left" vertical="center"/>
    </xf>
    <xf numFmtId="168" fontId="26" fillId="0" borderId="0" xfId="0" applyNumberFormat="1" applyFont="1" applyAlignment="1">
      <alignment horizontal="center" vertical="center"/>
    </xf>
    <xf numFmtId="179" fontId="0" fillId="0" borderId="0" xfId="0" applyNumberFormat="1" applyAlignment="1">
      <alignment horizontal="center" vertical="center"/>
    </xf>
    <xf numFmtId="179" fontId="18" fillId="0" borderId="0" xfId="0" applyNumberFormat="1" applyFont="1" applyAlignment="1">
      <alignment horizontal="center" vertical="center"/>
    </xf>
    <xf numFmtId="0" fontId="27" fillId="15" borderId="0" xfId="0" applyFont="1" applyFill="1" applyAlignment="1">
      <alignment horizontal="center" vertical="center"/>
    </xf>
    <xf numFmtId="0" fontId="0" fillId="2" borderId="0" xfId="0" applyFill="1"/>
    <xf numFmtId="168" fontId="67" fillId="17" borderId="0" xfId="0" applyNumberFormat="1" applyFont="1" applyFill="1" applyAlignment="1">
      <alignment horizontal="center" vertical="center"/>
    </xf>
    <xf numFmtId="0" fontId="84" fillId="27" borderId="0" xfId="0" applyFont="1" applyFill="1" applyAlignment="1">
      <alignment horizontal="center" vertical="center"/>
    </xf>
    <xf numFmtId="0" fontId="84" fillId="27" borderId="0" xfId="0" applyFont="1" applyFill="1" applyAlignment="1">
      <alignment horizontal="center"/>
    </xf>
    <xf numFmtId="0" fontId="26" fillId="0" borderId="0" xfId="0" applyFont="1" applyAlignment="1">
      <alignment vertical="center"/>
    </xf>
    <xf numFmtId="0" fontId="26" fillId="2" borderId="0" xfId="0" applyFont="1" applyFill="1"/>
    <xf numFmtId="0" fontId="27" fillId="15" borderId="0" xfId="0" applyFont="1" applyFill="1" applyAlignment="1">
      <alignment vertical="center"/>
    </xf>
    <xf numFmtId="180" fontId="0" fillId="0" borderId="0" xfId="0" applyNumberFormat="1" applyAlignment="1">
      <alignment horizontal="center"/>
    </xf>
    <xf numFmtId="0" fontId="0" fillId="0" borderId="0" xfId="0" applyAlignment="1">
      <alignment horizontal="center" vertical="center" wrapText="1"/>
    </xf>
    <xf numFmtId="20" fontId="0" fillId="2" borderId="0" xfId="0" applyNumberFormat="1" applyFill="1"/>
    <xf numFmtId="0" fontId="0" fillId="23" borderId="0" xfId="0" applyFill="1" applyAlignment="1">
      <alignment horizontal="center"/>
    </xf>
    <xf numFmtId="8" fontId="0" fillId="0" borderId="0" xfId="0" applyNumberFormat="1"/>
    <xf numFmtId="168" fontId="17" fillId="0" borderId="0" xfId="0" applyNumberFormat="1" applyFont="1" applyAlignment="1">
      <alignment vertical="center"/>
    </xf>
    <xf numFmtId="168" fontId="19" fillId="0" borderId="0" xfId="0" applyNumberFormat="1" applyFont="1" applyAlignment="1">
      <alignment vertical="center"/>
    </xf>
    <xf numFmtId="0" fontId="0" fillId="17" borderId="0" xfId="0" applyFill="1"/>
    <xf numFmtId="0" fontId="0" fillId="23" borderId="0" xfId="0" applyFill="1" applyAlignment="1">
      <alignment horizontal="center" vertical="center"/>
    </xf>
    <xf numFmtId="0" fontId="26" fillId="23" borderId="0" xfId="0" applyFont="1" applyFill="1"/>
    <xf numFmtId="1" fontId="0" fillId="0" borderId="0" xfId="0" applyNumberFormat="1" applyAlignment="1">
      <alignment horizontal="right"/>
    </xf>
    <xf numFmtId="0" fontId="83" fillId="26" borderId="0" xfId="0" applyFont="1" applyFill="1" applyAlignment="1">
      <alignment horizontal="center" vertical="center"/>
    </xf>
    <xf numFmtId="0" fontId="0" fillId="26" borderId="0" xfId="0" applyFill="1" applyAlignment="1">
      <alignment horizontal="center"/>
    </xf>
    <xf numFmtId="0" fontId="0" fillId="26" borderId="0" xfId="0" applyFill="1" applyAlignment="1">
      <alignment horizontal="center" vertical="center"/>
    </xf>
    <xf numFmtId="0" fontId="26" fillId="26" borderId="0" xfId="0" applyFont="1" applyFill="1"/>
    <xf numFmtId="168" fontId="16" fillId="0" borderId="0" xfId="0" applyNumberFormat="1" applyFont="1" applyAlignment="1">
      <alignment vertical="center"/>
    </xf>
    <xf numFmtId="168" fontId="15" fillId="0" borderId="0" xfId="0" applyNumberFormat="1" applyFont="1" applyAlignment="1">
      <alignment horizontal="center" vertical="center"/>
    </xf>
    <xf numFmtId="165" fontId="0" fillId="0" borderId="0" xfId="0" applyNumberFormat="1"/>
    <xf numFmtId="1" fontId="0" fillId="0" borderId="0" xfId="0" applyNumberFormat="1" applyAlignment="1">
      <alignment horizontal="left"/>
    </xf>
    <xf numFmtId="168" fontId="15" fillId="0" borderId="0" xfId="0" applyNumberFormat="1" applyFont="1" applyAlignment="1">
      <alignment horizontal="left" vertical="center"/>
    </xf>
    <xf numFmtId="4" fontId="0" fillId="0" borderId="0" xfId="0" applyNumberFormat="1" applyAlignment="1">
      <alignment horizontal="right"/>
    </xf>
    <xf numFmtId="180" fontId="0" fillId="0" borderId="0" xfId="0" applyNumberFormat="1" applyAlignment="1">
      <alignment horizontal="right"/>
    </xf>
    <xf numFmtId="181" fontId="0" fillId="0" borderId="0" xfId="0" applyNumberFormat="1" applyAlignment="1">
      <alignment horizontal="center"/>
    </xf>
    <xf numFmtId="168" fontId="14" fillId="0" borderId="0" xfId="0" applyNumberFormat="1" applyFont="1" applyAlignment="1">
      <alignment horizontal="left" vertical="center"/>
    </xf>
    <xf numFmtId="0" fontId="0" fillId="8" borderId="0" xfId="0" applyFill="1"/>
    <xf numFmtId="4" fontId="0" fillId="8" borderId="0" xfId="0" applyNumberFormat="1" applyFill="1"/>
    <xf numFmtId="0" fontId="0" fillId="7" borderId="0" xfId="0" applyFill="1"/>
    <xf numFmtId="4" fontId="0" fillId="7" borderId="0" xfId="0" applyNumberFormat="1" applyFill="1"/>
    <xf numFmtId="180" fontId="0" fillId="7" borderId="0" xfId="0" applyNumberFormat="1" applyFill="1"/>
    <xf numFmtId="0" fontId="0" fillId="7" borderId="0" xfId="0" applyFill="1" applyAlignment="1">
      <alignment horizontal="center"/>
    </xf>
    <xf numFmtId="4" fontId="0" fillId="7" borderId="0" xfId="0" applyNumberFormat="1" applyFill="1" applyAlignment="1">
      <alignment horizontal="center"/>
    </xf>
    <xf numFmtId="168" fontId="13" fillId="7" borderId="0" xfId="0" applyNumberFormat="1" applyFont="1" applyFill="1" applyAlignment="1">
      <alignment horizontal="left" vertical="center"/>
    </xf>
    <xf numFmtId="168" fontId="13" fillId="17" borderId="0" xfId="0" applyNumberFormat="1" applyFont="1" applyFill="1" applyAlignment="1">
      <alignment vertical="center"/>
    </xf>
    <xf numFmtId="16" fontId="0" fillId="17" borderId="0" xfId="0" applyNumberFormat="1" applyFill="1"/>
    <xf numFmtId="0" fontId="0" fillId="7" borderId="0" xfId="0" applyFill="1" applyAlignment="1">
      <alignment vertical="center"/>
    </xf>
    <xf numFmtId="0" fontId="0" fillId="26" borderId="0" xfId="0" applyFill="1" applyAlignment="1">
      <alignment vertical="center"/>
    </xf>
    <xf numFmtId="168" fontId="0" fillId="17" borderId="0" xfId="0" applyNumberFormat="1" applyFill="1" applyAlignment="1">
      <alignment vertical="center"/>
    </xf>
    <xf numFmtId="0" fontId="0" fillId="10" borderId="0" xfId="0" applyFill="1"/>
    <xf numFmtId="0" fontId="0" fillId="10" borderId="0" xfId="0" applyFill="1" applyAlignment="1">
      <alignment horizontal="center" vertical="center"/>
    </xf>
    <xf numFmtId="168" fontId="18" fillId="18" borderId="0" xfId="0" applyNumberFormat="1" applyFont="1" applyFill="1" applyAlignment="1">
      <alignment horizontal="center" vertical="center"/>
    </xf>
    <xf numFmtId="14" fontId="0" fillId="9" borderId="0" xfId="0" applyNumberFormat="1" applyFill="1"/>
    <xf numFmtId="4" fontId="0" fillId="10" borderId="0" xfId="0" applyNumberFormat="1" applyFill="1"/>
    <xf numFmtId="166" fontId="0" fillId="26" borderId="0" xfId="0" applyNumberFormat="1" applyFill="1" applyAlignment="1">
      <alignment vertical="center"/>
    </xf>
    <xf numFmtId="168" fontId="13" fillId="0" borderId="0" xfId="0" applyNumberFormat="1" applyFont="1" applyAlignment="1">
      <alignment horizontal="left" vertical="center"/>
    </xf>
    <xf numFmtId="166" fontId="0" fillId="0" borderId="0" xfId="0" applyNumberFormat="1" applyAlignment="1">
      <alignment horizontal="right" vertical="center"/>
    </xf>
    <xf numFmtId="168" fontId="13" fillId="0" borderId="0" xfId="0" applyNumberFormat="1" applyFont="1" applyAlignment="1">
      <alignment horizontal="center" vertical="center"/>
    </xf>
    <xf numFmtId="168" fontId="13" fillId="0" borderId="0" xfId="0" applyNumberFormat="1" applyFont="1" applyAlignment="1">
      <alignment vertical="center"/>
    </xf>
    <xf numFmtId="4" fontId="0" fillId="10" borderId="0" xfId="0" applyNumberFormat="1" applyFill="1" applyAlignment="1">
      <alignment horizontal="center"/>
    </xf>
    <xf numFmtId="0" fontId="41" fillId="26" borderId="0" xfId="0" applyFont="1" applyFill="1"/>
    <xf numFmtId="0" fontId="41" fillId="26" borderId="0" xfId="0" applyFont="1" applyFill="1" applyAlignment="1">
      <alignment horizontal="right"/>
    </xf>
    <xf numFmtId="0" fontId="69" fillId="2" borderId="0" xfId="0" applyFont="1" applyFill="1" applyAlignment="1">
      <alignment horizontal="center" vertical="center"/>
    </xf>
    <xf numFmtId="2" fontId="0" fillId="0" borderId="0" xfId="0" applyNumberFormat="1" applyAlignment="1">
      <alignment horizontal="right"/>
    </xf>
    <xf numFmtId="2" fontId="0" fillId="0" borderId="0" xfId="0" applyNumberFormat="1" applyAlignment="1">
      <alignment horizontal="center"/>
    </xf>
    <xf numFmtId="6" fontId="0" fillId="0" borderId="0" xfId="0" applyNumberFormat="1"/>
    <xf numFmtId="182" fontId="0" fillId="0" borderId="0" xfId="0" applyNumberFormat="1"/>
    <xf numFmtId="4" fontId="60" fillId="0" borderId="0" xfId="0" applyNumberFormat="1" applyFont="1"/>
    <xf numFmtId="168" fontId="73" fillId="0" borderId="0" xfId="0" applyNumberFormat="1" applyFont="1"/>
    <xf numFmtId="0" fontId="85" fillId="29" borderId="42" xfId="23"/>
    <xf numFmtId="168" fontId="19" fillId="10" borderId="0" xfId="0" applyNumberFormat="1" applyFont="1" applyFill="1" applyAlignment="1">
      <alignment horizontal="center" vertical="center"/>
    </xf>
    <xf numFmtId="4" fontId="0" fillId="9" borderId="0" xfId="0" applyNumberFormat="1" applyFill="1"/>
    <xf numFmtId="4" fontId="0" fillId="26" borderId="0" xfId="0" applyNumberFormat="1" applyFill="1"/>
    <xf numFmtId="168" fontId="13" fillId="23" borderId="0" xfId="0" applyNumberFormat="1" applyFont="1" applyFill="1" applyAlignment="1">
      <alignment horizontal="center" vertical="center"/>
    </xf>
    <xf numFmtId="3" fontId="0" fillId="26" borderId="0" xfId="0" applyNumberFormat="1" applyFill="1"/>
    <xf numFmtId="168" fontId="13" fillId="26" borderId="0" xfId="0" applyNumberFormat="1" applyFont="1" applyFill="1" applyAlignment="1">
      <alignment horizontal="center" vertical="center"/>
    </xf>
    <xf numFmtId="3" fontId="0" fillId="23" borderId="0" xfId="0" applyNumberFormat="1" applyFill="1"/>
    <xf numFmtId="168" fontId="19" fillId="23" borderId="0" xfId="0" applyNumberFormat="1" applyFont="1" applyFill="1" applyAlignment="1">
      <alignment horizontal="center" vertical="center"/>
    </xf>
    <xf numFmtId="168" fontId="19" fillId="26" borderId="0" xfId="0" applyNumberFormat="1" applyFont="1" applyFill="1" applyAlignment="1">
      <alignment horizontal="center" vertical="center"/>
    </xf>
    <xf numFmtId="180" fontId="28" fillId="0" borderId="0" xfId="19" applyNumberFormat="1"/>
    <xf numFmtId="168" fontId="13" fillId="9" borderId="0" xfId="0" applyNumberFormat="1" applyFont="1" applyFill="1" applyAlignment="1">
      <alignment horizontal="center" vertical="center"/>
    </xf>
    <xf numFmtId="0" fontId="19" fillId="0" borderId="0" xfId="0" applyFont="1" applyAlignment="1">
      <alignment horizontal="center" vertical="center"/>
    </xf>
    <xf numFmtId="0" fontId="13" fillId="0" borderId="0" xfId="0" applyFont="1" applyAlignment="1">
      <alignment horizontal="left" vertical="center"/>
    </xf>
    <xf numFmtId="180" fontId="0" fillId="26" borderId="0" xfId="0" applyNumberFormat="1" applyFill="1"/>
    <xf numFmtId="14" fontId="0" fillId="26" borderId="0" xfId="0" applyNumberFormat="1" applyFill="1"/>
    <xf numFmtId="0" fontId="41" fillId="0" borderId="0" xfId="0" applyFont="1"/>
    <xf numFmtId="4" fontId="0" fillId="0" borderId="0" xfId="0" applyNumberFormat="1" applyAlignment="1">
      <alignment vertical="center"/>
    </xf>
    <xf numFmtId="20" fontId="0" fillId="0" borderId="0" xfId="0" applyNumberFormat="1"/>
    <xf numFmtId="20" fontId="0" fillId="0" borderId="0" xfId="0" applyNumberFormat="1" applyAlignment="1">
      <alignment horizontal="center"/>
    </xf>
    <xf numFmtId="0" fontId="28" fillId="0" borderId="0" xfId="19" applyAlignment="1">
      <alignment horizontal="fill"/>
    </xf>
    <xf numFmtId="0" fontId="0" fillId="6" borderId="0" xfId="0" applyFill="1"/>
    <xf numFmtId="0" fontId="0" fillId="6" borderId="0" xfId="0" applyFill="1" applyAlignment="1">
      <alignment horizontal="center" vertical="center"/>
    </xf>
    <xf numFmtId="0" fontId="26" fillId="6" borderId="0" xfId="0" applyFont="1" applyFill="1"/>
    <xf numFmtId="0" fontId="26" fillId="23" borderId="0" xfId="0" applyFont="1" applyFill="1" applyAlignment="1">
      <alignment horizontal="center" vertical="center"/>
    </xf>
    <xf numFmtId="168" fontId="12" fillId="0" borderId="0" xfId="0" applyNumberFormat="1" applyFont="1" applyAlignment="1">
      <alignment horizontal="center" vertical="center"/>
    </xf>
    <xf numFmtId="0" fontId="0" fillId="30" borderId="0" xfId="0" applyFill="1"/>
    <xf numFmtId="0" fontId="0" fillId="30" borderId="0" xfId="0" applyFill="1" applyAlignment="1">
      <alignment horizontal="center" vertical="center"/>
    </xf>
    <xf numFmtId="0" fontId="26" fillId="30" borderId="0" xfId="0" applyFont="1" applyFill="1"/>
    <xf numFmtId="168" fontId="0" fillId="30" borderId="0" xfId="0" applyNumberFormat="1" applyFill="1"/>
    <xf numFmtId="168" fontId="12" fillId="3" borderId="7" xfId="0" applyNumberFormat="1" applyFont="1" applyFill="1" applyBorder="1" applyAlignment="1">
      <alignment horizontal="center" vertical="center"/>
    </xf>
    <xf numFmtId="168" fontId="12" fillId="15" borderId="0" xfId="0" applyNumberFormat="1" applyFont="1" applyFill="1" applyAlignment="1">
      <alignment horizontal="center" vertical="center"/>
    </xf>
    <xf numFmtId="168" fontId="12" fillId="2" borderId="0" xfId="0" applyNumberFormat="1" applyFont="1" applyFill="1" applyAlignment="1">
      <alignment horizontal="center" vertical="center"/>
    </xf>
    <xf numFmtId="8" fontId="86" fillId="0" borderId="0" xfId="0" applyNumberFormat="1" applyFont="1"/>
    <xf numFmtId="168" fontId="12" fillId="0" borderId="0" xfId="0" applyNumberFormat="1" applyFont="1" applyAlignment="1">
      <alignment horizontal="left" vertical="center"/>
    </xf>
    <xf numFmtId="168" fontId="12" fillId="0" borderId="0" xfId="0" applyNumberFormat="1" applyFont="1" applyAlignment="1">
      <alignment vertical="center"/>
    </xf>
    <xf numFmtId="168" fontId="11" fillId="0" borderId="0" xfId="0" applyNumberFormat="1" applyFont="1" applyAlignment="1">
      <alignment horizontal="center" vertical="center"/>
    </xf>
    <xf numFmtId="0" fontId="85" fillId="29" borderId="43" xfId="23" applyBorder="1"/>
    <xf numFmtId="180" fontId="0" fillId="9" borderId="0" xfId="0" applyNumberFormat="1" applyFill="1"/>
    <xf numFmtId="0" fontId="83" fillId="9" borderId="0" xfId="0" applyFont="1" applyFill="1" applyAlignment="1">
      <alignment horizontal="center" vertical="center"/>
    </xf>
    <xf numFmtId="3" fontId="0" fillId="9" borderId="0" xfId="0" applyNumberFormat="1" applyFill="1"/>
    <xf numFmtId="183" fontId="0" fillId="0" borderId="0" xfId="0" applyNumberFormat="1"/>
    <xf numFmtId="10" fontId="11" fillId="0" borderId="0" xfId="0" applyNumberFormat="1" applyFont="1" applyAlignment="1">
      <alignment horizontal="center" vertical="center"/>
    </xf>
    <xf numFmtId="1" fontId="0" fillId="0" borderId="0" xfId="0" applyNumberFormat="1" applyAlignment="1">
      <alignment horizontal="center"/>
    </xf>
    <xf numFmtId="176" fontId="60" fillId="0" borderId="0" xfId="0" applyNumberFormat="1" applyFont="1"/>
    <xf numFmtId="178" fontId="0" fillId="0" borderId="0" xfId="0" applyNumberFormat="1" applyAlignment="1">
      <alignment horizontal="center" vertical="center"/>
    </xf>
    <xf numFmtId="0" fontId="0" fillId="31" borderId="0" xfId="0" applyFill="1"/>
    <xf numFmtId="168" fontId="10" fillId="0" borderId="0" xfId="0" applyNumberFormat="1" applyFont="1" applyAlignment="1">
      <alignment horizontal="center" vertical="center"/>
    </xf>
    <xf numFmtId="10" fontId="10" fillId="0" borderId="0" xfId="0" applyNumberFormat="1" applyFont="1" applyAlignment="1">
      <alignment horizontal="center" vertical="center"/>
    </xf>
    <xf numFmtId="168" fontId="10" fillId="0" borderId="0" xfId="0" applyNumberFormat="1" applyFont="1" applyAlignment="1">
      <alignment horizontal="left" vertical="center"/>
    </xf>
    <xf numFmtId="0" fontId="28" fillId="20" borderId="0" xfId="19" applyFill="1"/>
    <xf numFmtId="14" fontId="0" fillId="20" borderId="0" xfId="0" applyNumberFormat="1" applyFill="1"/>
    <xf numFmtId="0" fontId="26" fillId="0" borderId="0" xfId="0" applyFont="1" applyAlignment="1">
      <alignment horizontal="center" vertical="center" wrapText="1"/>
    </xf>
    <xf numFmtId="6" fontId="26" fillId="0" borderId="0" xfId="0" applyNumberFormat="1" applyFont="1" applyAlignment="1">
      <alignment vertical="center" wrapText="1"/>
    </xf>
    <xf numFmtId="0" fontId="0" fillId="0" borderId="44" xfId="0" applyBorder="1"/>
    <xf numFmtId="184" fontId="88" fillId="32" borderId="45" xfId="26" applyNumberFormat="1" applyBorder="1" applyProtection="1">
      <protection locked="0"/>
    </xf>
    <xf numFmtId="0" fontId="0" fillId="0" borderId="0" xfId="0" quotePrefix="1"/>
    <xf numFmtId="0" fontId="0" fillId="0" borderId="46" xfId="0" applyBorder="1"/>
    <xf numFmtId="0" fontId="0" fillId="0" borderId="47" xfId="0" applyBorder="1" applyAlignment="1">
      <alignment horizontal="center"/>
    </xf>
    <xf numFmtId="0" fontId="0" fillId="0" borderId="47" xfId="0" applyBorder="1" applyAlignment="1">
      <alignment horizontal="center" wrapText="1"/>
    </xf>
    <xf numFmtId="0" fontId="0" fillId="0" borderId="48" xfId="0" applyBorder="1" applyAlignment="1">
      <alignment horizontal="center" wrapText="1"/>
    </xf>
    <xf numFmtId="0" fontId="0" fillId="0" borderId="49" xfId="0" applyBorder="1"/>
    <xf numFmtId="185" fontId="0" fillId="0" borderId="45" xfId="24" applyNumberFormat="1" applyFont="1" applyBorder="1"/>
    <xf numFmtId="0" fontId="88" fillId="32" borderId="45" xfId="26" applyNumberFormat="1" applyBorder="1" applyAlignment="1" applyProtection="1">
      <alignment horizontal="center"/>
      <protection locked="0"/>
    </xf>
    <xf numFmtId="10" fontId="0" fillId="0" borderId="45" xfId="25" applyNumberFormat="1" applyFont="1" applyBorder="1"/>
    <xf numFmtId="185" fontId="0" fillId="8" borderId="50" xfId="0" applyNumberFormat="1" applyFill="1" applyBorder="1"/>
    <xf numFmtId="0" fontId="0" fillId="0" borderId="51" xfId="0" applyBorder="1"/>
    <xf numFmtId="185" fontId="0" fillId="0" borderId="52" xfId="24" applyNumberFormat="1" applyFont="1" applyBorder="1"/>
    <xf numFmtId="0" fontId="88" fillId="32" borderId="52" xfId="26" applyNumberFormat="1" applyBorder="1" applyAlignment="1" applyProtection="1">
      <alignment horizontal="center"/>
      <protection locked="0"/>
    </xf>
    <xf numFmtId="10" fontId="0" fillId="0" borderId="52" xfId="25" applyNumberFormat="1" applyFont="1" applyBorder="1"/>
    <xf numFmtId="185" fontId="0" fillId="8" borderId="53" xfId="0" applyNumberFormat="1" applyFill="1" applyBorder="1"/>
    <xf numFmtId="184" fontId="0" fillId="0" borderId="0" xfId="0" applyNumberFormat="1"/>
    <xf numFmtId="185" fontId="26" fillId="8" borderId="27" xfId="0" applyNumberFormat="1" applyFont="1" applyFill="1" applyBorder="1"/>
    <xf numFmtId="0" fontId="54" fillId="33" borderId="54" xfId="0" applyFont="1" applyFill="1" applyBorder="1"/>
    <xf numFmtId="0" fontId="89" fillId="33" borderId="55" xfId="0" applyFont="1" applyFill="1" applyBorder="1" applyAlignment="1">
      <alignment horizontal="center"/>
    </xf>
    <xf numFmtId="0" fontId="89" fillId="33" borderId="56" xfId="0" applyFont="1" applyFill="1" applyBorder="1" applyAlignment="1">
      <alignment horizontal="center"/>
    </xf>
    <xf numFmtId="0" fontId="10" fillId="34" borderId="57" xfId="0" applyFont="1" applyFill="1" applyBorder="1"/>
    <xf numFmtId="185" fontId="10" fillId="34" borderId="58" xfId="24" applyNumberFormat="1" applyFont="1" applyFill="1" applyBorder="1"/>
    <xf numFmtId="0" fontId="10" fillId="35" borderId="59" xfId="0" applyFont="1" applyFill="1" applyBorder="1"/>
    <xf numFmtId="10" fontId="10" fillId="35" borderId="60" xfId="25" applyNumberFormat="1" applyFont="1" applyFill="1" applyBorder="1"/>
    <xf numFmtId="10" fontId="10" fillId="35" borderId="61" xfId="25" applyNumberFormat="1" applyFont="1" applyFill="1" applyBorder="1"/>
    <xf numFmtId="186" fontId="0" fillId="0" borderId="0" xfId="25" applyNumberFormat="1" applyFont="1"/>
    <xf numFmtId="0" fontId="26" fillId="0" borderId="63" xfId="0" applyFont="1" applyBorder="1"/>
    <xf numFmtId="0" fontId="0" fillId="0" borderId="64" xfId="0" applyBorder="1"/>
    <xf numFmtId="0" fontId="0" fillId="0" borderId="65" xfId="0" applyBorder="1"/>
    <xf numFmtId="0" fontId="0" fillId="0" borderId="57" xfId="0" applyBorder="1"/>
    <xf numFmtId="0" fontId="0" fillId="0" borderId="66" xfId="0" applyBorder="1"/>
    <xf numFmtId="0" fontId="0" fillId="0" borderId="59" xfId="0" applyBorder="1"/>
    <xf numFmtId="0" fontId="0" fillId="0" borderId="67" xfId="0" applyBorder="1"/>
    <xf numFmtId="0" fontId="0" fillId="0" borderId="68" xfId="0" applyBorder="1"/>
    <xf numFmtId="0" fontId="0" fillId="0" borderId="0" xfId="0" applyAlignment="1">
      <alignment horizontal="center" wrapText="1"/>
    </xf>
    <xf numFmtId="185" fontId="0" fillId="0" borderId="0" xfId="0" applyNumberFormat="1"/>
    <xf numFmtId="0" fontId="0" fillId="24" borderId="63" xfId="0" applyFill="1" applyBorder="1"/>
    <xf numFmtId="185" fontId="0" fillId="24" borderId="65" xfId="0" applyNumberFormat="1" applyFill="1" applyBorder="1"/>
    <xf numFmtId="0" fontId="0" fillId="24" borderId="57" xfId="0" applyFill="1" applyBorder="1"/>
    <xf numFmtId="185" fontId="0" fillId="24" borderId="66" xfId="0" applyNumberFormat="1" applyFill="1" applyBorder="1"/>
    <xf numFmtId="0" fontId="0" fillId="24" borderId="59" xfId="0" applyFill="1" applyBorder="1"/>
    <xf numFmtId="10" fontId="0" fillId="24" borderId="68" xfId="25" applyNumberFormat="1" applyFont="1" applyFill="1" applyBorder="1"/>
    <xf numFmtId="10" fontId="0" fillId="0" borderId="0" xfId="25" applyNumberFormat="1" applyFont="1"/>
    <xf numFmtId="0" fontId="90" fillId="0" borderId="45" xfId="0" applyFont="1" applyBorder="1" applyAlignment="1">
      <alignment vertical="center"/>
    </xf>
    <xf numFmtId="0" fontId="0" fillId="0" borderId="69" xfId="0" applyBorder="1"/>
    <xf numFmtId="0" fontId="0" fillId="0" borderId="62" xfId="0" applyBorder="1"/>
    <xf numFmtId="43" fontId="0" fillId="0" borderId="0" xfId="0" applyNumberFormat="1"/>
    <xf numFmtId="168" fontId="10" fillId="17" borderId="0" xfId="0" applyNumberFormat="1" applyFont="1" applyFill="1" applyAlignment="1">
      <alignment horizontal="center" vertical="center"/>
    </xf>
    <xf numFmtId="168" fontId="10" fillId="9" borderId="0" xfId="0" applyNumberFormat="1" applyFont="1" applyFill="1" applyAlignment="1">
      <alignment horizontal="center" vertical="center"/>
    </xf>
    <xf numFmtId="178" fontId="0" fillId="9" borderId="0" xfId="0" applyNumberFormat="1" applyFill="1"/>
    <xf numFmtId="0" fontId="83" fillId="0" borderId="0" xfId="0" applyFont="1" applyAlignment="1">
      <alignment horizontal="center" vertical="center"/>
    </xf>
    <xf numFmtId="168" fontId="10" fillId="26" borderId="0" xfId="0" applyNumberFormat="1" applyFont="1" applyFill="1" applyAlignment="1">
      <alignment horizontal="center" vertical="center"/>
    </xf>
    <xf numFmtId="180" fontId="0" fillId="17" borderId="0" xfId="0" applyNumberFormat="1" applyFill="1"/>
    <xf numFmtId="168" fontId="0" fillId="9" borderId="0" xfId="0" applyNumberFormat="1" applyFill="1" applyAlignment="1">
      <alignment horizontal="center" vertical="center"/>
    </xf>
    <xf numFmtId="168" fontId="11" fillId="0" borderId="0" xfId="0" applyNumberFormat="1" applyFont="1" applyAlignment="1">
      <alignment vertical="center"/>
    </xf>
    <xf numFmtId="168" fontId="10" fillId="0" borderId="0" xfId="0" applyNumberFormat="1" applyFont="1" applyAlignment="1">
      <alignment vertical="center"/>
    </xf>
    <xf numFmtId="177" fontId="0" fillId="0" borderId="0" xfId="0" applyNumberFormat="1" applyAlignment="1">
      <alignment horizontal="center" vertical="center"/>
    </xf>
    <xf numFmtId="0" fontId="10" fillId="0" borderId="0" xfId="0" applyFont="1" applyAlignment="1">
      <alignment horizontal="center" vertical="center"/>
    </xf>
    <xf numFmtId="168" fontId="9" fillId="0" borderId="0" xfId="0" applyNumberFormat="1" applyFont="1" applyAlignment="1">
      <alignment horizontal="center" vertical="center"/>
    </xf>
    <xf numFmtId="168" fontId="8" fillId="0" borderId="0" xfId="0" applyNumberFormat="1" applyFont="1" applyAlignment="1">
      <alignment horizontal="center" vertical="center"/>
    </xf>
    <xf numFmtId="168" fontId="7" fillId="0" borderId="0" xfId="0" applyNumberFormat="1" applyFont="1" applyAlignment="1">
      <alignment horizontal="center" vertical="center"/>
    </xf>
    <xf numFmtId="168" fontId="7" fillId="0" borderId="0" xfId="0" applyNumberFormat="1" applyFont="1" applyAlignment="1">
      <alignment vertical="center"/>
    </xf>
    <xf numFmtId="165" fontId="0" fillId="9" borderId="0" xfId="0" applyNumberFormat="1" applyFill="1" applyAlignment="1">
      <alignment horizontal="center"/>
    </xf>
    <xf numFmtId="168" fontId="12" fillId="9" borderId="0" xfId="0" applyNumberFormat="1" applyFont="1" applyFill="1" applyAlignment="1">
      <alignment horizontal="center" vertical="center"/>
    </xf>
    <xf numFmtId="4" fontId="0" fillId="9" borderId="0" xfId="0" applyNumberFormat="1" applyFill="1" applyAlignment="1">
      <alignment horizontal="center"/>
    </xf>
    <xf numFmtId="168" fontId="6" fillId="0" borderId="0" xfId="0" applyNumberFormat="1" applyFont="1" applyAlignment="1">
      <alignment horizontal="center" vertical="center"/>
    </xf>
    <xf numFmtId="0" fontId="91" fillId="0" borderId="0" xfId="0" applyFont="1"/>
    <xf numFmtId="164" fontId="0" fillId="0" borderId="0" xfId="0" applyNumberFormat="1"/>
    <xf numFmtId="168" fontId="4" fillId="0" borderId="0" xfId="0" applyNumberFormat="1" applyFont="1" applyAlignment="1">
      <alignment horizontal="left" vertical="center"/>
    </xf>
    <xf numFmtId="3" fontId="0" fillId="0" borderId="0" xfId="0" applyNumberFormat="1" applyAlignment="1">
      <alignment horizontal="left"/>
    </xf>
    <xf numFmtId="168" fontId="5" fillId="0" borderId="0" xfId="0" applyNumberFormat="1" applyFont="1" applyAlignment="1">
      <alignment horizontal="center" vertical="center"/>
    </xf>
    <xf numFmtId="168" fontId="4" fillId="0" borderId="0" xfId="0" applyNumberFormat="1" applyFont="1" applyAlignment="1">
      <alignment horizontal="center" vertical="center"/>
    </xf>
    <xf numFmtId="168" fontId="4" fillId="26" borderId="0" xfId="0" applyNumberFormat="1" applyFont="1" applyFill="1" applyAlignment="1">
      <alignment horizontal="left" vertical="center"/>
    </xf>
    <xf numFmtId="164" fontId="0" fillId="26" borderId="0" xfId="0" applyNumberFormat="1" applyFill="1"/>
    <xf numFmtId="4" fontId="26" fillId="26" borderId="0" xfId="0" applyNumberFormat="1" applyFont="1" applyFill="1"/>
    <xf numFmtId="168" fontId="4" fillId="26" borderId="0" xfId="0" applyNumberFormat="1" applyFont="1" applyFill="1" applyAlignment="1">
      <alignment horizontal="center" vertical="center"/>
    </xf>
    <xf numFmtId="0" fontId="30" fillId="9" borderId="0" xfId="0" applyFont="1" applyFill="1"/>
    <xf numFmtId="14" fontId="0" fillId="10" borderId="0" xfId="0" applyNumberFormat="1" applyFill="1"/>
    <xf numFmtId="168" fontId="12" fillId="17" borderId="0" xfId="0" applyNumberFormat="1" applyFont="1" applyFill="1" applyAlignment="1">
      <alignment horizontal="center" vertical="center"/>
    </xf>
    <xf numFmtId="168" fontId="5" fillId="17" borderId="0" xfId="0" applyNumberFormat="1" applyFont="1" applyFill="1" applyAlignment="1">
      <alignment horizontal="center" vertical="center"/>
    </xf>
    <xf numFmtId="1" fontId="0" fillId="0" borderId="0" xfId="0" applyNumberFormat="1" applyAlignment="1">
      <alignment horizontal="left" vertical="center"/>
    </xf>
    <xf numFmtId="3" fontId="0" fillId="26" borderId="0" xfId="0" applyNumberFormat="1" applyFill="1" applyAlignment="1">
      <alignment horizontal="center" vertical="center"/>
    </xf>
    <xf numFmtId="180" fontId="0" fillId="26" borderId="0" xfId="0" applyNumberFormat="1" applyFill="1" applyAlignment="1">
      <alignment horizontal="center" vertical="center"/>
    </xf>
    <xf numFmtId="166" fontId="41" fillId="26" borderId="0" xfId="0" applyNumberFormat="1" applyFont="1" applyFill="1" applyAlignment="1">
      <alignment vertical="center"/>
    </xf>
    <xf numFmtId="14" fontId="41" fillId="0" borderId="0" xfId="0" applyNumberFormat="1" applyFont="1"/>
    <xf numFmtId="0" fontId="41" fillId="0" borderId="0" xfId="0" applyFont="1" applyAlignment="1">
      <alignment horizontal="center" vertical="center"/>
    </xf>
    <xf numFmtId="0" fontId="4" fillId="26" borderId="0" xfId="0" applyFont="1" applyFill="1" applyAlignment="1">
      <alignment horizontal="center" vertical="center"/>
    </xf>
    <xf numFmtId="0" fontId="0" fillId="36" borderId="0" xfId="0" applyFill="1"/>
    <xf numFmtId="0" fontId="26" fillId="37" borderId="0" xfId="0" applyFont="1" applyFill="1"/>
    <xf numFmtId="168" fontId="12" fillId="23" borderId="0" xfId="0" applyNumberFormat="1" applyFont="1" applyFill="1" applyAlignment="1">
      <alignment horizontal="center" vertical="center"/>
    </xf>
    <xf numFmtId="164" fontId="0" fillId="4" borderId="0" xfId="0" applyNumberFormat="1" applyFill="1"/>
    <xf numFmtId="3" fontId="0" fillId="4" borderId="0" xfId="0" applyNumberFormat="1" applyFill="1"/>
    <xf numFmtId="168" fontId="12" fillId="4" borderId="0" xfId="0" applyNumberFormat="1" applyFont="1" applyFill="1" applyAlignment="1">
      <alignment horizontal="center" vertical="center"/>
    </xf>
    <xf numFmtId="0" fontId="0" fillId="10" borderId="0" xfId="0" applyFill="1" applyAlignment="1">
      <alignment horizontal="left"/>
    </xf>
    <xf numFmtId="14" fontId="0" fillId="0" borderId="0" xfId="0" applyNumberFormat="1" applyAlignment="1">
      <alignment horizontal="left"/>
    </xf>
    <xf numFmtId="0" fontId="0" fillId="20" borderId="0" xfId="0" applyFill="1" applyAlignment="1">
      <alignment horizontal="left"/>
    </xf>
    <xf numFmtId="168" fontId="12" fillId="26" borderId="0" xfId="0" applyNumberFormat="1" applyFont="1" applyFill="1" applyAlignment="1">
      <alignment horizontal="center" vertical="center"/>
    </xf>
    <xf numFmtId="168" fontId="12" fillId="10" borderId="0" xfId="0" applyNumberFormat="1" applyFont="1" applyFill="1" applyAlignment="1">
      <alignment horizontal="center" vertical="center"/>
    </xf>
    <xf numFmtId="4" fontId="0" fillId="26" borderId="0" xfId="0" applyNumberFormat="1" applyFill="1" applyAlignment="1">
      <alignment horizontal="center"/>
    </xf>
    <xf numFmtId="178" fontId="0" fillId="10" borderId="0" xfId="0" applyNumberFormat="1" applyFill="1"/>
    <xf numFmtId="0" fontId="0" fillId="17" borderId="0" xfId="0" applyFill="1" applyAlignment="1">
      <alignment horizontal="center" vertical="center"/>
    </xf>
    <xf numFmtId="0" fontId="26" fillId="17" borderId="0" xfId="0" applyFont="1" applyFill="1"/>
    <xf numFmtId="4" fontId="0" fillId="0" borderId="0" xfId="0" quotePrefix="1" applyNumberFormat="1"/>
    <xf numFmtId="16" fontId="0" fillId="26" borderId="0" xfId="0" applyNumberFormat="1" applyFill="1"/>
    <xf numFmtId="168" fontId="4" fillId="0" borderId="0" xfId="0" applyNumberFormat="1" applyFont="1" applyAlignment="1">
      <alignment vertical="center"/>
    </xf>
    <xf numFmtId="168" fontId="3" fillId="0" borderId="0" xfId="0" applyNumberFormat="1" applyFont="1" applyAlignment="1">
      <alignment horizontal="center" vertical="center"/>
    </xf>
    <xf numFmtId="168" fontId="2" fillId="0" borderId="0" xfId="0" applyNumberFormat="1" applyFont="1" applyAlignment="1">
      <alignment horizontal="center" vertical="center"/>
    </xf>
    <xf numFmtId="176" fontId="0" fillId="0" borderId="0" xfId="0" applyNumberFormat="1" applyAlignment="1">
      <alignment horizontal="center" vertical="center"/>
    </xf>
    <xf numFmtId="0" fontId="0" fillId="9" borderId="0" xfId="0" applyFill="1" applyAlignment="1">
      <alignment vertical="center"/>
    </xf>
    <xf numFmtId="6" fontId="0" fillId="0" borderId="0" xfId="0" applyNumberFormat="1" applyAlignment="1">
      <alignment horizontal="left"/>
    </xf>
    <xf numFmtId="0" fontId="0" fillId="23" borderId="0" xfId="0" applyFill="1" applyAlignment="1">
      <alignment vertical="center"/>
    </xf>
    <xf numFmtId="0" fontId="0" fillId="10" borderId="0" xfId="0" applyFill="1" applyAlignment="1">
      <alignment horizontal="center"/>
    </xf>
    <xf numFmtId="168" fontId="4" fillId="0" borderId="0" xfId="0" applyNumberFormat="1" applyFont="1" applyAlignment="1">
      <alignment horizontal="right" vertical="center"/>
    </xf>
    <xf numFmtId="0" fontId="41" fillId="10" borderId="0" xfId="0" applyFont="1" applyFill="1" applyAlignment="1">
      <alignment horizontal="right" vertical="center"/>
    </xf>
    <xf numFmtId="0" fontId="0" fillId="26" borderId="0" xfId="0" applyFill="1" applyAlignment="1">
      <alignment horizontal="right" vertical="center"/>
    </xf>
    <xf numFmtId="168" fontId="2" fillId="0" borderId="0" xfId="0" applyNumberFormat="1" applyFont="1" applyAlignment="1">
      <alignment vertical="center"/>
    </xf>
    <xf numFmtId="168" fontId="3" fillId="26" borderId="0" xfId="0" applyNumberFormat="1" applyFont="1" applyFill="1" applyAlignment="1">
      <alignment horizontal="center" vertical="center"/>
    </xf>
    <xf numFmtId="4" fontId="0" fillId="20" borderId="66" xfId="0" applyNumberFormat="1" applyFill="1" applyBorder="1"/>
    <xf numFmtId="168" fontId="0" fillId="20" borderId="66" xfId="0" applyNumberFormat="1" applyFill="1" applyBorder="1"/>
    <xf numFmtId="0" fontId="0" fillId="20" borderId="66" xfId="0" applyFill="1" applyBorder="1"/>
    <xf numFmtId="0" fontId="0" fillId="0" borderId="64" xfId="0" applyBorder="1" applyAlignment="1">
      <alignment horizontal="center"/>
    </xf>
    <xf numFmtId="0" fontId="0" fillId="20" borderId="64" xfId="0" applyFill="1" applyBorder="1" applyAlignment="1">
      <alignment horizontal="center"/>
    </xf>
    <xf numFmtId="0" fontId="0" fillId="20" borderId="65" xfId="0" applyFill="1" applyBorder="1" applyAlignment="1">
      <alignment horizontal="center"/>
    </xf>
    <xf numFmtId="168" fontId="12" fillId="3" borderId="1" xfId="0" applyNumberFormat="1" applyFont="1" applyFill="1" applyBorder="1" applyAlignment="1">
      <alignment horizontal="center" vertical="center"/>
    </xf>
    <xf numFmtId="0" fontId="0" fillId="0" borderId="63" xfId="0" applyBorder="1" applyAlignment="1">
      <alignment horizontal="center"/>
    </xf>
    <xf numFmtId="4" fontId="0" fillId="0" borderId="57" xfId="0" applyNumberFormat="1" applyBorder="1"/>
    <xf numFmtId="168" fontId="0" fillId="0" borderId="57" xfId="0" applyNumberFormat="1" applyBorder="1" applyAlignment="1">
      <alignment horizontal="center" vertical="center"/>
    </xf>
    <xf numFmtId="168" fontId="0" fillId="0" borderId="57" xfId="0" applyNumberFormat="1" applyBorder="1"/>
    <xf numFmtId="176" fontId="0" fillId="0" borderId="59" xfId="0" applyNumberFormat="1" applyBorder="1"/>
    <xf numFmtId="0" fontId="0" fillId="0" borderId="67" xfId="0" applyBorder="1" applyAlignment="1">
      <alignment horizontal="center" vertical="center"/>
    </xf>
    <xf numFmtId="0" fontId="0" fillId="0" borderId="68" xfId="0" applyBorder="1" applyAlignment="1">
      <alignment horizontal="center" vertical="center"/>
    </xf>
    <xf numFmtId="0" fontId="60" fillId="20" borderId="66" xfId="0" applyFont="1" applyFill="1" applyBorder="1"/>
    <xf numFmtId="176" fontId="26" fillId="0" borderId="0" xfId="0" applyNumberFormat="1" applyFont="1" applyAlignment="1">
      <alignment horizontal="center" vertical="center"/>
    </xf>
    <xf numFmtId="167" fontId="26" fillId="0" borderId="0" xfId="0" applyNumberFormat="1" applyFont="1"/>
    <xf numFmtId="0" fontId="2" fillId="34" borderId="57" xfId="0" applyFont="1" applyFill="1" applyBorder="1"/>
    <xf numFmtId="185" fontId="2" fillId="34" borderId="58" xfId="24" applyNumberFormat="1" applyFont="1" applyFill="1" applyBorder="1"/>
    <xf numFmtId="185" fontId="2" fillId="34" borderId="70" xfId="24" applyNumberFormat="1" applyFont="1" applyFill="1" applyBorder="1"/>
    <xf numFmtId="0" fontId="2" fillId="35" borderId="59" xfId="0" applyFont="1" applyFill="1" applyBorder="1" applyAlignment="1">
      <alignment wrapText="1"/>
    </xf>
    <xf numFmtId="10" fontId="2" fillId="35" borderId="60" xfId="25" applyNumberFormat="1" applyFont="1" applyFill="1" applyBorder="1"/>
    <xf numFmtId="10" fontId="2" fillId="35" borderId="61" xfId="25" applyNumberFormat="1" applyFont="1" applyFill="1" applyBorder="1"/>
    <xf numFmtId="0" fontId="2" fillId="35" borderId="59" xfId="0" applyFont="1" applyFill="1" applyBorder="1"/>
    <xf numFmtId="0" fontId="2" fillId="0" borderId="0" xfId="0" applyFont="1"/>
    <xf numFmtId="10" fontId="2" fillId="0" borderId="0" xfId="25" applyNumberFormat="1" applyFont="1" applyFill="1" applyBorder="1"/>
    <xf numFmtId="0" fontId="2" fillId="24" borderId="0" xfId="0" applyFont="1" applyFill="1"/>
    <xf numFmtId="186" fontId="2" fillId="24" borderId="0" xfId="25" applyNumberFormat="1" applyFont="1" applyFill="1" applyBorder="1"/>
    <xf numFmtId="0" fontId="92" fillId="0" borderId="0" xfId="0" applyFont="1"/>
    <xf numFmtId="186" fontId="2" fillId="0" borderId="0" xfId="25" applyNumberFormat="1" applyFont="1" applyFill="1" applyBorder="1"/>
    <xf numFmtId="0" fontId="2" fillId="0" borderId="0" xfId="25" applyNumberFormat="1" applyFont="1" applyFill="1" applyBorder="1"/>
    <xf numFmtId="168" fontId="67" fillId="14" borderId="0" xfId="0" applyNumberFormat="1" applyFont="1" applyFill="1" applyAlignment="1">
      <alignment vertical="center"/>
    </xf>
    <xf numFmtId="168" fontId="27" fillId="14" borderId="0" xfId="0" applyNumberFormat="1" applyFont="1" applyFill="1" applyAlignment="1">
      <alignment horizontal="center" vertical="center"/>
    </xf>
    <xf numFmtId="4" fontId="27" fillId="14" borderId="0" xfId="0" applyNumberFormat="1" applyFont="1" applyFill="1" applyAlignment="1">
      <alignment horizontal="center"/>
    </xf>
    <xf numFmtId="168" fontId="27" fillId="14" borderId="0" xfId="0" applyNumberFormat="1" applyFont="1" applyFill="1"/>
    <xf numFmtId="175" fontId="0" fillId="0" borderId="0" xfId="0" applyNumberFormat="1"/>
    <xf numFmtId="6" fontId="0" fillId="0" borderId="0" xfId="0" applyNumberFormat="1" applyAlignment="1">
      <alignment vertical="center" wrapText="1"/>
    </xf>
    <xf numFmtId="2" fontId="0" fillId="0" borderId="0" xfId="0" applyNumberFormat="1" applyAlignment="1">
      <alignment vertical="center"/>
    </xf>
    <xf numFmtId="168" fontId="1" fillId="0" borderId="0" xfId="0" applyNumberFormat="1" applyFont="1" applyAlignment="1">
      <alignment horizontal="center" vertical="center"/>
    </xf>
    <xf numFmtId="14" fontId="4" fillId="23" borderId="0" xfId="0" applyNumberFormat="1" applyFont="1" applyFill="1" applyAlignment="1">
      <alignment horizontal="center" vertical="center"/>
    </xf>
    <xf numFmtId="0" fontId="26" fillId="38" borderId="57" xfId="0" applyFont="1" applyFill="1" applyBorder="1"/>
    <xf numFmtId="168" fontId="2" fillId="26" borderId="0" xfId="0" applyNumberFormat="1" applyFont="1" applyFill="1" applyAlignment="1">
      <alignment vertical="center"/>
    </xf>
    <xf numFmtId="168" fontId="2" fillId="9" borderId="0" xfId="0" applyNumberFormat="1" applyFont="1" applyFill="1" applyAlignment="1">
      <alignment vertical="center"/>
    </xf>
    <xf numFmtId="4" fontId="0" fillId="23" borderId="0" xfId="0" applyNumberFormat="1" applyFill="1"/>
    <xf numFmtId="4" fontId="0" fillId="17" borderId="0" xfId="0" applyNumberFormat="1" applyFill="1"/>
    <xf numFmtId="168" fontId="2" fillId="17" borderId="0" xfId="0" applyNumberFormat="1" applyFont="1" applyFill="1" applyAlignment="1">
      <alignment vertical="center"/>
    </xf>
    <xf numFmtId="0" fontId="93" fillId="0" borderId="0" xfId="0" applyFont="1"/>
    <xf numFmtId="187" fontId="0" fillId="0" borderId="0" xfId="0" applyNumberFormat="1"/>
    <xf numFmtId="0" fontId="94" fillId="0" borderId="0" xfId="0" applyFont="1"/>
    <xf numFmtId="188" fontId="0" fillId="0" borderId="0" xfId="0" applyNumberFormat="1"/>
    <xf numFmtId="189" fontId="0" fillId="0" borderId="0" xfId="0" applyNumberFormat="1"/>
    <xf numFmtId="0" fontId="2" fillId="9" borderId="0" xfId="0" applyFont="1" applyFill="1" applyAlignment="1">
      <alignment vertical="center"/>
    </xf>
    <xf numFmtId="2" fontId="0" fillId="26" borderId="0" xfId="0" applyNumberFormat="1" applyFill="1"/>
    <xf numFmtId="0" fontId="95" fillId="0" borderId="0" xfId="0" applyFont="1"/>
    <xf numFmtId="4" fontId="0" fillId="0" borderId="0" xfId="0" applyNumberFormat="1" applyAlignment="1">
      <alignment horizontal="center"/>
    </xf>
    <xf numFmtId="0" fontId="0" fillId="0" borderId="0" xfId="0" applyAlignment="1">
      <alignment horizontal="center"/>
    </xf>
    <xf numFmtId="0" fontId="27" fillId="14" borderId="0" xfId="0" applyFont="1" applyFill="1" applyAlignment="1">
      <alignment horizontal="center"/>
    </xf>
    <xf numFmtId="0" fontId="27" fillId="15" borderId="0" xfId="0" applyFont="1" applyFill="1" applyAlignment="1">
      <alignment horizontal="center" vertical="center"/>
    </xf>
    <xf numFmtId="0" fontId="0" fillId="2" borderId="0" xfId="0" applyFill="1" applyAlignment="1">
      <alignment horizontal="center"/>
    </xf>
    <xf numFmtId="168" fontId="68" fillId="15" borderId="32" xfId="0" applyNumberFormat="1" applyFont="1" applyFill="1" applyBorder="1" applyAlignment="1">
      <alignment horizontal="center" vertical="center"/>
    </xf>
    <xf numFmtId="168" fontId="68" fillId="15" borderId="0" xfId="0" applyNumberFormat="1" applyFont="1" applyFill="1" applyAlignment="1">
      <alignment horizontal="center" vertical="center"/>
    </xf>
    <xf numFmtId="14" fontId="0" fillId="0" borderId="0" xfId="0" applyNumberFormat="1" applyAlignment="1">
      <alignment horizontal="center"/>
    </xf>
    <xf numFmtId="0" fontId="67" fillId="14" borderId="0" xfId="0" applyFont="1" applyFill="1" applyAlignment="1">
      <alignment horizontal="center"/>
    </xf>
    <xf numFmtId="0" fontId="0" fillId="0" borderId="0" xfId="0" applyAlignment="1">
      <alignment horizontal="center" vertical="center"/>
    </xf>
    <xf numFmtId="168" fontId="12" fillId="0" borderId="0" xfId="0" applyNumberFormat="1" applyFont="1" applyAlignment="1">
      <alignment horizontal="center" vertical="center"/>
    </xf>
    <xf numFmtId="0" fontId="27" fillId="14" borderId="0" xfId="0" applyFont="1" applyFill="1" applyAlignment="1">
      <alignment horizontal="center" vertical="center"/>
    </xf>
    <xf numFmtId="0" fontId="0" fillId="4" borderId="0" xfId="0" applyFill="1" applyAlignment="1">
      <alignment horizontal="center"/>
    </xf>
    <xf numFmtId="0" fontId="54" fillId="25" borderId="0" xfId="0" applyFont="1" applyFill="1" applyAlignment="1">
      <alignment horizontal="center"/>
    </xf>
    <xf numFmtId="4" fontId="26" fillId="0" borderId="0" xfId="0" applyNumberFormat="1" applyFont="1" applyAlignment="1">
      <alignment horizontal="center"/>
    </xf>
    <xf numFmtId="168" fontId="26" fillId="0" borderId="0" xfId="0" applyNumberFormat="1" applyFont="1" applyAlignment="1">
      <alignment horizontal="center"/>
    </xf>
    <xf numFmtId="0" fontId="0" fillId="30" borderId="0" xfId="0" applyFill="1" applyAlignment="1">
      <alignment horizontal="center"/>
    </xf>
    <xf numFmtId="0" fontId="0" fillId="26" borderId="0" xfId="0" applyFill="1" applyAlignment="1">
      <alignment horizontal="center" vertical="center"/>
    </xf>
    <xf numFmtId="0" fontId="26" fillId="26" borderId="0" xfId="0" applyFont="1" applyFill="1" applyAlignment="1">
      <alignment horizontal="center" vertical="center"/>
    </xf>
    <xf numFmtId="0" fontId="26" fillId="4" borderId="0" xfId="0" applyFont="1" applyFill="1" applyAlignment="1">
      <alignment horizontal="center"/>
    </xf>
    <xf numFmtId="168" fontId="26" fillId="9" borderId="0" xfId="0" applyNumberFormat="1" applyFont="1" applyFill="1" applyAlignment="1">
      <alignment horizontal="center"/>
    </xf>
    <xf numFmtId="0" fontId="0" fillId="0" borderId="0" xfId="0" applyAlignment="1">
      <alignment horizontal="right" vertical="center"/>
    </xf>
    <xf numFmtId="168" fontId="24" fillId="0" borderId="0" xfId="0" applyNumberFormat="1" applyFont="1" applyAlignment="1">
      <alignment horizontal="center"/>
    </xf>
    <xf numFmtId="0" fontId="24" fillId="0" borderId="0" xfId="0" applyFont="1" applyAlignment="1">
      <alignment horizontal="center"/>
    </xf>
    <xf numFmtId="168" fontId="24" fillId="3" borderId="32" xfId="0" applyNumberFormat="1" applyFont="1" applyFill="1" applyBorder="1" applyAlignment="1">
      <alignment horizontal="center"/>
    </xf>
    <xf numFmtId="168" fontId="24" fillId="3" borderId="0" xfId="0" applyNumberFormat="1" applyFont="1" applyFill="1" applyAlignment="1">
      <alignment horizontal="center"/>
    </xf>
    <xf numFmtId="0" fontId="24" fillId="3" borderId="17" xfId="0" applyFont="1" applyFill="1" applyBorder="1" applyAlignment="1">
      <alignment horizontal="center"/>
    </xf>
    <xf numFmtId="0" fontId="24" fillId="3" borderId="7" xfId="0" applyFont="1" applyFill="1" applyBorder="1" applyAlignment="1">
      <alignment horizontal="center"/>
    </xf>
    <xf numFmtId="168" fontId="27" fillId="15" borderId="0" xfId="0" applyNumberFormat="1" applyFont="1" applyFill="1" applyAlignment="1">
      <alignment horizontal="center" vertical="center"/>
    </xf>
    <xf numFmtId="168" fontId="0" fillId="2" borderId="32" xfId="0" applyNumberFormat="1" applyFill="1" applyBorder="1" applyAlignment="1">
      <alignment horizontal="center"/>
    </xf>
    <xf numFmtId="168" fontId="0" fillId="2" borderId="0" xfId="0" applyNumberFormat="1" applyFill="1" applyAlignment="1">
      <alignment horizontal="center"/>
    </xf>
    <xf numFmtId="0" fontId="0" fillId="17" borderId="0" xfId="0" applyFill="1" applyAlignment="1">
      <alignment horizontal="center"/>
    </xf>
    <xf numFmtId="0" fontId="62" fillId="0" borderId="0" xfId="0" applyFont="1" applyAlignment="1">
      <alignment horizontal="center"/>
    </xf>
    <xf numFmtId="0" fontId="62" fillId="0" borderId="2" xfId="0" applyFont="1" applyBorder="1" applyAlignment="1">
      <alignment horizontal="center"/>
    </xf>
    <xf numFmtId="168" fontId="27" fillId="14" borderId="0" xfId="0" applyNumberFormat="1" applyFont="1" applyFill="1" applyAlignment="1">
      <alignment horizontal="center"/>
    </xf>
    <xf numFmtId="168" fontId="0" fillId="0" borderId="0" xfId="0" applyNumberFormat="1" applyAlignment="1">
      <alignment horizontal="center" vertical="center"/>
    </xf>
    <xf numFmtId="168" fontId="67" fillId="14" borderId="0" xfId="0" applyNumberFormat="1" applyFont="1" applyFill="1" applyAlignment="1">
      <alignment horizontal="center" vertical="center"/>
    </xf>
    <xf numFmtId="0" fontId="24" fillId="2" borderId="0" xfId="0" applyFont="1" applyFill="1" applyAlignment="1">
      <alignment horizontal="center" vertical="center"/>
    </xf>
    <xf numFmtId="0" fontId="26" fillId="0" borderId="0" xfId="0" applyFont="1" applyAlignment="1">
      <alignment horizontal="center"/>
    </xf>
    <xf numFmtId="3" fontId="0" fillId="0" borderId="0" xfId="0" applyNumberFormat="1" applyAlignment="1">
      <alignment horizontal="center" vertical="center" wrapText="1"/>
    </xf>
    <xf numFmtId="3" fontId="0" fillId="0" borderId="0" xfId="0" applyNumberFormat="1" applyAlignment="1">
      <alignment horizontal="center" vertical="center"/>
    </xf>
    <xf numFmtId="14" fontId="0" fillId="9" borderId="0" xfId="0" applyNumberFormat="1" applyFill="1" applyAlignment="1">
      <alignment horizontal="center"/>
    </xf>
    <xf numFmtId="168" fontId="0" fillId="0" borderId="0" xfId="0" applyNumberFormat="1" applyAlignment="1">
      <alignment horizontal="center"/>
    </xf>
    <xf numFmtId="176" fontId="0" fillId="0" borderId="0" xfId="0" applyNumberFormat="1" applyAlignment="1">
      <alignment horizontal="center"/>
    </xf>
    <xf numFmtId="8" fontId="0" fillId="0" borderId="0" xfId="0" applyNumberFormat="1" applyAlignment="1">
      <alignment horizontal="center" vertical="center"/>
    </xf>
    <xf numFmtId="9" fontId="0" fillId="0" borderId="0" xfId="0" applyNumberFormat="1" applyAlignment="1">
      <alignment horizontal="center"/>
    </xf>
    <xf numFmtId="0" fontId="0" fillId="0" borderId="0" xfId="0"/>
    <xf numFmtId="4" fontId="0" fillId="0" borderId="0" xfId="0" applyNumberFormat="1" applyAlignment="1">
      <alignment horizontal="center" vertical="center" wrapText="1"/>
    </xf>
    <xf numFmtId="0" fontId="26" fillId="22" borderId="0" xfId="0" applyFont="1" applyFill="1" applyAlignment="1">
      <alignment horizontal="center"/>
    </xf>
    <xf numFmtId="180" fontId="0" fillId="0" borderId="0" xfId="0" applyNumberFormat="1" applyAlignment="1">
      <alignment horizontal="center"/>
    </xf>
    <xf numFmtId="0" fontId="0" fillId="9" borderId="0" xfId="0" applyFill="1" applyAlignment="1">
      <alignment horizontal="center" vertical="center"/>
    </xf>
    <xf numFmtId="180" fontId="0" fillId="0" borderId="0" xfId="0" applyNumberFormat="1" applyAlignment="1">
      <alignment horizontal="center" vertical="center"/>
    </xf>
    <xf numFmtId="6" fontId="0" fillId="9" borderId="0" xfId="0" applyNumberFormat="1" applyFill="1" applyAlignment="1">
      <alignment horizontal="center" vertical="center"/>
    </xf>
    <xf numFmtId="168" fontId="17" fillId="0" borderId="0" xfId="0" applyNumberFormat="1" applyFont="1" applyAlignment="1">
      <alignment horizontal="center" vertical="center"/>
    </xf>
    <xf numFmtId="168" fontId="19" fillId="0" borderId="0" xfId="0" applyNumberFormat="1" applyFont="1" applyAlignment="1">
      <alignment horizontal="center" vertical="center"/>
    </xf>
    <xf numFmtId="168" fontId="18" fillId="0" borderId="0" xfId="0" applyNumberFormat="1" applyFont="1" applyAlignment="1">
      <alignment horizontal="center" vertical="center"/>
    </xf>
    <xf numFmtId="168" fontId="11" fillId="0" borderId="0" xfId="0" applyNumberFormat="1" applyFont="1" applyAlignment="1">
      <alignment horizontal="center" vertical="center"/>
    </xf>
    <xf numFmtId="0" fontId="26" fillId="20" borderId="0" xfId="0" applyFont="1" applyFill="1" applyAlignment="1">
      <alignment horizontal="center"/>
    </xf>
    <xf numFmtId="0" fontId="0" fillId="20" borderId="0" xfId="0" applyFill="1" applyAlignment="1">
      <alignment horizontal="center"/>
    </xf>
    <xf numFmtId="168" fontId="4" fillId="0" borderId="0" xfId="0" applyNumberFormat="1" applyFont="1" applyAlignment="1">
      <alignment horizontal="center" vertical="center"/>
    </xf>
    <xf numFmtId="168" fontId="2" fillId="0" borderId="0" xfId="0" applyNumberFormat="1" applyFont="1" applyAlignment="1">
      <alignment horizontal="center" vertical="center"/>
    </xf>
    <xf numFmtId="0" fontId="83" fillId="26" borderId="0" xfId="0" applyFont="1" applyFill="1" applyAlignment="1">
      <alignment horizontal="center" vertical="center"/>
    </xf>
    <xf numFmtId="0" fontId="41" fillId="10" borderId="0" xfId="0" applyFont="1" applyFill="1" applyAlignment="1">
      <alignment horizontal="right" vertical="center"/>
    </xf>
    <xf numFmtId="0" fontId="0" fillId="26" borderId="0" xfId="0" applyFill="1" applyAlignment="1">
      <alignment horizontal="right" vertical="center"/>
    </xf>
    <xf numFmtId="0" fontId="93" fillId="0" borderId="0" xfId="0" applyFont="1"/>
    <xf numFmtId="185" fontId="0" fillId="0" borderId="52" xfId="24" applyNumberFormat="1" applyFont="1" applyBorder="1" applyAlignment="1">
      <alignment horizontal="center"/>
    </xf>
    <xf numFmtId="0" fontId="26" fillId="0" borderId="25" xfId="0" applyFont="1" applyBorder="1" applyAlignment="1">
      <alignment horizontal="center"/>
    </xf>
    <xf numFmtId="0" fontId="26" fillId="0" borderId="26" xfId="0" applyFont="1" applyBorder="1" applyAlignment="1">
      <alignment horizontal="center"/>
    </xf>
    <xf numFmtId="0" fontId="26" fillId="0" borderId="28" xfId="0" applyFont="1" applyBorder="1" applyAlignment="1">
      <alignment horizontal="center"/>
    </xf>
    <xf numFmtId="0" fontId="90" fillId="0" borderId="44" xfId="0" applyFont="1" applyBorder="1" applyAlignment="1">
      <alignment horizontal="left" vertical="center"/>
    </xf>
    <xf numFmtId="0" fontId="90" fillId="0" borderId="62" xfId="0" applyFont="1" applyBorder="1" applyAlignment="1">
      <alignment horizontal="left" vertical="center"/>
    </xf>
    <xf numFmtId="0" fontId="0" fillId="0" borderId="47" xfId="0" applyBorder="1" applyAlignment="1">
      <alignment horizontal="center" wrapText="1"/>
    </xf>
    <xf numFmtId="185" fontId="0" fillId="0" borderId="45" xfId="24" applyNumberFormat="1" applyFont="1" applyBorder="1" applyAlignment="1">
      <alignment horizontal="center"/>
    </xf>
    <xf numFmtId="0" fontId="48" fillId="0" borderId="47" xfId="0" applyFont="1" applyBorder="1" applyAlignment="1">
      <alignment horizontal="center" wrapText="1"/>
    </xf>
    <xf numFmtId="14" fontId="0" fillId="0" borderId="59" xfId="0" applyNumberFormat="1" applyBorder="1" applyAlignment="1">
      <alignment horizontal="center"/>
    </xf>
    <xf numFmtId="14" fontId="0" fillId="0" borderId="67" xfId="0" applyNumberFormat="1" applyBorder="1" applyAlignment="1">
      <alignment horizontal="center"/>
    </xf>
    <xf numFmtId="14" fontId="0" fillId="0" borderId="68" xfId="0" applyNumberFormat="1" applyBorder="1" applyAlignment="1">
      <alignment horizontal="center"/>
    </xf>
  </cellXfs>
  <cellStyles count="27">
    <cellStyle name="Bad" xfId="20" builtinId="27"/>
    <cellStyle name="Calculation" xfId="23" builtinId="22"/>
    <cellStyle name="Currency" xfId="24" builtinId="4"/>
    <cellStyle name="Followed Hyperlink" xfId="18" builtinId="9" hidden="1"/>
    <cellStyle name="Followed Hyperlink" xfId="8" builtinId="9" hidden="1"/>
    <cellStyle name="Followed Hyperlink" xfId="16" builtinId="9" hidden="1"/>
    <cellStyle name="Followed Hyperlink" xfId="4" builtinId="9" hidden="1"/>
    <cellStyle name="Followed Hyperlink" xfId="14" builtinId="9" hidden="1"/>
    <cellStyle name="Followed Hyperlink" xfId="2" builtinId="9" hidden="1"/>
    <cellStyle name="Followed Hyperlink" xfId="6" builtinId="9" hidden="1"/>
    <cellStyle name="Followed Hyperlink" xfId="12" builtinId="9" hidden="1"/>
    <cellStyle name="Followed Hyperlink" xfId="10" builtinId="9" hidden="1"/>
    <cellStyle name="Good" xfId="21" builtinId="26"/>
    <cellStyle name="Hyperlink" xfId="5" builtinId="8" hidden="1"/>
    <cellStyle name="Hyperlink" xfId="15" builtinId="8" hidden="1"/>
    <cellStyle name="Hyperlink" xfId="17" builtinId="8" hidden="1"/>
    <cellStyle name="Hyperlink" xfId="1" builtinId="8" hidden="1"/>
    <cellStyle name="Hyperlink" xfId="7" builtinId="8" hidden="1"/>
    <cellStyle name="Hyperlink" xfId="11" builtinId="8" hidden="1"/>
    <cellStyle name="Hyperlink" xfId="13" builtinId="8" hidden="1"/>
    <cellStyle name="Hyperlink" xfId="3" builtinId="8" hidden="1"/>
    <cellStyle name="Hyperlink" xfId="9" builtinId="8" hidden="1"/>
    <cellStyle name="Hyperlink" xfId="19" builtinId="8"/>
    <cellStyle name="Input" xfId="26" builtinId="20"/>
    <cellStyle name="Neutral" xfId="22" builtinId="28"/>
    <cellStyle name="Normal" xfId="0" builtinId="0"/>
    <cellStyle name="Per cent" xfId="25" builtinId="5"/>
  </cellStyles>
  <dxfs count="437">
    <dxf>
      <font>
        <b/>
        <i val="0"/>
      </font>
      <fill>
        <patternFill patternType="solid">
          <fgColor indexed="64"/>
          <bgColor rgb="FF92D050"/>
        </patternFill>
      </fill>
    </dxf>
    <dxf>
      <font>
        <b/>
        <i val="0"/>
      </font>
      <fill>
        <patternFill patternType="solid">
          <fgColor indexed="64"/>
          <bgColor rgb="FF92D050"/>
        </patternFill>
      </fill>
    </dxf>
    <dxf>
      <font>
        <b/>
        <i val="0"/>
      </font>
      <fill>
        <patternFill patternType="solid">
          <fgColor indexed="64"/>
          <bgColor rgb="FF92D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customXml" Target="../customXml/item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connections" Target="connections.xml"/><Relationship Id="rId203"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190" Type="http://schemas.openxmlformats.org/officeDocument/2006/relationships/worksheet" Target="worksheets/sheet190.xml"/><Relationship Id="rId204"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styles" Target="style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sharedStrings" Target="sharedString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theme" Target="theme/theme1.xml"/><Relationship Id="rId202" Type="http://schemas.openxmlformats.org/officeDocument/2006/relationships/sheetMetadata" Target="metadata.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15</xdr:col>
      <xdr:colOff>333375</xdr:colOff>
      <xdr:row>66</xdr:row>
      <xdr:rowOff>28575</xdr:rowOff>
    </xdr:to>
    <xdr:pic>
      <xdr:nvPicPr>
        <xdr:cNvPr id="2" name="Picture 1">
          <a:extLst>
            <a:ext uri="{FF2B5EF4-FFF2-40B4-BE49-F238E27FC236}">
              <a16:creationId xmlns:a16="http://schemas.microsoft.com/office/drawing/2014/main" id="{84AF135D-0511-4031-A8D8-3B315074C355}"/>
            </a:ext>
          </a:extLst>
        </xdr:cNvPr>
        <xdr:cNvPicPr>
          <a:picLocks noChangeAspect="1"/>
        </xdr:cNvPicPr>
      </xdr:nvPicPr>
      <xdr:blipFill>
        <a:blip xmlns:r="http://schemas.openxmlformats.org/officeDocument/2006/relationships" r:embed="rId1"/>
        <a:stretch>
          <a:fillRect/>
        </a:stretch>
      </xdr:blipFill>
      <xdr:spPr>
        <a:xfrm>
          <a:off x="0" y="3810000"/>
          <a:ext cx="9277350" cy="87915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tthew Varley" id="{D1728A67-EEB6-4960-84F3-C06015A3837D}" userId="f122db6c985b245e"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9800-000000000000}" autoFormatId="16" applyNumberFormats="0" applyBorderFormats="0" applyFontFormats="0" applyPatternFormats="0" applyAlignmentFormats="0" applyWidthHeightFormats="0">
  <queryTableRefresh nextId="7">
    <queryTableFields count="6">
      <queryTableField id="1" name="Column1.dateProcessed" tableColumnId="1"/>
      <queryTableField id="6" dataBound="0" tableColumnId="6"/>
      <queryTableField id="2" name="Column1.description" tableColumnId="2"/>
      <queryTableField id="3" name="Column1.type.value" tableColumnId="3"/>
      <queryTableField id="4" name="Column1.partner.value" tableColumnId="4"/>
      <queryTableField id="5" name="Column1.amoun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DECAF4-3252-4801-8F2E-A9C643A0DB46}" name="avios__2" displayName="avios__2" ref="A1:F237" tableType="queryTable" totalsRowShown="0">
  <autoFilter ref="A1:F237" xr:uid="{47DECAF4-3252-4801-8F2E-A9C643A0DB46}"/>
  <sortState xmlns:xlrd2="http://schemas.microsoft.com/office/spreadsheetml/2017/richdata2" ref="A2:F237">
    <sortCondition descending="1" ref="F1:F237"/>
  </sortState>
  <tableColumns count="6">
    <tableColumn id="1" xr3:uid="{9C947935-1D16-4143-860E-35947A432098}" uniqueName="1" name="Column1.dateProcessed" queryTableFieldId="1"/>
    <tableColumn id="6" xr3:uid="{52F9C3BF-7F4E-4A90-A0E5-3D96E913569E}" uniqueName="6" name="User" queryTableFieldId="6"/>
    <tableColumn id="2" xr3:uid="{01EE1922-C9B3-4870-A942-F489D5B1D46E}" uniqueName="2" name="Column1.description" queryTableFieldId="2"/>
    <tableColumn id="3" xr3:uid="{C1C07B5D-D4EB-4C57-BECC-A17206246827}" uniqueName="3" name="Column1.type.value" queryTableFieldId="3"/>
    <tableColumn id="4" xr3:uid="{618A1B02-09C6-4B80-AF63-0120304D08FA}" uniqueName="4" name="Column1.partner.value" queryTableFieldId="4"/>
    <tableColumn id="5" xr3:uid="{79D7B6E1-4F54-468E-952A-9CE0DA66B5E6}" uniqueName="5" name="Column1.amoun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 dT="2020-07-15T14:17:56.55" personId="{00000000-0000-0000-0000-000000000000}" id="{7E3B4159-1226-46C5-A519-FBEAC4B27DCA}">
    <text>Column showing what savings SHOULD be coming out of the month</text>
  </threadedComment>
  <threadedComment ref="R5" dT="2026-01-11T14:39:53.00" personId="{00000000-0000-0000-0000-000000000000}" id="{F234984F-75D9-4897-B4EA-945DE3676EA8}">
    <text>Tania / babu / kristas NYE</text>
  </threadedComment>
  <threadedComment ref="N32" dT="2022-04-01T22:18:23.27" personId="{00000000-0000-0000-0000-000000000000}" id="{BF845909-C70C-4F0C-8FB3-87828D92FD8B}">
    <text>Increasing payments from 250 to 263 to account for shortfall</text>
  </threadedComment>
  <threadedComment ref="L92" dT="2020-10-08T17:21:02.37" personId="{00000000-0000-0000-0000-000000000000}" id="{72042173-F23A-420D-B688-FE875F24CCA0}">
    <text>Novembers wage, minus all outgoings</text>
  </threadedComment>
  <threadedComment ref="E110" dT="2023-11-16T23:21:38.28" personId="{00000000-0000-0000-0000-000000000000}" id="{06EE3BFF-8F7C-794A-A7D2-D5F89F2E5DE6}">
    <text>Starting post farm
Dads addresses</text>
  </threadedComment>
  <threadedComment ref="G119" dT="2025-11-21T19:46:10.56" personId="{00000000-0000-0000-0000-000000000000}" id="{1DF49D30-226E-4FE8-B596-F7ADB0B753CA}">
    <text>https://www.amazon.co.uk/dp/B019DWWU4O/ref=br_dsk_vv_itemdt_dp?colid=2G7O0WB7RE3ZE&amp;coliid=I2SADZCAFER4D4&amp;th=1</text>
    <extLst>
      <x:ext xmlns:xltc2="http://schemas.microsoft.com/office/spreadsheetml/2020/threadedcomments2" uri="{F7C98A9C-CBB3-438F-8F68-D28B6AF4A901}">
        <xltc2:checksum>4189660432</xltc2:checksum>
        <xltc2:hyperlink startIndex="0" length="109" url="https://www.amazon.co.uk/dp/B019DWWU4O/ref=br_dsk_vv_itemdt_dp?colid=2G7O0WB7RE3ZE&amp;coliid=I2SADZCAFER4D4&amp;th=1"/>
      </x:ext>
    </extLst>
  </threadedComment>
  <threadedComment ref="G130" dT="2025-11-21T19:45:45.75" personId="{00000000-0000-0000-0000-000000000000}" id="{65FF405B-F9A5-45C4-8C58-26E6A3E86388}">
    <text>https://www.boots.com/peppa-pig-christmas-mesh-dress-10365514?traffic=paid.shopping&amp;gclsrc=aw.ds&amp;gad_source=1&amp;gad_campaignid=23225013094&amp;gbraid=0AAAAA-AdmwR5EjwnVSvxv_-XbFZWU6yOG&amp;gclid=CjwKCAiAuIDJBhBoEiwAxhgyFgejZXD4pu6XEM6BgXfDL-oYzs7zH3wiM9RgKlJ25pa76rIgIKZn3xoCgHoQAvD_BwE
https://www.argos.co.uk/product/tuc146413211?&amp;utm_custom6=PLA&amp;deeplink=true&amp;gclsrc=aw.ds&amp;&amp;cmpid=GS001&amp;_$ja=tsid:59157%7Cacid:286-838-5542%7Ccid:20331952296%7Cagid:%7Ctid:%7Ccrid:%7Cnw:x%7Crnd:12070907030145352097%7Cdvc:c%7Cadp:%7Cmt:%7Cloc:9046697&amp;utm_source=Google&amp;utm_medium=cpc&amp;utm_campaign=20331952296&amp;utm_term=&amp;utm_content=shopping&amp;utm_custom1=&amp;utm_custom2=286-838-5542&amp;GPDP=true&amp;gad_source=1&amp;gad_campaignid=20331955620&amp;gbraid=0AAAAAp5MJVdHNKMM8LYFOFULQMMKdPlak&amp;gclid=CjwKCAiAuIDJBhBoEiwAxhgyFlch2W9OZcaX2C5ibrHhbVzAqMFGHPOenqMjZF59chmCVleSoA3sphoCEioQAvD_BwE
https://direct.asda.com/george/kids/nightwear-slippers/peppa-pig-pink-long-sleeve-frill-hem-pyjamas/GEM1333034,default,pd.html?cgid=D25M2G1C11</text>
    <extLst>
      <x:ext xmlns:xltc2="http://schemas.microsoft.com/office/spreadsheetml/2020/threadedcomments2" uri="{F7C98A9C-CBB3-438F-8F68-D28B6AF4A901}">
        <xltc2:checksum>3552334088</xltc2:checksum>
        <xltc2:hyperlink startIndex="0" length="276" url="https://www.boots.com/peppa-pig-christmas-mesh-dress-10365514?traffic=paid.shopping&amp;gclsrc=aw.ds&amp;gad_source=1&amp;gad_campaignid=23225013094&amp;gbraid=0AAAAA-AdmwR5EjwnVSvxv_-XbFZWU6yOG&amp;gclid=CjwKCAiAuIDJBhBoEiwAxhgyFgejZXD4pu6XEM6BgXfDL-oYzs7zH3wiM9RgKlJ25pa76rIgIKZn3xoCgHoQAvD_BwE"/>
        <xltc2:hyperlink startIndex="278" length="564" url="https://www.argos.co.uk/product/tuc146413211?&amp;utm_custom6=PLA&amp;deeplink=true&amp;gclsrc=aw.ds&amp;&amp;cmpid=GS001&amp;_$ja=tsid:59157%7Cacid:286-838-5542%7Ccid:20331952296%7Cagid:%7Ctid:%7Ccrid:%7Cnw:x%7Crnd:12070907030145352097%7Cdvc:c%7Cadp:%7Cmt:%7Cloc:9046697&amp;utm_source=Google&amp;utm_medium=cpc&amp;utm_campaign=20331952296&amp;utm_term=&amp;utm_content=shopping&amp;utm_custom1=&amp;utm_custom2=286-838-5542&amp;GPDP=true&amp;gad_source=1&amp;gad_campaignid=20331955620&amp;gbraid=0AAAAAp5MJVdHNKMM8LYFOFULQMMKdPlak&amp;gclid=CjwKCAiAuIDJBhBoEiwAxhgyFlch2W9OZcaX2C5ibrHhbVzAqMFGHPOenqMjZF59chmCVleSoA3sphoCEioQAvD_BwE"/>
        <xltc2:hyperlink startIndex="844" length="142" url="https://direct.asda.com/george/kids/nightwear-slippers/peppa-pig-pink-long-sleeve-frill-hem-pyjamas/GEM1333034,default,pd.html?cgid=D25M2G1C11"/>
      </x:ext>
    </extLst>
  </threadedComment>
  <threadedComment ref="G137" dT="2025-11-21T19:42:49.89" personId="{00000000-0000-0000-0000-000000000000}" id="{C8E0EE2A-7A49-4CAF-9A16-B1863559633E}">
    <text>https://www.amazon.co.uk/gp/product/B0DNGBHK93/ref=ox_sc_act_title_5?smid=A3P5ROKL5A1OLE&amp;psc=1</text>
    <extLst>
      <x:ext xmlns:xltc2="http://schemas.microsoft.com/office/spreadsheetml/2020/threadedcomments2" uri="{F7C98A9C-CBB3-438F-8F68-D28B6AF4A901}">
        <xltc2:checksum>1463504862</xltc2:checksum>
        <xltc2:hyperlink startIndex="0" length="94" url="https://www.amazon.co.uk/gp/product/B0DNGBHK93/ref=ox_sc_act_title_5?smid=A3P5ROKL5A1OLE&amp;psc=1"/>
      </x:ext>
    </extLst>
  </threadedComment>
  <threadedComment ref="G138" dT="2025-11-21T19:43:02.91" personId="{00000000-0000-0000-0000-000000000000}" id="{B622030C-915A-41BD-B8E0-D104FCAACE20}">
    <text>https://www.marksandspencer.com/knitted-bear-jumper-0-3-yrs-/p/clp60761157?color=GREY#intid=carousel_FUNH_AT_PHOENIX-SIMILAR_END_PDP_16_14:10b4ec13-0ae2-48e3-ba6a-3b2cdf7f646d</text>
    <extLst>
      <x:ext xmlns:xltc2="http://schemas.microsoft.com/office/spreadsheetml/2020/threadedcomments2" uri="{F7C98A9C-CBB3-438F-8F68-D28B6AF4A901}">
        <xltc2:checksum>3443379650</xltc2:checksum>
        <xltc2:hyperlink startIndex="0" length="175" url="https://www.marksandspencer.com/knitted-bear-jumper-0-3-yrs-/p/clp60761157?color=GREY#intid=carousel_FUNH_AT_PHOENIX-SIMILAR_END_PDP_16_14:10b4ec13-0ae2-48e3-ba6a-3b2cdf7f646d"/>
      </x:ext>
    </extLst>
  </threadedComment>
  <threadedComment ref="G138" dT="2025-11-21T19:43:11.32" personId="{00000000-0000-0000-0000-000000000000}" id="{CE0F23A1-1205-49A5-A8D1-BF3576ABDEA7}" parentId="{B622030C-915A-41BD-B8E0-D104FCAACE20}">
    <text>https://www.marksandspencer.com/knitted-joggers-0-3-yrs-/p/clp60760598?color=BROWN&amp;extid=ps_ps-pla-pmax_ggl_kw_ch__-_UK_-_-_bau&amp;cq_src=google_ads&amp;cq_cmp=20189587561&amp;cq_con=&amp;cq_term=&amp;cq_med=pla&amp;cq_plac=&amp;cq_net=x&amp;cq_plt=gp&amp;gclsrc=aw.ds&amp;gad_source=1&amp;gad_campaignid=19965637887&amp;gbraid=0AAAAAD7g6bTU35bDs3vWwwTjtsSkIa8gq&amp;gclid=CjwKCAiAuIDJBhBoEiwAxhgyFiKFz0kePvdRzZhylU_9_ew6UJqrXnO_LOU06UbWF67NaTKpbQKARxoCmyMQAvD_BwE</text>
    <extLst>
      <x:ext xmlns:xltc2="http://schemas.microsoft.com/office/spreadsheetml/2020/threadedcomments2" uri="{F7C98A9C-CBB3-438F-8F68-D28B6AF4A901}">
        <xltc2:checksum>1898264310</xltc2:checksum>
        <xltc2:hyperlink startIndex="0" length="413" url="https://www.marksandspencer.com/knitted-joggers-0-3-yrs-/p/clp60760598?color=BROWN&amp;extid=ps_ps-pla-pmax_ggl_kw_ch__-_UK_-_-_bau&amp;cq_src=google_ads&amp;cq_cmp=20189587561&amp;cq_con=&amp;cq_term=&amp;cq_med=pla&amp;cq_plac=&amp;cq_net=x&amp;cq_plt=gp&amp;gclsrc=aw.ds&amp;gad_source=1&amp;gad_campaignid=19965637887&amp;gbraid=0AAAAAD7g6bTU35bDs3vWwwTjtsSkIa8gq&amp;gclid=CjwKCAiAuIDJBhBoEiwAxhgyFiKFz0kePvdRzZhylU_9_ew6UJqrXnO_LOU06UbWF67NaTKpbQKARxoCmyMQAvD_Bw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Q7" dT="2019-06-08T22:22:40.02" personId="{00000000-0000-0000-0000-000000000000}" id="{5D80A09C-E518-244A-B235-8A1321AE68D6}">
    <text>20.62 Mayday ice cream</text>
  </threadedComment>
  <threadedComment ref="N12" dT="2019-06-06T04:15:36.56" personId="{00000000-0000-0000-0000-000000000000}" id="{89162DA7-2650-4148-922A-5683E587C303}">
    <text>15.66????</text>
  </threadedComment>
  <threadedComment ref="Q12" dT="2019-06-06T04:19:03.52" personId="{00000000-0000-0000-0000-000000000000}" id="{CE3B4C22-65E6-D246-8753-00627FBD99A3}">
    <text>39 = Amazon Prime</text>
  </threadedComment>
  <threadedComment ref="T12" dT="2019-06-18T10:14:20.56" personId="{00000000-0000-0000-0000-000000000000}" id="{75BD6D19-BEA0-9342-BF5F-A9EF8C74B69F}">
    <text>Overspent on bills due to expenses for trip - see N17</text>
  </threadedComment>
  <threadedComment ref="N15" dT="2019-06-06T05:03:21.33" personId="{00000000-0000-0000-0000-000000000000}" id="{3B36C064-349C-4A4E-95B8-657BB0705C99}">
    <text>178.9 Actually Ed Sheeran Tickets</text>
  </threadedComment>
  <threadedComment ref="N17" dT="2019-06-18T10:14:35.72" personId="{00000000-0000-0000-0000-000000000000}" id="{23B75147-118F-3649-9071-4F62A5DE5474}">
    <text>Caused overspend on bills, will be re-imbursed</text>
  </threadedComment>
</ThreadedComments>
</file>

<file path=xl/threadedComments/threadedComment3.xml><?xml version="1.0" encoding="utf-8"?>
<ThreadedComments xmlns="http://schemas.microsoft.com/office/spreadsheetml/2018/threadedcomments" xmlns:x="http://schemas.openxmlformats.org/spreadsheetml/2006/main">
  <threadedComment ref="N16" dT="2019-07-15T18:21:21.41" personId="{00000000-0000-0000-0000-000000000000}" id="{225EE615-713E-6A47-95B8-B41DD4C6B155}">
    <text>66.72 - BT overcharge???</text>
  </threadedComment>
  <threadedComment ref="A23" dT="2019-06-19T11:52:26.38" personId="{00000000-0000-0000-0000-000000000000}" id="{77C7F004-0F55-AC43-8793-79F33B97B7AF}">
    <text>National trust - £10pm
British gas service - £14.96pm
Account charge - £13pm
Wallet App - £3.99</text>
  </threadedComment>
</ThreadedComments>
</file>

<file path=xl/threadedComments/threadedComment4.xml><?xml version="1.0" encoding="utf-8"?>
<ThreadedComments xmlns="http://schemas.microsoft.com/office/spreadsheetml/2018/threadedcomments" xmlns:x="http://schemas.openxmlformats.org/spreadsheetml/2006/main">
  <threadedComment ref="F8" dT="2019-08-13T10:32:13.52" personId="{00000000-0000-0000-0000-000000000000}" id="{FFD35EA1-6DA9-4DF8-AD7B-338BCF8CE565}">
    <text>TKMaxx - £64.98</text>
  </threadedComment>
  <threadedComment ref="F12" dT="2019-08-13T10:31:51.99" personId="{00000000-0000-0000-0000-000000000000}" id="{A69606E8-0D34-4E6A-AD3B-65D835147A9D}">
    <text>TKMaxx - £64.98</text>
  </threadedComment>
  <threadedComment ref="AC19" dT="2019-07-15T18:21:21.41" personId="{00000000-0000-0000-0000-000000000000}" id="{11922984-1ACA-4C78-A480-458061FBED96}">
    <text>66.72 - BT overcharge???</text>
  </threadedComment>
  <threadedComment ref="A22" dT="2019-06-19T11:52:26.38" personId="{00000000-0000-0000-0000-000000000000}" id="{5BD2D57A-271F-4836-B359-93965DCE7CDE}">
    <text>National trust - £10pm
British gas service - £14.96pm
Account charge - £13pm
Wallet App - £3.99</text>
  </threadedComment>
</ThreadedComments>
</file>

<file path=xl/threadedComments/threadedComment5.xml><?xml version="1.0" encoding="utf-8"?>
<ThreadedComments xmlns="http://schemas.microsoft.com/office/spreadsheetml/2018/threadedcomments" xmlns:x="http://schemas.openxmlformats.org/spreadsheetml/2006/main">
  <threadedComment ref="H7" dT="2019-09-10T12:05:06.27" personId="{00000000-0000-0000-0000-000000000000}" id="{5B9A5667-B4A3-4F96-97F9-30D3BC372FFA}">
    <text>9.7 = seaweed</text>
  </threadedComment>
  <threadedComment ref="E12" dT="2019-08-13T11:51:29.57" personId="{00000000-0000-0000-0000-000000000000}" id="{75B07F41-907F-4050-A822-7E0882AF64E5}">
    <text>£129 = Nectar from Oct / Nov 11th
£78.97 = HTB</text>
  </threadedComment>
  <threadedComment ref="E28" dT="2019-08-15T10:52:12.09" personId="{00000000-0000-0000-0000-000000000000}" id="{0E8D5944-BAAF-4A13-92C0-9EA6F90A9F0F}">
    <text>Barcelona</text>
  </threadedComment>
  <threadedComment ref="D39" dT="2019-06-19T11:52:26.38" personId="{00000000-0000-0000-0000-000000000000}" id="{FE83B78D-112A-3D43-882C-2B7FE233126D}">
    <text>National trust - £10pm
British gas service - £14.96pm
Account charge - £13pm
Wallet App - £3.99</text>
  </threadedComment>
  <threadedComment ref="F43" dT="2019-08-15T11:26:21.42" personId="{00000000-0000-0000-0000-000000000000}" id="{7F575756-26F0-4CFF-B1EA-B91DFD2E317A}">
    <text>£2250 Matt base wage
£977 Kris reduced wage</text>
  </threadedComment>
</ThreadedComments>
</file>

<file path=xl/threadedComments/threadedComment6.xml><?xml version="1.0" encoding="utf-8"?>
<ThreadedComments xmlns="http://schemas.microsoft.com/office/spreadsheetml/2018/threadedcomments" xmlns:x="http://schemas.openxmlformats.org/spreadsheetml/2006/main">
  <threadedComment ref="G2" dT="2024-03-11T11:26:51.91" personId="{00000000-0000-0000-0000-000000000000}" id="{5A437932-3AE9-4675-BA19-03ECB5377224}">
    <text>Sometimes bonuses are only applied on pre-tax costs</text>
  </threadedComment>
  <threadedComment ref="Q22" dT="2024-04-28T17:41:04.60" personId="{00000000-0000-0000-0000-000000000000}" id="{7392B33C-E4D8-44A1-9405-8B4A5FD8689C}">
    <text>$83</text>
  </threadedComment>
</ThreadedComments>
</file>

<file path=xl/threadedComments/threadedComment7.xml><?xml version="1.0" encoding="utf-8"?>
<ThreadedComments xmlns="http://schemas.microsoft.com/office/spreadsheetml/2018/threadedcomments" xmlns:x="http://schemas.openxmlformats.org/spreadsheetml/2006/main">
  <threadedComment ref="S4" dT="2019-09-25T15:27:04.02" personId="{00000000-0000-0000-0000-000000000000}" id="{DFE9BF4B-39A6-4BDD-BBFA-C1B78EC4FABE}">
    <text>Split between fun + contingency</text>
  </threadedComment>
  <threadedComment ref="H9" dT="2019-09-10T12:05:06.27" personId="{00000000-0000-0000-0000-000000000000}" id="{9601C305-1965-48E9-BFC9-3ED9922F8B0B}">
    <text>9.7 = seaweed</text>
  </threadedComment>
  <threadedComment ref="D13" dT="2019-09-25T15:11:22.20" personId="{00000000-0000-0000-0000-000000000000}" id="{5C061A58-9135-4A88-BF92-FEA1DC5E20E6}">
    <text>Home and Content
Life
Bunny</text>
  </threadedComment>
  <threadedComment ref="E14" dT="2019-08-13T11:51:29.57" personId="{00000000-0000-0000-0000-000000000000}" id="{223C6B0E-6995-430C-B952-574ED4DFAE35}">
    <text>£129 = Nectar from Oct / Nov 11th
£78.97 = HTB</text>
  </threadedComment>
  <threadedComment ref="E29" dT="2019-09-25T15:52:16.88" personId="{00000000-0000-0000-0000-000000000000}" id="{91458884-ABFC-4B88-A459-AF97E01F5208}">
    <text>Less 42 for speed awareness</text>
  </threadedComment>
  <threadedComment ref="F29" dT="2019-09-26T11:59:32.62" personId="{00000000-0000-0000-0000-000000000000}" id="{2B7844EC-2FA1-414B-99CD-64EAFA7C99F2}">
    <text>41.5 - companion CR (LDS B) LTD ??????</text>
  </threadedComment>
  <threadedComment ref="F31" dT="2019-10-04T13:53:22.97" personId="{00000000-0000-0000-0000-000000000000}" id="{9308EFAC-303F-4AA4-830C-C54B906BCB9C}">
    <text>Roberts smelly</text>
  </threadedComment>
  <threadedComment ref="H31" dT="2019-10-07T15:45:50.15" personId="{00000000-0000-0000-0000-000000000000}" id="{6D0674BB-A1FF-4F2D-97CA-E2CBFCFDB73E}">
    <text>Unicorn gin - philippa</text>
  </threadedComment>
  <threadedComment ref="E35" dT="2019-09-25T15:18:17.10" personId="{00000000-0000-0000-0000-000000000000}" id="{FA5504D5-8400-4602-8814-72E2E484F2BC}">
    <text>165.34 - On call
154.28 - birthday / cashback
500.00 - holiday
154.00 - 100 for kris, 42 for speed awareness</text>
  </threadedComment>
  <threadedComment ref="D41" dT="2019-06-19T11:52:26.38" personId="{00000000-0000-0000-0000-000000000000}" id="{DB70F748-7C89-4D1D-A689-829C62FDE51C}">
    <text>National trust - £10pm
British gas service - £14.96pm
Account charge - £13pm
Wallet App - £3.99</text>
  </threadedComment>
  <threadedComment ref="C61" dT="2019-09-28T09:59:24.28" personId="{00000000-0000-0000-0000-000000000000}" id="{46EA59A5-1C74-8746-B6E7-CFC80421F28A}">
    <text>Guitar</text>
  </threadedComment>
  <threadedComment ref="F61" dT="2019-09-28T10:00:33.12" personId="{00000000-0000-0000-0000-000000000000}" id="{2DFAA394-30C9-A64E-87F1-C5974BFD6FE7}">
    <text>Hol repayment</text>
  </threadedComment>
  <threadedComment ref="C63" dT="2019-10-08T11:22:21.71" personId="{00000000-0000-0000-0000-000000000000}" id="{9E71FF1F-0B19-3444-830D-ECF8BE3F0D83}">
    <text>service money</text>
  </threadedComment>
  <threadedComment ref="F63" dT="2019-09-28T13:46:45.49" personId="{00000000-0000-0000-0000-000000000000}" id="{FD1587DF-F04B-B442-931C-69C89B871F61}">
    <text>Holiday fund</text>
  </threadedComment>
  <threadedComment ref="C64" dT="2019-10-08T11:22:28.43" personId="{00000000-0000-0000-0000-000000000000}" id="{DF276ADB-45FE-AB45-BED9-EA7AD7986076}">
    <text>service money</text>
  </threadedComment>
</ThreadedComments>
</file>

<file path=xl/threadedComments/threadedComment8.xml><?xml version="1.0" encoding="utf-8"?>
<ThreadedComments xmlns="http://schemas.microsoft.com/office/spreadsheetml/2018/threadedcomments" xmlns:x="http://schemas.openxmlformats.org/spreadsheetml/2006/main">
  <threadedComment ref="S4" dT="2019-09-25T15:27:04.02" personId="{00000000-0000-0000-0000-000000000000}" id="{3D895512-FA18-9549-ACFE-B32D5CEB6636}">
    <text>Split between fun + contingency</text>
  </threadedComment>
  <threadedComment ref="H9" dT="2019-09-10T12:05:06.27" personId="{00000000-0000-0000-0000-000000000000}" id="{0A152736-19FE-1541-A1E9-5B7929FCF6E4}">
    <text>9.7 = seaweed</text>
  </threadedComment>
  <threadedComment ref="D13" dT="2019-09-25T15:11:22.20" personId="{00000000-0000-0000-0000-000000000000}" id="{9F92C1E4-94BE-6048-B179-2924D0CB3890}">
    <text>Home and Content
Life
Bunny</text>
  </threadedComment>
  <threadedComment ref="E14" dT="2019-08-13T11:51:29.57" personId="{00000000-0000-0000-0000-000000000000}" id="{02AAE0A5-001D-9042-A7DA-CB31C0B39676}">
    <text>£129 = Nectar from Oct / Nov 11th
£78.97 = HTB</text>
  </threadedComment>
  <threadedComment ref="E29" dT="2019-09-25T15:52:16.88" personId="{00000000-0000-0000-0000-000000000000}" id="{F70D60AB-A796-494F-A8D1-31FB001A94C8}">
    <text>Less 42 for speed awareness</text>
  </threadedComment>
  <threadedComment ref="F29" dT="2019-09-26T11:59:32.62" personId="{00000000-0000-0000-0000-000000000000}" id="{E6F147C4-2996-0544-80DE-070D105E2B8A}">
    <text>41.5 - companion CR (LDS B) LTD ??????</text>
  </threadedComment>
  <threadedComment ref="F31" dT="2019-10-04T13:53:22.97" personId="{00000000-0000-0000-0000-000000000000}" id="{E8E0CCA3-0628-8C43-BF23-F9AA18478B11}">
    <text>Roberts smelly</text>
  </threadedComment>
  <threadedComment ref="H31" dT="2019-10-07T15:45:50.15" personId="{00000000-0000-0000-0000-000000000000}" id="{E84677DB-227F-5349-9071-DFD40CBF6FFA}">
    <text>Unicorn gin - philippa</text>
  </threadedComment>
  <threadedComment ref="E35" dT="2019-09-25T15:18:17.10" personId="{00000000-0000-0000-0000-000000000000}" id="{26677364-F7F9-EA48-951B-EB2B4EC58B9C}">
    <text>165.34 - On call
154.28 - birthday / cashback
500.00 - holiday
154.00 - 100 for kris, 42 for speed awareness</text>
  </threadedComment>
  <threadedComment ref="D41" dT="2019-06-19T11:52:26.38" personId="{00000000-0000-0000-0000-000000000000}" id="{E356F6A4-AE3A-7F4F-8C34-83C16C110490}">
    <text>National trust - £10pm
British gas service - £14.96pm
Account charge - £13pm
Wallet App - £3.99</text>
  </threadedComment>
  <threadedComment ref="C61" dT="2019-09-28T09:59:24.28" personId="{00000000-0000-0000-0000-000000000000}" id="{B629C627-9114-C648-8A93-8634B6D4F877}">
    <text>Guitar</text>
  </threadedComment>
  <threadedComment ref="F61" dT="2019-09-28T10:00:33.12" personId="{00000000-0000-0000-0000-000000000000}" id="{D63C984D-C69F-4540-9263-32E4B0DA1C6C}">
    <text>Hol repayment</text>
  </threadedComment>
  <threadedComment ref="C63" dT="2019-10-08T11:22:21.71" personId="{00000000-0000-0000-0000-000000000000}" id="{ABF8466D-31B9-6A40-AE92-26C306FCA143}">
    <text>service money</text>
  </threadedComment>
  <threadedComment ref="F63" dT="2019-09-28T13:46:45.49" personId="{00000000-0000-0000-0000-000000000000}" id="{3C3B1BEC-F8EC-8246-A515-F4C42864F60B}">
    <text>Holiday fund</text>
  </threadedComment>
  <threadedComment ref="C64" dT="2019-10-08T11:22:28.43" personId="{00000000-0000-0000-0000-000000000000}" id="{3716189A-3C58-8C45-B4FC-7BE2980E7E90}">
    <text>service money</text>
  </threadedComment>
</ThreadedComments>
</file>

<file path=xl/threadedComments/threadedComment9.xml><?xml version="1.0" encoding="utf-8"?>
<ThreadedComments xmlns="http://schemas.microsoft.com/office/spreadsheetml/2018/threadedcomments" xmlns:x="http://schemas.openxmlformats.org/spreadsheetml/2006/main">
  <threadedComment ref="S4" dT="2019-09-25T15:27:04.02" personId="{00000000-0000-0000-0000-000000000000}" id="{6AFB0C54-9ADF-48DF-9FE5-FC46578FC568}">
    <text>Split between fun + contingency</text>
  </threadedComment>
  <threadedComment ref="H7" dT="2019-09-10T12:05:06.27" personId="{00000000-0000-0000-0000-000000000000}" id="{2ADD1736-3D51-4ACC-81B6-C616096258A9}">
    <text>9.7 = seaweed</text>
  </threadedComment>
  <threadedComment ref="D11" dT="2019-09-25T15:11:22.20" personId="{00000000-0000-0000-0000-000000000000}" id="{600851FF-60D0-4EC0-AFCF-DFCD1731B0DC}">
    <text>Home and Content
Life
Bunny</text>
  </threadedComment>
  <threadedComment ref="E12" dT="2019-08-13T11:51:29.57" personId="{00000000-0000-0000-0000-000000000000}" id="{8C2DAAA6-1753-4FA2-90F4-562B954B1042}">
    <text>£129 = Nectar from Oct / Nov 11th
£78.97 = HTB</text>
  </threadedComment>
  <threadedComment ref="E27" dT="2019-09-25T15:52:16.88" personId="{00000000-0000-0000-0000-000000000000}" id="{477E89A9-932B-4370-A043-A604E9251A68}">
    <text>Less 42 for speed awareness</text>
  </threadedComment>
  <threadedComment ref="F27" dT="2019-09-26T11:59:32.62" personId="{00000000-0000-0000-0000-000000000000}" id="{07E29D52-2AED-4881-A82D-163EC0C80B48}">
    <text>41.5 - companion CR (LDS B) LTD ??????</text>
  </threadedComment>
  <threadedComment ref="F29" dT="2019-10-04T13:53:22.97" personId="{00000000-0000-0000-0000-000000000000}" id="{08276577-4843-402B-A5D7-3611B1902B3B}">
    <text>Roberts smelly</text>
  </threadedComment>
  <threadedComment ref="H29" dT="2019-10-07T15:45:50.15" personId="{00000000-0000-0000-0000-000000000000}" id="{EF0D55DD-F88B-4E07-9208-5F966CEB0271}">
    <text>Unicorn gin - philippa</text>
  </threadedComment>
  <threadedComment ref="E33" dT="2019-09-25T15:18:17.10" personId="{00000000-0000-0000-0000-000000000000}" id="{238BB087-590C-4312-A33D-6BB8F42C4A61}">
    <text>165.34 - On call
154.28 - birthday / cashback
500.00 - holiday
154.00 - 100 for kris, 42 for speed awareness</text>
  </threadedComment>
  <threadedComment ref="D39" dT="2019-06-19T11:52:26.38" personId="{00000000-0000-0000-0000-000000000000}" id="{690B7874-566F-4082-9904-D46822526C95}">
    <text>National trust - £10pm
British gas service - £14.96pm
Account charge - £13pm
Wallet App - £3.99</text>
  </threadedComment>
  <threadedComment ref="C59" dT="2019-09-28T09:59:24.28" personId="{00000000-0000-0000-0000-000000000000}" id="{ECD31809-C20E-4CCC-A161-FA7751AB55A2}">
    <text>Guitar</text>
  </threadedComment>
  <threadedComment ref="F59" dT="2019-09-28T10:00:33.12" personId="{00000000-0000-0000-0000-000000000000}" id="{BDABB738-E817-4C9D-8B95-0B9867BB0D5A}">
    <text>Hol repayment</text>
  </threadedComment>
  <threadedComment ref="C61" dT="2019-10-08T11:22:21.71" personId="{00000000-0000-0000-0000-000000000000}" id="{B915D49B-38C0-43C5-B35A-AA6D007D306C}">
    <text>service money</text>
  </threadedComment>
  <threadedComment ref="F61" dT="2019-09-28T13:46:45.49" personId="{00000000-0000-0000-0000-000000000000}" id="{7FE7E8D4-8C8C-4AB9-B763-E83E4FE0230D}">
    <text>Holiday fund</text>
  </threadedComment>
  <threadedComment ref="C62" dT="2019-10-08T11:22:28.43" personId="{00000000-0000-0000-0000-000000000000}" id="{AD6E5BFA-63A1-4E34-9A24-D78525C5D5AE}">
    <text>service money</text>
  </threadedComment>
</ThreadedComments>
</file>

<file path=xl/threadedComments/threadedComment10.xml><?xml version="1.0" encoding="utf-8"?>
<ThreadedComments xmlns="http://schemas.microsoft.com/office/spreadsheetml/2018/threadedcomments" xmlns:x="http://schemas.openxmlformats.org/spreadsheetml/2006/main">
  <threadedComment ref="S4" dT="2019-09-25T15:27:04.02" personId="{00000000-0000-0000-0000-000000000000}" id="{53A94762-F818-4427-9286-ABB56EA05A79}">
    <text>Split between fun + contingency</text>
  </threadedComment>
  <threadedComment ref="H7" dT="2019-09-10T12:05:06.27" personId="{00000000-0000-0000-0000-000000000000}" id="{46957039-8D01-48F1-BFE6-49B3A60F6BB9}">
    <text>9.7 = seaweed</text>
  </threadedComment>
  <threadedComment ref="D16" dT="2019-09-25T15:11:22.20" personId="{00000000-0000-0000-0000-000000000000}" id="{BFB5D4E7-938F-494D-93A9-C7FB67887A95}">
    <text>Home and Content
Life
Bunny</text>
  </threadedComment>
  <threadedComment ref="E21" dT="2019-08-13T11:51:29.57" personId="{00000000-0000-0000-0000-000000000000}" id="{EFEFC7D8-FA19-4B29-8B0D-A45E6305E5E0}">
    <text>£129 = Nectar from Oct / Nov 11th
£78.97 = HTB</text>
  </threadedComment>
  <threadedComment ref="E36" dT="2019-09-25T15:52:16.88" personId="{00000000-0000-0000-0000-000000000000}" id="{34C564DD-F5FF-421A-8B4A-CC7B32DE37E0}">
    <text>Less 42 for speed awareness</text>
  </threadedComment>
  <threadedComment ref="F36" dT="2019-09-26T11:59:32.62" personId="{00000000-0000-0000-0000-000000000000}" id="{534FE0E4-1CB1-4474-BB98-C253FB80CB80}">
    <text>41.5 - companion CR (LDS B) LTD ??????</text>
  </threadedComment>
  <threadedComment ref="F38" dT="2019-10-04T13:53:22.97" personId="{00000000-0000-0000-0000-000000000000}" id="{445200E0-B6EA-4214-97AB-2A154872B092}">
    <text>Roberts smelly</text>
  </threadedComment>
  <threadedComment ref="H38" dT="2019-10-07T15:45:50.15" personId="{00000000-0000-0000-0000-000000000000}" id="{9B5DEC6E-43C6-4CB0-A01F-4B2FDD173177}">
    <text>Unicorn gin - philippa</text>
  </threadedComment>
  <threadedComment ref="E42" dT="2019-09-25T15:18:17.10" personId="{00000000-0000-0000-0000-000000000000}" id="{FC353AF8-23CE-4FA9-96DC-F557B1137FFC}">
    <text>165.34 - On call
154.28 - birthday / cashback
500.00 - holiday
154.00 - 100 for kris, 42 for speed awareness</text>
  </threadedComment>
  <threadedComment ref="D48" dT="2019-06-19T11:52:26.38" personId="{00000000-0000-0000-0000-000000000000}" id="{B8068CF6-1CBB-47A7-A2EA-083E9B662FA5}">
    <text>National trust - £10pm
British gas service - £14.96pm
Account charge - £13pm
Wallet App - £3.99</text>
  </threadedComment>
  <threadedComment ref="C68" dT="2019-09-28T09:59:24.28" personId="{00000000-0000-0000-0000-000000000000}" id="{412D62E0-9D88-4F7F-BF51-7B89F8223E9F}">
    <text>Guitar</text>
  </threadedComment>
  <threadedComment ref="F68" dT="2019-09-28T10:00:33.12" personId="{00000000-0000-0000-0000-000000000000}" id="{CCBFF5CD-3285-473B-A982-400ACFF15B39}">
    <text>Hol repayment</text>
  </threadedComment>
  <threadedComment ref="C70" dT="2019-10-08T11:22:21.71" personId="{00000000-0000-0000-0000-000000000000}" id="{19ABF7B4-9A1F-47D3-85B3-A120539631DB}">
    <text>service money</text>
  </threadedComment>
  <threadedComment ref="F70" dT="2019-09-28T13:46:45.49" personId="{00000000-0000-0000-0000-000000000000}" id="{F2E6B1DC-5EED-4609-ADC1-3101123AC050}">
    <text>Holiday fund</text>
  </threadedComment>
  <threadedComment ref="C71" dT="2019-10-08T11:22:28.43" personId="{00000000-0000-0000-0000-000000000000}" id="{57959BDF-7346-400D-9C0B-E24145FBAF12}">
    <text>service money</text>
  </threadedComment>
</ThreadedComments>
</file>

<file path=xl/threadedComments/threadedComment11.xml><?xml version="1.0" encoding="utf-8"?>
<ThreadedComments xmlns="http://schemas.microsoft.com/office/spreadsheetml/2018/threadedcomments" xmlns:x="http://schemas.openxmlformats.org/spreadsheetml/2006/main">
  <threadedComment ref="Q4" dT="2019-09-25T15:27:04.02" personId="{00000000-0000-0000-0000-000000000000}" id="{D602C9F4-8D20-3E4A-9680-03DDBF0AC771}">
    <text>Split between fun + contingency</text>
  </threadedComment>
  <threadedComment ref="I6" dT="2019-11-15T13:55:34.39" personId="{00000000-0000-0000-0000-000000000000}" id="{9267D37A-0FBA-4451-A04A-09E0D9DA6DD9}">
    <text>13.2 = carry over from 26.58 fuel spend</text>
  </threadedComment>
  <threadedComment ref="D12" dT="2019-09-25T15:11:22.20" personId="{00000000-0000-0000-0000-000000000000}" id="{256AEA84-DEB8-1C4A-B766-B11F269EE685}">
    <text>Home and Content
Life
Bunny</text>
  </threadedComment>
  <threadedComment ref="D40" dT="2019-06-19T11:52:26.38" personId="{00000000-0000-0000-0000-000000000000}" id="{D81586D8-8094-B94A-A262-E46D7310445C}">
    <text>National trust - £10pm
British gas service - £14.96pm
Account charge - £13pm
Gym - 18pm</text>
  </threadedComment>
</ThreadedComments>
</file>

<file path=xl/threadedComments/threadedComment12.xml><?xml version="1.0" encoding="utf-8"?>
<ThreadedComments xmlns="http://schemas.microsoft.com/office/spreadsheetml/2018/threadedcomments" xmlns:x="http://schemas.openxmlformats.org/spreadsheetml/2006/main">
  <threadedComment ref="D14" dT="2019-09-25T15:11:22.20" personId="{00000000-0000-0000-0000-000000000000}" id="{D0760E23-2DBD-0840-842F-0E51BABD0CA2}">
    <text>Home and Content
Life
Bunny</text>
  </threadedComment>
  <threadedComment ref="D41" dT="2019-06-19T11:52:26.38" personId="{00000000-0000-0000-0000-000000000000}" id="{E2152354-43DB-4E40-AD10-F93F19903173}">
    <text>National trust - £10pm
British gas service - £14.96pm
Account charge - £13pm</text>
  </threadedComment>
</ThreadedComments>
</file>

<file path=xl/threadedComments/threadedComment13.xml><?xml version="1.0" encoding="utf-8"?>
<ThreadedComments xmlns="http://schemas.microsoft.com/office/spreadsheetml/2018/threadedcomments" xmlns:x="http://schemas.openxmlformats.org/spreadsheetml/2006/main">
  <threadedComment ref="R4" dT="2019-09-25T15:27:04.02" personId="{00000000-0000-0000-0000-000000000000}" id="{37A594E8-EE7D-4AAF-A26D-993FC56E310C}">
    <text>Split between fun + contingency</text>
  </threadedComment>
  <threadedComment ref="D12" dT="2019-09-25T15:11:22.20" personId="{00000000-0000-0000-0000-000000000000}" id="{F5A31AFC-5325-44DD-9D25-E3F02DEA7E3D}">
    <text>Home and Content
Life
Bunny</text>
  </threadedComment>
  <threadedComment ref="D38" dT="2019-06-19T11:52:26.38" personId="{00000000-0000-0000-0000-000000000000}" id="{FB81928D-5B11-4B48-90F3-CC6F4CB93CB5}">
    <text>National trust - £10pm
British gas service - £14.96pm
Account charge - £13pm</text>
  </threadedComment>
</ThreadedComments>
</file>

<file path=xl/threadedComments/threadedComment14.xml><?xml version="1.0" encoding="utf-8"?>
<ThreadedComments xmlns="http://schemas.microsoft.com/office/spreadsheetml/2018/threadedcomments" xmlns:x="http://schemas.openxmlformats.org/spreadsheetml/2006/main">
  <threadedComment ref="R4" dT="2019-09-25T15:27:04.02" personId="{00000000-0000-0000-0000-000000000000}" id="{323969F2-73E1-3745-8DEF-2157C5B197DA}">
    <text>Split between fun + contingency</text>
  </threadedComment>
  <threadedComment ref="D12" dT="2019-09-25T15:11:22.20" personId="{00000000-0000-0000-0000-000000000000}" id="{80B306F9-AB91-F647-BDEA-D9D505DFC6AB}">
    <text>Home and Content
Life
Bunny</text>
  </threadedComment>
  <threadedComment ref="D39" dT="2019-06-19T11:52:26.38" personId="{00000000-0000-0000-0000-000000000000}" id="{1E1F2F17-9D1E-7A4D-8B45-3178463C0D6E}">
    <text>National trust - £10pm
British gas service - £14.96pm
Account charge - £13pm</text>
  </threadedComment>
</ThreadedComments>
</file>

<file path=xl/threadedComments/threadedComment15.xml><?xml version="1.0" encoding="utf-8"?>
<ThreadedComments xmlns="http://schemas.microsoft.com/office/spreadsheetml/2018/threadedcomments" xmlns:x="http://schemas.openxmlformats.org/spreadsheetml/2006/main">
  <threadedComment ref="T4" dT="2019-09-25T15:27:04.02" personId="{00000000-0000-0000-0000-000000000000}" id="{81B43E24-1639-FF49-A320-8A297AEF4503}">
    <text>Split between fun + contingency</text>
  </threadedComment>
  <threadedComment ref="D12" dT="2019-09-25T15:11:22.20" personId="{00000000-0000-0000-0000-000000000000}" id="{06798CF8-2512-5744-BBC7-0A7FA7DAF2FD}">
    <text>Home and Content
Life
Bunny</text>
  </threadedComment>
  <threadedComment ref="D38" dT="2019-06-19T11:52:26.38" personId="{00000000-0000-0000-0000-000000000000}" id="{0F1358FC-BCCD-0F4A-8A9D-4F052AA495B2}">
    <text>National trust - £10pm
British gas service - £14.96pm
Account charge - £13pm</text>
  </threadedComment>
</ThreadedComments>
</file>

<file path=xl/threadedComments/threadedComment16.xml><?xml version="1.0" encoding="utf-8"?>
<ThreadedComments xmlns="http://schemas.microsoft.com/office/spreadsheetml/2018/threadedcomments" xmlns:x="http://schemas.openxmlformats.org/spreadsheetml/2006/main">
  <threadedComment ref="T4" dT="2019-09-25T15:27:04.02" personId="{00000000-0000-0000-0000-000000000000}" id="{214566C0-87BC-49FE-ACC1-E97CF5CA5B86}">
    <text>Split between fun + contingency</text>
  </threadedComment>
  <threadedComment ref="D12" dT="2019-09-25T15:11:22.20" personId="{00000000-0000-0000-0000-000000000000}" id="{F1FF561A-B92F-4251-A32D-41D872C96BD3}">
    <text>Home and Content
Life
Bunny</text>
  </threadedComment>
  <threadedComment ref="D35" dT="2019-06-19T11:52:26.38" personId="{00000000-0000-0000-0000-000000000000}" id="{35CF106E-941A-4735-B2A7-70F191D0B4C6}">
    <text>National trust - £10pm
British gas service - £14.96pm
Account charge - £13pm</text>
  </threadedComment>
</ThreadedComments>
</file>

<file path=xl/threadedComments/threadedComment17.xml><?xml version="1.0" encoding="utf-8"?>
<ThreadedComments xmlns="http://schemas.microsoft.com/office/spreadsheetml/2018/threadedcomments" xmlns:x="http://schemas.openxmlformats.org/spreadsheetml/2006/main">
  <threadedComment ref="U4" dT="2019-09-25T15:27:04.02" personId="{00000000-0000-0000-0000-000000000000}" id="{9E4D2E7F-4BCD-4669-8C9D-1E1C44647851}">
    <text>Split between fun + contingency</text>
  </threadedComment>
  <threadedComment ref="D12" dT="2019-09-25T15:11:22.20" personId="{00000000-0000-0000-0000-000000000000}" id="{89F87802-C58A-449D-8B1B-3CDBD3DFCB58}">
    <text>Home and Content
Life
Bunny</text>
  </threadedComment>
  <threadedComment ref="D35" dT="2019-06-19T11:52:26.38" personId="{00000000-0000-0000-0000-000000000000}" id="{04AC358F-2A80-4B9A-A240-879319B441AF}">
    <text>National trust - £10pm
British gas service - £14.96pm
Account charge - £13pm</text>
  </threadedComment>
</ThreadedComments>
</file>

<file path=xl/threadedComments/threadedComment18.xml><?xml version="1.0" encoding="utf-8"?>
<ThreadedComments xmlns="http://schemas.microsoft.com/office/spreadsheetml/2018/threadedcomments" xmlns:x="http://schemas.openxmlformats.org/spreadsheetml/2006/main">
  <threadedComment ref="U4" dT="2019-09-25T15:27:04.02" personId="{00000000-0000-0000-0000-000000000000}" id="{16B54120-5A9A-4D80-9CF3-108907D12406}">
    <text>Split between fun + contingency</text>
  </threadedComment>
  <threadedComment ref="D12" dT="2019-09-25T15:11:22.20" personId="{00000000-0000-0000-0000-000000000000}" id="{4860B701-A3EF-491E-9F28-EBA0FADB626C}">
    <text>Home and Content
Life
Bunny</text>
  </threadedComment>
  <threadedComment ref="D35" dT="2019-06-19T11:52:26.38" personId="{00000000-0000-0000-0000-000000000000}" id="{2314B7E0-0BCF-42CE-937C-2F063623EA20}">
    <text>National trust - £10pm
British gas service - £14.96pm
Account charge - £13pm</text>
  </threadedComment>
</ThreadedComments>
</file>

<file path=xl/threadedComments/threadedComment19.xml><?xml version="1.0" encoding="utf-8"?>
<ThreadedComments xmlns="http://schemas.microsoft.com/office/spreadsheetml/2018/threadedcomments" xmlns:x="http://schemas.openxmlformats.org/spreadsheetml/2006/main">
  <threadedComment ref="U4" dT="2019-09-25T15:27:04.02" personId="{00000000-0000-0000-0000-000000000000}" id="{5D8F1292-B49C-BD49-9B61-AE32FA71530E}">
    <text>Split between fun + contingency</text>
  </threadedComment>
  <threadedComment ref="D12" dT="2019-09-25T15:11:22.20" personId="{00000000-0000-0000-0000-000000000000}" id="{6E3DB9DE-1220-C046-916F-DC7258598C19}">
    <text>Home and Content
Life
Bunny</text>
  </threadedComment>
  <threadedComment ref="F22" dT="2020-06-26T11:26:47.02" personId="{00000000-0000-0000-0000-000000000000}" id="{981FD38C-0506-6C40-8428-F777BB0A250F}">
    <text>AMEX CB</text>
  </threadedComment>
  <threadedComment ref="K22" dT="2020-07-18T22:04:09.07" personId="{00000000-0000-0000-0000-000000000000}" id="{3C34D179-2199-624E-9B0E-14247BFD1FE6}">
    <text>Wedding photographer</text>
  </threadedComment>
  <threadedComment ref="L22" dT="2020-07-13T09:59:39.01" personId="{00000000-0000-0000-0000-000000000000}" id="{460851EE-A230-463A-9E30-D45584561414}">
    <text>Remaining hutch money / printer</text>
  </threadedComment>
  <threadedComment ref="M22" dT="2020-07-18T22:04:25.75" personId="{00000000-0000-0000-0000-000000000000}" id="{A14B929A-B5CF-7641-8632-B84973BF0A0B}">
    <text>Standing order</text>
  </threadedComment>
  <threadedComment ref="N22" dT="2020-07-18T22:03:40.07" personId="{00000000-0000-0000-0000-000000000000}" id="{E7D8CFDB-83D3-BA4C-BF4D-6D3AAEBAEB8A}">
    <text>Printer + officiant</text>
  </threadedComment>
  <threadedComment ref="D35" dT="2019-06-19T11:52:26.38" personId="{00000000-0000-0000-0000-000000000000}" id="{414EAAA7-9367-8B4E-B1A3-0ECFDBED6588}">
    <text>National trust - £10pm
British gas service - £14.96pm
Account charge - £13pm</text>
  </threadedComment>
</ThreadedComments>
</file>

<file path=xl/threadedComments/threadedComment20.xml><?xml version="1.0" encoding="utf-8"?>
<ThreadedComments xmlns="http://schemas.microsoft.com/office/spreadsheetml/2018/threadedcomments" xmlns:x="http://schemas.openxmlformats.org/spreadsheetml/2006/main">
  <threadedComment ref="V4" dT="2019-09-25T15:27:04.02" personId="{00000000-0000-0000-0000-000000000000}" id="{88329178-3AB2-4CC1-BD0A-68B932E6A4A1}">
    <text>Split between fun + contingency</text>
  </threadedComment>
  <threadedComment ref="D13" dT="2019-09-25T15:11:22.20" personId="{00000000-0000-0000-0000-000000000000}" id="{07A57857-250D-402A-B305-C6668FE2F3A5}">
    <text>Home and Content
Life
Bunny</text>
  </threadedComment>
  <threadedComment ref="F32" dT="2020-07-24T09:54:37.55" personId="{00000000-0000-0000-0000-000000000000}" id="{765B11A5-DC2A-4916-8797-BC003BB8E954}">
    <text>£100 Hutch CC
£85 Printer
£42.67 Officiant
£478.98 Photographer</text>
  </threadedComment>
  <threadedComment ref="L32" dT="2020-07-13T09:59:39.01" personId="{00000000-0000-0000-0000-000000000000}" id="{C3B40A6F-9CC7-49E7-A94A-68FC949CFBDC}">
    <text>Remaining hutch money / printer</text>
  </threadedComment>
  <threadedComment ref="D38" dT="2019-06-19T11:52:26.38" personId="{00000000-0000-0000-0000-000000000000}" id="{7E498EF2-9000-4A6E-9E2D-2906D03F3A58}">
    <text>National trust - £10pm
British gas service - £14.96pm
Account charge - £13pm</text>
  </threadedComment>
</ThreadedComments>
</file>

<file path=xl/threadedComments/threadedComment21.xml><?xml version="1.0" encoding="utf-8"?>
<ThreadedComments xmlns="http://schemas.microsoft.com/office/spreadsheetml/2018/threadedcomments" xmlns:x="http://schemas.openxmlformats.org/spreadsheetml/2006/main">
  <threadedComment ref="U4" dT="2019-09-25T15:27:04.02" personId="{00000000-0000-0000-0000-000000000000}" id="{4067693F-093B-4F2A-AB85-32C276AD41CD}">
    <text>Split between fun + contingency</text>
  </threadedComment>
  <threadedComment ref="D14" dT="2019-09-25T15:11:22.20" personId="{00000000-0000-0000-0000-000000000000}" id="{DC1BF3CD-3C9F-4FEC-873A-58945F5DF3BB}">
    <text>Home and Content
Life
Bunny</text>
  </threadedComment>
  <threadedComment ref="F32" dT="2020-09-03T10:56:16.60" personId="{00000000-0000-0000-0000-000000000000}" id="{3E035F85-99A8-9145-B31A-CC026B437A61}">
    <text>50 - Car SVC
40 - FB - Il Forno</text>
  </threadedComment>
  <threadedComment ref="D38" dT="2019-06-19T11:52:26.38" personId="{00000000-0000-0000-0000-000000000000}" id="{9528DFFD-E1E8-4793-A344-6BF27D27D757}">
    <text>National trust - £10pm
British gas service - £14.96pm
Account charge - £13pm</text>
  </threadedComment>
</ThreadedComments>
</file>

<file path=xl/threadedComments/threadedComment22.xml><?xml version="1.0" encoding="utf-8"?>
<ThreadedComments xmlns="http://schemas.microsoft.com/office/spreadsheetml/2018/threadedcomments" xmlns:x="http://schemas.openxmlformats.org/spreadsheetml/2006/main">
  <threadedComment ref="U4" dT="2019-09-25T15:27:04.02" personId="{00000000-0000-0000-0000-000000000000}" id="{81629A6E-7EE6-874E-B6B4-B4B4033864D5}">
    <text>Split between fun + contingency</text>
  </threadedComment>
  <threadedComment ref="D14" dT="2019-09-25T15:11:22.20" personId="{00000000-0000-0000-0000-000000000000}" id="{763B7B2C-21D1-964E-BCD4-3D8ACE6225F4}">
    <text>Home and Content
Life
Bunny</text>
  </threadedComment>
  <threadedComment ref="L24" dT="2020-10-18T10:35:36.34" personId="{00000000-0000-0000-0000-000000000000}" id="{0939F1BC-D5EC-48DE-BCC1-43B811ABF6D5}">
    <text>Jump leads from Aldi shop</text>
  </threadedComment>
  <threadedComment ref="J33" dT="2020-10-13T15:44:07.43" personId="{00000000-0000-0000-0000-000000000000}" id="{A3A85597-C2AB-4382-9B1D-96F1AB7FE26C}">
    <text>13.6 = Christmas Cards</text>
  </threadedComment>
  <threadedComment ref="L33" dT="2020-10-13T15:43:56.49" personId="{00000000-0000-0000-0000-000000000000}" id="{5C3301A6-17E4-416A-9BB7-BF5FB0660773}">
    <text>18.99 - Oscar</text>
  </threadedComment>
  <threadedComment ref="D38" dT="2019-06-19T11:52:26.38" personId="{00000000-0000-0000-0000-000000000000}" id="{BBC42CD3-0761-2547-80FF-6BC38B9552F4}">
    <text>National trust - £10pm
British gas service - £14.96pm
Account charge - £13pm</text>
  </threadedComment>
</ThreadedComments>
</file>

<file path=xl/threadedComments/threadedComment23.xml><?xml version="1.0" encoding="utf-8"?>
<ThreadedComments xmlns="http://schemas.microsoft.com/office/spreadsheetml/2018/threadedcomments" xmlns:x="http://schemas.openxmlformats.org/spreadsheetml/2006/main">
  <threadedComment ref="D14" dT="2019-09-25T15:11:22.20" personId="{00000000-0000-0000-0000-000000000000}" id="{62B1CF2C-10D9-4CCD-B7CD-20174B56AA70}">
    <text>Home and Content
Life
Bunny</text>
  </threadedComment>
  <threadedComment ref="J32" dT="2020-11-04T21:58:32.15" personId="{00000000-0000-0000-0000-000000000000}" id="{775A5D7C-8E76-4AF5-B098-0CE38DA133FB}">
    <text>Ryan air latvia</text>
  </threadedComment>
  <threadedComment ref="M32" dT="2020-12-08T21:34:20.14" personId="{00000000-0000-0000-0000-000000000000}" id="{71D3DDED-47BA-3F42-AA93-AE89CF8D841B}">
    <text>Boob deposit</text>
  </threadedComment>
  <threadedComment ref="G34" dT="2020-10-30T22:12:11.21" personId="{00000000-0000-0000-0000-000000000000}" id="{AE355C09-3407-D94E-B496-093764D8B361}">
    <text>Upfront tax, will pay 15 back in each month</text>
  </threadedComment>
  <threadedComment ref="H34" dT="2020-11-23T15:55:11.58" personId="{00000000-0000-0000-0000-000000000000}" id="{0887A89E-1A16-472B-B033-B7FC88E6A894}">
    <text>Lotus Hotel Reservation</text>
  </threadedComment>
  <threadedComment ref="N34" dT="2020-11-23T15:44:16.68" personId="{00000000-0000-0000-0000-000000000000}" id="{E8B5229D-0479-4D0B-B577-4790B1FF7ED2}">
    <text>Tesco shopping, adding back from:
78.66 from fun
21.08 from petrol
6.31 from food
38.38 from cheque
25 from natwest rewards
1.75 from cont</text>
  </threadedComment>
  <threadedComment ref="D38" dT="2019-06-19T11:52:26.38" personId="{00000000-0000-0000-0000-000000000000}" id="{326AE8DA-B4EB-469A-AD37-A62767A83F6A}">
    <text>National trust - £10pm
British gas service - £14.96pm
Account charge - £13pm</text>
  </threadedComment>
</ThreadedComments>
</file>

<file path=xl/threadedComments/threadedComment24.xml><?xml version="1.0" encoding="utf-8"?>
<ThreadedComments xmlns="http://schemas.microsoft.com/office/spreadsheetml/2018/threadedcomments" xmlns:x="http://schemas.openxmlformats.org/spreadsheetml/2006/main">
  <threadedComment ref="U4" dT="2019-09-25T15:27:04.02" personId="{00000000-0000-0000-0000-000000000000}" id="{A4DB9983-3BDB-4AE1-9C0B-011DA4BABB2E}">
    <text>Split between fun + contingency</text>
  </threadedComment>
  <threadedComment ref="D14" dT="2019-09-25T15:11:22.20" personId="{00000000-0000-0000-0000-000000000000}" id="{BF63D9E3-4EF9-4563-9568-47DA2223EE5B}">
    <text>Home and Content
Life
Bunny</text>
  </threadedComment>
  <threadedComment ref="L33" dT="2020-12-14T13:55:59.93" personId="{00000000-0000-0000-0000-000000000000}" id="{1544B9CD-073A-47E4-B03A-0DB006A73E14}">
    <text>Extra ryan air charges</text>
  </threadedComment>
  <threadedComment ref="M34" dT="2020-12-17T15:21:15.74" personId="{00000000-0000-0000-0000-000000000000}" id="{144DEE7A-2A98-46E2-8230-64C67A1A1D93}">
    <text>Super drug
Passport</text>
  </threadedComment>
  <threadedComment ref="L35" dT="2020-12-14T13:55:44.66" personId="{00000000-0000-0000-0000-000000000000}" id="{F019A4D1-92A0-4C9F-957E-C3B94CB4C276}">
    <text>Glasses for us, mum will re-pay</text>
  </threadedComment>
  <threadedComment ref="M35" dT="2020-12-14T16:03:57.21" personId="{00000000-0000-0000-0000-000000000000}" id="{6A0A020D-3ED9-474A-966E-FCE054E15BEB}">
    <text>Earrings for Mon - oliver Bonas</text>
  </threadedComment>
  <threadedComment ref="M35" dT="2020-12-17T15:22:18.46" personId="{00000000-0000-0000-0000-000000000000}" id="{88DF6555-C170-4E12-8F56-8E22542E8FBA}" parentId="{6A0A020D-3ED9-474A-966E-FCE054E15BEB}">
    <text>11 = postage Lena</text>
  </threadedComment>
  <threadedComment ref="E36" dT="2020-11-29T19:25:14.14" personId="{00000000-0000-0000-0000-000000000000}" id="{ECE1FA67-D0F0-5D40-B5F4-B48497C61C7E}">
    <text>138.64 work expenses</text>
  </threadedComment>
  <threadedComment ref="F36" dT="2020-11-29T20:52:05.04" personId="{00000000-0000-0000-0000-000000000000}" id="{6D888E88-57C1-454A-ADA7-24F0184820AD}">
    <text>485 in jar
161.67 coming back in work expense, all to pay into wedding
61.67 transfered to latvia hotel - to be repaid when expenses are resolved
50 transfered to gifts - to be repaid when expenses are resolved
26.4 transfered to fun - to be repaid when expenses are resolved</text>
  </threadedComment>
  <threadedComment ref="F36" dT="2020-12-17T16:48:39.49" personId="{00000000-0000-0000-0000-000000000000}" id="{683DFC77-1B02-4AE8-B506-A590B7444DCE}" parentId="{6D888E88-57C1-454A-ADA7-24F0184820AD}">
    <text>180 taken from wedding jar, deducted from digital GF and added here</text>
  </threadedComment>
  <threadedComment ref="F36" dT="2020-12-17T16:48:50.56" personId="{00000000-0000-0000-0000-000000000000}" id="{AFB745DA-2796-4885-B0CF-4B74D0B3FFE0}" parentId="{6D888E88-57C1-454A-ADA7-24F0184820AD}">
    <text>90 taken from wedding jar, deducted from digital GF and added here</text>
  </threadedComment>
  <threadedComment ref="F36" dT="2020-12-17T20:31:53.72" personId="{00000000-0000-0000-0000-000000000000}" id="{5E84F100-401B-6C45-A6DE-D15D327C874B}" parentId="{6D888E88-57C1-454A-ADA7-24F0184820AD}">
    <text>25 taken from wedding jar, deducted from digital GF and added here</text>
  </threadedComment>
  <threadedComment ref="L36" dT="2020-12-14T13:55:05.67" personId="{00000000-0000-0000-0000-000000000000}" id="{47C259D5-F4D4-4AA5-B25D-E3163E628B18}">
    <text>LookFantastic - Kris will  re-pay next month</text>
  </threadedComment>
  <threadedComment ref="N36" dT="2020-12-14T14:06:23.47" personId="{00000000-0000-0000-0000-000000000000}" id="{BF041EC4-36E2-430A-AAE7-D6C7D28E9C60}">
    <text>Dress deposit</text>
  </threadedComment>
  <threadedComment ref="D40" dT="2019-06-19T11:52:26.38" personId="{00000000-0000-0000-0000-000000000000}" id="{D7BD4535-8023-464B-A9E9-078669B99A55}">
    <text>National trust - £10pm
British gas service - £14.96pm
Account charge - £13pm</text>
  </threadedComment>
</ThreadedComments>
</file>

<file path=xl/threadedComments/threadedComment25.xml><?xml version="1.0" encoding="utf-8"?>
<ThreadedComments xmlns="http://schemas.microsoft.com/office/spreadsheetml/2018/threadedcomments" xmlns:x="http://schemas.openxmlformats.org/spreadsheetml/2006/main">
  <threadedComment ref="U4" dT="2019-09-25T15:27:04.02" personId="{00000000-0000-0000-0000-000000000000}" id="{559E070D-2C66-3649-B910-7985479FADD4}">
    <text>Split between fun + contingency</text>
  </threadedComment>
  <threadedComment ref="D14" dT="2019-09-25T15:11:22.20" personId="{00000000-0000-0000-0000-000000000000}" id="{33D62FC6-BF94-1540-B77A-87498278499A}">
    <text>Home and Content
Life
Bunny</text>
  </threadedComment>
  <threadedComment ref="H33" dT="2021-01-08T20:50:16.85" personId="{00000000-0000-0000-0000-000000000000}" id="{C6C795AA-FDBF-4A55-816F-7594652A12EA}">
    <text>Jan 1st flight (due refund)</text>
  </threadedComment>
  <threadedComment ref="I33" dT="2021-01-08T20:50:06.52" personId="{00000000-0000-0000-0000-000000000000}" id="{D5CFBB6E-3BFE-4D36-8DBF-58423A5E0ECC}">
    <text>Euro exchange
Primark</text>
  </threadedComment>
  <threadedComment ref="J33" dT="2021-01-08T20:50:50.19" personId="{00000000-0000-0000-0000-000000000000}" id="{678CE78C-BA39-48C7-9E60-4E1818144CF6}">
    <text>Jan 8th flight
WIreless earphones, adapter etc</text>
  </threadedComment>
  <threadedComment ref="K33" dT="2021-01-13T09:50:29.74" personId="{00000000-0000-0000-0000-000000000000}" id="{5063FE43-02E8-469C-9EC1-DEFF168DACCA}">
    <text>Parking</text>
  </threadedComment>
  <threadedComment ref="L33" dT="2021-01-08T20:51:02.92" personId="{00000000-0000-0000-0000-000000000000}" id="{78C3395B-519F-4F88-891D-8A2875ADBED7}">
    <text>Bin, office equipment
Ryan air refund</text>
  </threadedComment>
  <threadedComment ref="N35" dT="2021-01-22T13:21:29.83" personId="{00000000-0000-0000-0000-000000000000}" id="{5FEC59A0-3CEF-40E8-B1A5-A663FBDA7F68}">
    <text>Flowers for Grandad</text>
  </threadedComment>
  <threadedComment ref="F36" dT="2020-12-27T14:10:39.27" personId="{00000000-0000-0000-0000-000000000000}" id="{61DC91F2-E2E5-CA45-A4A2-72442D78DA72}">
    <text>-50 - added 50 to jar</text>
  </threadedComment>
  <threadedComment ref="F36" dT="2020-12-27T14:38:52.71" personId="{00000000-0000-0000-0000-000000000000}" id="{6837B6C8-A535-144D-A704-B9B521B5DAB6}" parentId="{61DC91F2-E2E5-CA45-A4A2-72442D78DA72}">
    <text>415 in jar</text>
  </threadedComment>
  <threadedComment ref="F36" dT="2020-12-27T15:13:53.18" personId="{00000000-0000-0000-0000-000000000000}" id="{71A63FBC-CA9F-BF4F-8B12-7711A54FC62C}" parentId="{61DC91F2-E2E5-CA45-A4A2-72442D78DA72}">
    <text>505 due back from expenses - now returned</text>
  </threadedComment>
  <threadedComment ref="F36" dT="2021-01-22T20:23:01.00" personId="{00000000-0000-0000-0000-000000000000}" id="{B9A61036-5E7F-4947-8358-2B020BD4D172}" parentId="{61DC91F2-E2E5-CA45-A4A2-72442D78DA72}">
    <text>40 deducted from digital balance, added 40 cash to jar from Grandma</text>
  </threadedComment>
  <threadedComment ref="D40" dT="2019-06-19T11:52:26.38" personId="{00000000-0000-0000-0000-000000000000}" id="{CD8C73A7-BAF3-1948-8887-DE6B4B0E329D}">
    <text>National trust - £10pm
British gas service - £14.96pm
Account charge - £13pm</text>
  </threadedComment>
  <threadedComment ref="F43" dT="2021-01-02T03:36:09.98" personId="{00000000-0000-0000-0000-000000000000}" id="{91E1A081-5134-45BE-90D7-BC5B7AC175D8}">
    <text>50 due back from returns</text>
  </threadedComment>
</ThreadedComments>
</file>

<file path=xl/threadedComments/threadedComment26.xml><?xml version="1.0" encoding="utf-8"?>
<ThreadedComments xmlns="http://schemas.microsoft.com/office/spreadsheetml/2018/threadedcomments" xmlns:x="http://schemas.openxmlformats.org/spreadsheetml/2006/main">
  <threadedComment ref="U4" dT="2019-09-25T15:27:04.02" personId="{00000000-0000-0000-0000-000000000000}" id="{09C9E249-DDDE-DA40-8BDC-D329B39F218E}">
    <text>Split between fun + contingency</text>
  </threadedComment>
  <threadedComment ref="G7" dT="2021-02-12T21:00:16.17" personId="{00000000-0000-0000-0000-000000000000}" id="{9A4F6B1F-4E80-A744-A8E2-3BEB1EE8D094}">
    <text>Part of 130 transfer to kris</text>
  </threadedComment>
  <threadedComment ref="D14" dT="2019-09-25T15:11:22.20" personId="{00000000-0000-0000-0000-000000000000}" id="{1BE9267A-3A08-CA41-8D6B-77DECC46B57C}">
    <text>Home and Content
Life
Bunny</text>
  </threadedComment>
  <threadedComment ref="G20" dT="2021-01-26T12:30:55.97" personId="{00000000-0000-0000-0000-000000000000}" id="{5D7EF8D1-573D-8A48-BA86-CEE2330E763D}">
    <text>Sainsburys Settlement</text>
  </threadedComment>
  <threadedComment ref="G27" dT="2021-01-26T12:30:44.65" personId="{00000000-0000-0000-0000-000000000000}" id="{668D8DC2-6C83-8442-8360-AC8F5E5CCEF3}">
    <text>Sainsburys Settlement</text>
  </threadedComment>
  <threadedComment ref="I36" dT="2021-02-12T21:01:29.44" personId="{00000000-0000-0000-0000-000000000000}" id="{F324F549-6505-E248-8DC6-15B924585440}">
    <text>Part of 130 transferred to kris</text>
  </threadedComment>
  <threadedComment ref="I36" dT="2021-02-12T21:14:22.25" personId="{00000000-0000-0000-0000-000000000000}" id="{65112BF6-FDAC-054B-8F1A-7747029F33BC}" parentId="{F324F549-6505-E248-8DC6-15B924585440}">
    <text>100 for K grandma</text>
  </threadedComment>
  <threadedComment ref="K36" dT="2021-02-12T21:14:41.09" personId="{00000000-0000-0000-0000-000000000000}" id="{25061491-4AF0-CA4F-9D0B-0A0A8ADDB16A}">
    <text>Wills birthday</text>
  </threadedComment>
  <threadedComment ref="L36" dT="2021-02-12T21:14:50.62" personId="{00000000-0000-0000-0000-000000000000}" id="{ED42B957-0764-B34D-B57C-39A063452ECA}">
    <text>Kris welcome home</text>
  </threadedComment>
  <threadedComment ref="M36" dT="2021-02-25T09:51:33.03" personId="{00000000-0000-0000-0000-000000000000}" id="{1E5646EE-370C-485C-BE9F-1168AFD1D234}">
    <text>Julian leaving</text>
  </threadedComment>
  <threadedComment ref="E37" dT="2021-01-26T12:19:01.21" personId="{00000000-0000-0000-0000-000000000000}" id="{B9F87DC5-67AF-C142-B68F-9EDC9FF487AB}">
    <text>361.15 expenses</text>
  </threadedComment>
  <threadedComment ref="F37" dT="2021-01-26T12:03:46.49" personId="{00000000-0000-0000-0000-000000000000}" id="{86746D2A-952B-7D45-9F12-6E6FB81D748B}">
    <text>0 in jar
55 due back from expenses
100 due back from expenses</text>
  </threadedComment>
  <threadedComment ref="G37" dT="2021-01-26T12:32:13.95" personId="{00000000-0000-0000-0000-000000000000}" id="{F7717FFC-CD1E-B246-8652-D0A9B59EA682}">
    <text>Sainsburys settlement - will repay back in until May 329.97</text>
  </threadedComment>
  <threadedComment ref="I37" dT="2021-02-12T21:13:20.80" personId="{00000000-0000-0000-0000-000000000000}" id="{A8916840-1801-7045-A35F-E0B685E04755}">
    <text>Inesa to repay</text>
  </threadedComment>
  <threadedComment ref="D41" dT="2019-06-19T11:52:26.38" personId="{00000000-0000-0000-0000-000000000000}" id="{C30E96BA-BBC6-2B4F-9D7F-15A82ADE8DC4}">
    <text>National trust - £10pm
British gas service - £14.96pm
Account charge - £13pm</text>
  </threadedComment>
  <threadedComment ref="I42" dT="2021-02-12T21:13:58.14" personId="{00000000-0000-0000-0000-000000000000}" id="{38E5DF5E-8537-3747-93AD-0F44BF4ACAC0}">
    <text>Tanya gift</text>
  </threadedComment>
  <threadedComment ref="I44" dT="2021-02-12T21:01:39.95" personId="{00000000-0000-0000-0000-000000000000}" id="{88F277E1-881C-C640-9304-6DC0C6DA5E76}">
    <text>Part of 130 transferred to kris</text>
  </threadedComment>
</ThreadedComments>
</file>

<file path=xl/threadedComments/threadedComment27.xml><?xml version="1.0" encoding="utf-8"?>
<ThreadedComments xmlns="http://schemas.microsoft.com/office/spreadsheetml/2018/threadedcomments" xmlns:x="http://schemas.openxmlformats.org/spreadsheetml/2006/main">
  <threadedComment ref="U4" dT="2019-09-25T15:27:04.02" personId="{00000000-0000-0000-0000-000000000000}" id="{14DB7410-DD57-9B45-A1BD-E1E97C69DAB1}">
    <text>Split between fun + contingency</text>
  </threadedComment>
  <threadedComment ref="D14" dT="2019-09-25T15:11:22.20" personId="{00000000-0000-0000-0000-000000000000}" id="{237C1C4D-1673-6D40-B8EF-0C9FE439E116}">
    <text>Home and Content
Life
Bunny</text>
  </threadedComment>
  <threadedComment ref="M24" dT="2021-03-24T10:26:45.43" personId="{00000000-0000-0000-0000-000000000000}" id="{EC0D82B2-8EC5-48AC-B930-97BC7D7AF9FF}">
    <text>windows, changing SO to avoid double payments</text>
  </threadedComment>
  <threadedComment ref="J36" dT="2021-03-15T13:49:21.07" personId="{00000000-0000-0000-0000-000000000000}" id="{9CC8D8A1-D1CF-4ECF-83EF-7A087F88474B}">
    <text>Jordan</text>
  </threadedComment>
  <threadedComment ref="J37" dT="2021-03-15T13:48:04.67" personId="{00000000-0000-0000-0000-000000000000}" id="{32FC9152-EB1D-4FBB-B0CC-BEFBE80BB364}">
    <text>Mower + Strimmer, will repay monthly
Eufy - kris bonus</text>
  </threadedComment>
  <threadedComment ref="O37" dT="2021-03-24T10:33:22.66" personId="{00000000-0000-0000-0000-000000000000}" id="{4395E7E3-F17E-460C-998D-5541ED58140A}">
    <text>Minus work expenses, when expenses are paid put money back into here</text>
  </threadedComment>
  <threadedComment ref="D41" dT="2019-06-19T11:52:26.38" personId="{00000000-0000-0000-0000-000000000000}" id="{3D2D020D-9A59-4D41-BD4A-8A913C55568D}">
    <text>National trust - £10pm
British gas service - £14.96pm
Account charge - £13pm</text>
  </threadedComment>
  <threadedComment ref="H42" dT="2021-02-25T10:15:11.68" personId="{00000000-0000-0000-0000-000000000000}" id="{1A76E82B-6F31-49D6-A1A7-905012A14614}">
    <text>Beer 52</text>
  </threadedComment>
  <threadedComment ref="M43" dT="2021-03-24T10:33:48.26" personId="{00000000-0000-0000-0000-000000000000}" id="{C1335712-CC94-41D4-AE81-1DDA075CA260}">
    <text>Wavertree</text>
  </threadedComment>
</ThreadedComments>
</file>

<file path=xl/threadedComments/threadedComment28.xml><?xml version="1.0" encoding="utf-8"?>
<ThreadedComments xmlns="http://schemas.microsoft.com/office/spreadsheetml/2018/threadedcomments" xmlns:x="http://schemas.openxmlformats.org/spreadsheetml/2006/main">
  <threadedComment ref="U4" dT="2019-09-25T15:27:04.02" personId="{00000000-0000-0000-0000-000000000000}" id="{BC2A9301-CD81-4AD3-9A12-2D6F436EC702}">
    <text>Split between fun + contingency</text>
  </threadedComment>
  <threadedComment ref="D14" dT="2019-09-25T15:11:22.20" personId="{00000000-0000-0000-0000-000000000000}" id="{83801834-A41A-4736-B930-6A06C90C169E}">
    <text>Home and Content
Life
Bunny</text>
  </threadedComment>
  <threadedComment ref="G35" dT="2021-03-29T22:30:15.13" personId="{00000000-0000-0000-0000-000000000000}" id="{3A4FF5B9-554C-7B4C-BFEB-BF9F4B1E4207}">
    <text>Tania</text>
  </threadedComment>
  <threadedComment ref="H35" dT="2021-04-05T20:10:16.28" personId="{00000000-0000-0000-0000-000000000000}" id="{D4005FE1-DB23-442F-BC31-A94859A760DB}">
    <text>anniv comp</text>
  </threadedComment>
  <threadedComment ref="F36" dT="2021-03-29T23:12:33.32" personId="{00000000-0000-0000-0000-000000000000}" id="{2637E0EA-4639-0141-BEBF-EDEFE3A6CBBB}">
    <text>+25 for 200 lawnmower in Feb-Mar</text>
  </threadedComment>
  <threadedComment ref="J36" dT="2021-04-05T20:16:37.74" personId="{00000000-0000-0000-0000-000000000000}" id="{C6AB7E63-0EB4-43AF-8F23-0D5C060D2F59}">
    <text>Kris to repay</text>
  </threadedComment>
  <threadedComment ref="D37" dT="2019-06-19T11:52:26.38" personId="{00000000-0000-0000-0000-000000000000}" id="{D209D75C-D75D-4980-AD79-95353CA922F4}">
    <text>National trust - £10pm
British gas service - £14.96pm
Account charge - £13pm</text>
  </threadedComment>
</ThreadedComments>
</file>

<file path=xl/threadedComments/threadedComment29.xml><?xml version="1.0" encoding="utf-8"?>
<ThreadedComments xmlns="http://schemas.microsoft.com/office/spreadsheetml/2018/threadedcomments" xmlns:x="http://schemas.openxmlformats.org/spreadsheetml/2006/main">
  <threadedComment ref="U4" dT="2019-09-25T15:27:04.02" personId="{00000000-0000-0000-0000-000000000000}" id="{0F448E20-F0E5-4095-A60B-C4F7820E3787}">
    <text>Split between fun + contingency</text>
  </threadedComment>
  <threadedComment ref="F7" dT="2021-04-23T10:45:41.02" personId="{00000000-0000-0000-0000-000000000000}" id="{50847C0E-A62B-4625-A76C-2E676CF353DC}">
    <text>Took 20 from wedding to farm shop</text>
  </threadedComment>
  <threadedComment ref="D14" dT="2019-09-25T15:11:22.20" personId="{00000000-0000-0000-0000-000000000000}" id="{FC9F5DA2-E3A5-4E99-BAAC-D1E5E8AB5040}">
    <text>Home and Content
Life
Bunny</text>
  </threadedComment>
  <threadedComment ref="L24" dT="2021-05-12T09:31:35.55" personId="{00000000-0000-0000-0000-000000000000}" id="{5982A022-6C5A-4D73-93F6-09751E7E6A4A}">
    <text>amz rfd</text>
  </threadedComment>
  <threadedComment ref="M24" dT="2021-05-17T15:56:22.72" personId="{00000000-0000-0000-0000-000000000000}" id="{BA8700D4-A433-43EC-AECA-4CCDD677A6C6}">
    <text>H&amp;M cushions to return</text>
  </threadedComment>
  <threadedComment ref="G25" dT="2021-05-03T14:55:15.77" personId="{00000000-0000-0000-0000-000000000000}" id="{BB7151E2-132C-9844-BBAB-14548D2E5A1E}">
    <text>Vets</text>
  </threadedComment>
  <threadedComment ref="F34" dT="2021-04-23T10:30:02.81" personId="{00000000-0000-0000-0000-000000000000}" id="{F707B466-1607-4E21-AC30-A0B9DE1CC5BD}">
    <text>+50 for parents aniv gift</text>
  </threadedComment>
  <threadedComment ref="F35" dT="2021-03-29T23:12:33.32" personId="{00000000-0000-0000-0000-000000000000}" id="{C3D62D6F-FEA5-4FDE-B2CF-E389AEDC32D7}">
    <text>+50 for 200 lawnmower in Feb-Mar (125 remaining)
300 in cash jar</text>
  </threadedComment>
  <threadedComment ref="D36" dT="2019-06-19T11:52:26.38" personId="{00000000-0000-0000-0000-000000000000}" id="{B61DDD50-204F-4436-852D-526FC0A3BF6E}">
    <text>National trust - £10pm
Account charge - £13pm
NetFlix - 5.99
NowTV - 5.99
Disney - 5.99
Xbox - 10.99
Haircut - 15</text>
  </threadedComment>
</ThreadedComments>
</file>

<file path=xl/threadedComments/threadedComment30.xml><?xml version="1.0" encoding="utf-8"?>
<ThreadedComments xmlns="http://schemas.microsoft.com/office/spreadsheetml/2018/threadedcomments" xmlns:x="http://schemas.openxmlformats.org/spreadsheetml/2006/main">
  <threadedComment ref="U4" dT="2019-09-25T15:27:04.02" personId="{00000000-0000-0000-0000-000000000000}" id="{3A670EF0-F4A5-42AC-9A47-60F16994581A}">
    <text>Split between fun + contingency</text>
  </threadedComment>
  <threadedComment ref="D15" dT="2019-09-25T15:11:22.20" personId="{00000000-0000-0000-0000-000000000000}" id="{4FFDABB3-84E5-4F12-9F1C-A5EAC11AB845}">
    <text>Home and Content
Life
Bunny</text>
  </threadedComment>
  <threadedComment ref="G25" dT="2021-06-01T10:12:38.76" personId="{00000000-0000-0000-0000-000000000000}" id="{C52D2A03-4D14-B14D-9ED8-C5E2DB78C875}">
    <text>Vets for shits</text>
  </threadedComment>
  <threadedComment ref="J33" dT="2021-06-06T19:13:27.98" personId="{00000000-0000-0000-0000-000000000000}" id="{AB570E16-23DC-C348-B698-E8C625D2F4D7}">
    <text>Prime</text>
  </threadedComment>
  <threadedComment ref="F36" dT="2021-03-29T23:12:33.32" personId="{00000000-0000-0000-0000-000000000000}" id="{B9CCD5F0-BAD1-4891-B7E5-03D180ACE5E9}">
    <text>140 in cash jar</text>
  </threadedComment>
  <threadedComment ref="D37" dT="2019-06-19T11:52:26.38" personId="{00000000-0000-0000-0000-000000000000}" id="{6F27D67A-E202-4592-8406-F0FD60DB8145}">
    <text>National trust - £10pm
Account charge - £13pm
NetFlix - 5.99
NowTV - 5.99
Disney - 5.99
Xbox - 10.99
Haircut - 15</text>
  </threadedComment>
</ThreadedComments>
</file>

<file path=xl/threadedComments/threadedComment31.xml><?xml version="1.0" encoding="utf-8"?>
<ThreadedComments xmlns="http://schemas.microsoft.com/office/spreadsheetml/2018/threadedcomments" xmlns:x="http://schemas.openxmlformats.org/spreadsheetml/2006/main">
  <threadedComment ref="D15" dT="2019-09-25T15:11:22.20" personId="{00000000-0000-0000-0000-000000000000}" id="{48BA3B96-F22E-4A10-9016-F364CF0E4ABE}">
    <text>Home and Content
Life
Bunny</text>
  </threadedComment>
  <threadedComment ref="D19" dT="2021-07-04T18:21:39.47" personId="{00000000-0000-0000-0000-000000000000}" id="{D994772B-01B1-CC44-9D87-24A1D9EC0C66}">
    <text xml:space="preserve">TAX
	MJ55: 340
	S70: 155
</text>
  </threadedComment>
  <threadedComment ref="G25" dT="2021-07-03T12:28:50.08" personId="{00000000-0000-0000-0000-000000000000}" id="{2AD71F41-773E-0A4C-BACC-9482D361A8B9}">
    <text>Phone charge for calling US (work)</text>
  </threadedComment>
  <threadedComment ref="D26" dT="2021-07-04T18:13:45.25" personId="{00000000-0000-0000-0000-000000000000}" id="{8FE72A0C-6834-AF4A-A2DE-F4341226D1E7}">
    <text>Try set all up for 01/10</text>
  </threadedComment>
  <threadedComment ref="J33" dT="2021-07-12T11:13:14.85" personId="{00000000-0000-0000-0000-000000000000}" id="{461253D0-D22F-4FBE-9DF7-3BFB1C7EB9AF}">
    <text>Amex cashback</text>
  </threadedComment>
  <threadedComment ref="K33" dT="2021-07-12T10:21:58.02" personId="{00000000-0000-0000-0000-000000000000}" id="{E0A51A8C-343A-43BE-85A5-4F538D0A1B03}">
    <text>Puppy classes, take out of next months wage</text>
  </threadedComment>
  <threadedComment ref="M33" dT="2021-07-20T21:27:43.55" personId="{00000000-0000-0000-0000-000000000000}" id="{F1C50889-ADC9-4AC1-926F-91DEDA3A34C9}">
    <text>Splitting with kris next month</text>
  </threadedComment>
  <threadedComment ref="G35" dT="2021-07-03T12:26:00.86" personId="{00000000-0000-0000-0000-000000000000}" id="{3F27EF4A-5C73-434E-8953-B234DC12CCED}">
    <text>Aleks gift
Old hall british ceremony aniv</text>
  </threadedComment>
  <threadedComment ref="J35" dT="2021-07-12T10:26:09.33" personId="{00000000-0000-0000-0000-000000000000}" id="{2E38FF74-4ABC-407A-9BD2-3A9267EFBB73}">
    <text>Philippa charity</text>
  </threadedComment>
  <threadedComment ref="K35" dT="2021-07-12T11:02:43.89" personId="{00000000-0000-0000-0000-000000000000}" id="{47A09110-A7EA-4820-8B2F-21976C916CDD}">
    <text>Fathers day cake</text>
  </threadedComment>
  <threadedComment ref="L35" dT="2021-07-18T19:43:23.68" personId="{00000000-0000-0000-0000-000000000000}" id="{CD06FADB-7F31-461E-9388-A437C840A8E8}">
    <text>Hannah</text>
  </threadedComment>
  <threadedComment ref="F36" dT="2021-03-29T23:12:33.32" personId="{00000000-0000-0000-0000-000000000000}" id="{AD1957B4-0BAC-4769-9727-3DA5C3D2BD2A}">
    <text>100 in cash jar
Taken 25 for commuting for end of month
70 Added to cash jar from sale of tv unit
40 taken from jar for camping added back from eye surgery</text>
  </threadedComment>
  <threadedComment ref="H36" dT="2021-07-12T10:56:17.88" personId="{00000000-0000-0000-0000-000000000000}" id="{B1DDDFD2-E0F9-409B-83C8-5D29065E953B}">
    <text>Dress</text>
  </threadedComment>
  <threadedComment ref="D37" dT="2019-06-19T11:52:26.38" personId="{00000000-0000-0000-0000-000000000000}" id="{FFB12C27-C45C-4868-9B7B-F80D20171507}">
    <text>National trust - £10pm
Account charge - £13pm
NetFlix - 5.99
NowTV - 5.99
Disney - 5.99
Xbox - 10.99
Haircut - 15
Prime - 6.50</text>
  </threadedComment>
</ThreadedComments>
</file>

<file path=xl/threadedComments/threadedComment32.xml><?xml version="1.0" encoding="utf-8"?>
<ThreadedComments xmlns="http://schemas.microsoft.com/office/spreadsheetml/2018/threadedcomments" xmlns:x="http://schemas.openxmlformats.org/spreadsheetml/2006/main">
  <threadedComment ref="I7" dT="2021-08-02T21:21:48.38" personId="{00000000-0000-0000-0000-000000000000}" id="{87B4CF9A-CA52-4534-8BF4-A27EC9EE0F98}">
    <text>17 over last week
58 for the week</text>
  </threadedComment>
  <threadedComment ref="D15" dT="2019-09-25T15:11:22.20" personId="{00000000-0000-0000-0000-000000000000}" id="{6A9FE37E-DE74-4526-BAD3-B2828AD00C3B}">
    <text>Home and Content
Life
Bunny</text>
  </threadedComment>
  <threadedComment ref="D19" dT="2021-07-04T18:21:39.47" personId="{00000000-0000-0000-0000-000000000000}" id="{96F851B1-CFEE-4B82-BEB3-B8039C58E13C}">
    <text xml:space="preserve">TAX
	MJ55: 340
	S70: 155
</text>
  </threadedComment>
  <threadedComment ref="D26" dT="2021-07-04T18:13:45.25" personId="{00000000-0000-0000-0000-000000000000}" id="{26927874-8654-421C-AA69-CED3BF4487EE}">
    <text>Try set all up for 01/10</text>
  </threadedComment>
  <threadedComment ref="I26" dT="2021-08-02T21:24:19.25" personId="{00000000-0000-0000-0000-000000000000}" id="{1B81389A-09A7-42F5-9AFD-C4A4921534F9}">
    <text>Vets for foot - claiming back on ins</text>
  </threadedComment>
  <threadedComment ref="J27" dT="2021-08-07T15:39:20.73" personId="{00000000-0000-0000-0000-000000000000}" id="{0A21449D-4F23-41CE-909F-499C6E6B8DB9}">
    <text>Luna stuff</text>
  </threadedComment>
  <threadedComment ref="M27" dT="2021-08-17T16:16:59.13" personId="{00000000-0000-0000-0000-000000000000}" id="{90AAAD93-B438-4156-A5A5-382508FBE4B4}">
    <text>40 coming back from work referral bonus</text>
  </threadedComment>
  <threadedComment ref="F33" dT="2021-07-18T20:07:41.25" personId="{00000000-0000-0000-0000-000000000000}" id="{FC9137DD-32F9-408F-8025-BCF33BA40D5C}">
    <text>Removed last month for puppy classes</text>
  </threadedComment>
  <threadedComment ref="L35" dT="2021-08-17T16:22:49.25" personId="{00000000-0000-0000-0000-000000000000}" id="{C9025E8E-BBF0-4E93-A3A1-CB1E13F1BCB6}">
    <text>Oksana</text>
  </threadedComment>
  <threadedComment ref="F36" dT="2021-03-29T23:12:33.32" personId="{00000000-0000-0000-0000-000000000000}" id="{F72CAA74-E459-4C04-8A24-5552B4A81E71}">
    <text>60 in jar</text>
  </threadedComment>
  <threadedComment ref="J36" dT="2021-08-07T15:39:41.12" personId="{00000000-0000-0000-0000-000000000000}" id="{8D1C584F-3D9B-4BCC-B1C0-589CEDF430CA}">
    <text>Filey hot tob</text>
  </threadedComment>
  <threadedComment ref="K36" dT="2021-08-07T16:00:40.13" personId="{00000000-0000-0000-0000-000000000000}" id="{CA9A56EF-B6E1-4302-B174-4F367D99F7B9}">
    <text>Sep hol cottage</text>
  </threadedComment>
  <threadedComment ref="M36" dT="2021-08-29T10:43:01.13" personId="{00000000-0000-0000-0000-000000000000}" id="{7E471161-AAA0-C247-BA93-A89F970067EB}">
    <text>Closed out tesco</text>
  </threadedComment>
  <threadedComment ref="D37" dT="2019-06-19T11:52:26.38" personId="{00000000-0000-0000-0000-000000000000}" id="{31413E4C-DEC5-4DE5-9F07-16CFE94AB44A}">
    <text>National trust - £10pm
Account charge - £13pm
NetFlix - 5.99
NowTV - 5.99
Disney - 5.99
Xbox - 10.99
Haircut - 15
Prime - 6.50</text>
  </threadedComment>
  <threadedComment ref="J38" dT="2021-08-07T15:43:59.87" personId="{00000000-0000-0000-0000-000000000000}" id="{3FD93E50-AAFC-413D-BD72-19BD4B7CBCC8}">
    <text>Escape room, half from Phil + Alex</text>
  </threadedComment>
</ThreadedComments>
</file>

<file path=xl/threadedComments/threadedComment33.xml><?xml version="1.0" encoding="utf-8"?>
<ThreadedComments xmlns="http://schemas.microsoft.com/office/spreadsheetml/2018/threadedcomments" xmlns:x="http://schemas.openxmlformats.org/spreadsheetml/2006/main">
  <threadedComment ref="H8" dT="2021-08-29T11:17:54.41" personId="{00000000-0000-0000-0000-000000000000}" id="{B59A2E42-EDD8-0F44-9ACD-19C0D7BFDEF2}">
    <text>7.99 = Rope lead
10.12 = range 21.12 split</text>
  </threadedComment>
  <threadedComment ref="D15" dT="2019-09-25T15:11:22.20" personId="{00000000-0000-0000-0000-000000000000}" id="{A0D72B64-675B-4BDB-AAE7-771A1F897EEA}">
    <text>Home and Content
Life
Bunny</text>
  </threadedComment>
  <threadedComment ref="D19" dT="2021-07-04T18:21:39.47" personId="{00000000-0000-0000-0000-000000000000}" id="{3BDDE136-A810-4A6F-BE2F-DF8F0EB7404D}">
    <text xml:space="preserve">TAX
	MJ55: 340
	S70: 155
</text>
  </threadedComment>
  <threadedComment ref="D25" dT="2021-07-04T18:13:45.25" personId="{00000000-0000-0000-0000-000000000000}" id="{B357A21D-03C9-4214-83CD-ACAED5B58EBA}">
    <text>Try set all up for 01/10</text>
  </threadedComment>
  <threadedComment ref="G25" dT="2021-08-29T11:23:11.51" personId="{00000000-0000-0000-0000-000000000000}" id="{8F3F48F8-D28F-E545-BFDE-2CB9321F6EC2}">
    <text>Tables will repay from rachel</text>
  </threadedComment>
  <threadedComment ref="F32" dT="2021-07-18T20:07:41.25" personId="{00000000-0000-0000-0000-000000000000}" id="{903DD48B-EE0D-4050-9162-725124EEFA2F}">
    <text>Removed last month for puppy classes</text>
  </threadedComment>
  <threadedComment ref="F33" dT="2021-09-24T21:31:38.64" personId="{00000000-0000-0000-0000-000000000000}" id="{29777297-2D72-4747-A162-F6DC1ED8C078}">
    <text>90 from jar paid for buns stay</text>
  </threadedComment>
  <threadedComment ref="H34" dT="2021-09-05T20:27:14.74" personId="{00000000-0000-0000-0000-000000000000}" id="{B54DABD3-1F93-4C89-8073-D920F86FEEF9}">
    <text>Matt bDay</text>
  </threadedComment>
  <threadedComment ref="I34" dT="2021-09-05T20:10:32.22" personId="{00000000-0000-0000-0000-000000000000}" id="{80AF563A-58CB-42EE-9303-8676EBFE005E}">
    <text>Matt bDay</text>
  </threadedComment>
  <threadedComment ref="J34" dT="2021-09-05T20:40:17.51" personId="{00000000-0000-0000-0000-000000000000}" id="{39EDAB48-946E-487D-9CB9-2D65FF0258B2}">
    <text>Kris comfy set (early bday/xmas)</text>
  </threadedComment>
  <threadedComment ref="K34" dT="2021-09-12T16:57:48.57" personId="{00000000-0000-0000-0000-000000000000}" id="{5A31A8FE-56E6-4C4B-8B20-92489EE497AB}">
    <text>Rebecca + Ben money</text>
  </threadedComment>
  <threadedComment ref="L34" dT="2021-09-15T23:32:58.64" personId="{00000000-0000-0000-0000-000000000000}" id="{E41E0E45-6CFF-42AD-BE5E-621A4CC54453}">
    <text>mum phone</text>
  </threadedComment>
  <threadedComment ref="F35" dT="2021-03-29T23:12:33.32" personId="{00000000-0000-0000-0000-000000000000}" id="{E7195B4C-5EED-4298-81E5-471D369C89E3}">
    <text>90 in jar
180 from old tesco loan</text>
  </threadedComment>
  <threadedComment ref="D36" dT="2019-06-19T11:52:26.38" personId="{00000000-0000-0000-0000-000000000000}" id="{0FDC0B55-F65F-4B0A-816C-A10F655B9541}">
    <text>National trust - £10pm
Account charge - £13pm
NetFlix - 5.99
NowTV - 5.99
Disney - 5.99
Xbox - 10.99
Haircut - 15
Prime - 6.50</text>
  </threadedComment>
  <threadedComment ref="H37" dT="2021-09-05T20:29:30.35" personId="{00000000-0000-0000-0000-000000000000}" id="{FDC43B51-C8D4-41E7-9137-7896935A91F8}">
    <text>11 = range 21.12 split</text>
  </threadedComment>
</ThreadedComments>
</file>

<file path=xl/threadedComments/threadedComment34.xml><?xml version="1.0" encoding="utf-8"?>
<ThreadedComments xmlns="http://schemas.microsoft.com/office/spreadsheetml/2018/threadedcomments" xmlns:x="http://schemas.openxmlformats.org/spreadsheetml/2006/main">
  <threadedComment ref="D15" dT="2019-09-25T15:11:22.20" personId="{00000000-0000-0000-0000-000000000000}" id="{B78D0A60-273D-4938-995A-0FEBB25222B4}">
    <text>Home and Content
Life
Bunny</text>
  </threadedComment>
  <threadedComment ref="D19" dT="2021-07-04T18:21:39.47" personId="{00000000-0000-0000-0000-000000000000}" id="{66C0C279-CE41-4A69-A4F6-41A23956D245}">
    <text xml:space="preserve">TAX
	MJ55: 340
	S70: 155
</text>
  </threadedComment>
  <threadedComment ref="D25" dT="2021-07-04T18:13:45.25" personId="{00000000-0000-0000-0000-000000000000}" id="{BB657CB9-CA01-4710-ABE8-E6855040E8D8}">
    <text>Try set all up for 01/10</text>
  </threadedComment>
  <threadedComment ref="H34" dT="2021-10-03T11:24:57.45" personId="{00000000-0000-0000-0000-000000000000}" id="{6DF6265A-8280-43DD-AE1D-2773A8B37059}">
    <text>Glen</text>
  </threadedComment>
  <threadedComment ref="I34" dT="2021-10-14T15:59:25.00" personId="{00000000-0000-0000-0000-000000000000}" id="{59E4E291-2B58-4A05-B38A-EF805B6816DF}">
    <text>Oscar</text>
  </threadedComment>
  <threadedComment ref="F35" dT="2021-03-29T23:12:33.32" personId="{00000000-0000-0000-0000-000000000000}" id="{89BB5399-AD7B-48DA-A0F7-1B34BCF98639}">
    <text>180 from old tesco loan
300 from mtg for couch
200 for wales
170 in jar for couch repay
-20 for fun budget</text>
  </threadedComment>
  <threadedComment ref="D37" dT="2019-06-19T11:52:26.38" personId="{00000000-0000-0000-0000-000000000000}" id="{2A01FB20-D4D7-4F31-8B05-55A9824EF163}">
    <text>National trust - £10pm
Account charge - £13pm
NetFlix - 5.99
NowTV - 5.99
Disney - 5.99
Xbox - 10.99
Haircut - 15
Prime - 6.50</text>
  </threadedComment>
</ThreadedComments>
</file>

<file path=xl/threadedComments/threadedComment35.xml><?xml version="1.0" encoding="utf-8"?>
<ThreadedComments xmlns="http://schemas.microsoft.com/office/spreadsheetml/2018/threadedcomments" xmlns:x="http://schemas.openxmlformats.org/spreadsheetml/2006/main">
  <threadedComment ref="D16" dT="2019-09-25T15:11:22.20" personId="{00000000-0000-0000-0000-000000000000}" id="{05261812-F2B5-483E-AEAC-34DACDB035AB}">
    <text>Home and Content
Life
Bunny</text>
  </threadedComment>
  <threadedComment ref="D20" dT="2021-07-04T18:21:39.47" personId="{00000000-0000-0000-0000-000000000000}" id="{DE24BF44-1BA6-4BCF-A8D6-76DDD7FE1758}">
    <text xml:space="preserve">TAX
	MJ55: 340
	S70: 155
</text>
  </threadedComment>
  <threadedComment ref="D26" dT="2021-07-04T18:13:45.25" personId="{00000000-0000-0000-0000-000000000000}" id="{EDB8669F-ADC9-4C48-AB1B-A14768F32878}">
    <text>Try set all up for 01/10</text>
  </threadedComment>
  <threadedComment ref="I26" dT="2021-11-08T21:10:41.22" personId="{00000000-0000-0000-0000-000000000000}" id="{FF2EB055-6187-BD4C-9E9C-88C184D5ACB3}">
    <text>Toyota</text>
  </threadedComment>
  <threadedComment ref="G33" dT="2021-11-08T21:10:48.61" personId="{00000000-0000-0000-0000-000000000000}" id="{05FE88AC-B393-C147-859E-7A95416D2806}">
    <text>Dec break</text>
  </threadedComment>
  <threadedComment ref="L34" dT="2021-11-14T23:49:13.30" personId="{00000000-0000-0000-0000-000000000000}" id="{A63F8224-290B-E14F-860D-918185DFDFE6}">
    <text>Bucks fizz, toys for Su’s dog</text>
  </threadedComment>
  <threadedComment ref="F35" dT="2021-03-29T23:12:33.32" personId="{00000000-0000-0000-0000-000000000000}" id="{49EBB3C2-D5CC-43EA-8C13-4FA76F3D8F36}">
    <text>180 from old tesco loan
300 from mtg for couch
200 for wales
170 in jar for couch repay
-20 for fun budget</text>
  </threadedComment>
  <threadedComment ref="J35" dT="2021-11-08T17:20:31.50" personId="{00000000-0000-0000-0000-000000000000}" id="{730A25C6-A78D-C148-8338-5B18D9334326}">
    <text>Maldives</text>
  </threadedComment>
  <threadedComment ref="D37" dT="2019-06-19T11:52:26.38" personId="{00000000-0000-0000-0000-000000000000}" id="{63F6E71E-A3CA-40E2-98A1-529C7551F67E}">
    <text>National trust - £10pm
Account charge - £13pm
NetFlix - 5.99
NowTV - 5.99
Disney - 5.99
Xbox - 10.99
Haircut - 15
Prime - 6.50</text>
  </threadedComment>
</ThreadedComments>
</file>

<file path=xl/threadedComments/threadedComment36.xml><?xml version="1.0" encoding="utf-8"?>
<ThreadedComments xmlns="http://schemas.microsoft.com/office/spreadsheetml/2018/threadedcomments" xmlns:x="http://schemas.openxmlformats.org/spreadsheetml/2006/main">
  <threadedComment ref="D16" dT="2019-09-25T15:11:22.20" personId="{00000000-0000-0000-0000-000000000000}" id="{E0E21226-E995-4D9C-AAD6-CE4DB6D6C303}">
    <text>Home and Content
Life
Bunny</text>
  </threadedComment>
  <threadedComment ref="D20" dT="2021-07-04T18:21:39.47" personId="{00000000-0000-0000-0000-000000000000}" id="{682BA2FB-0B95-4359-BBD1-149B9F9528FD}">
    <text xml:space="preserve">TAX
	MJ55: 340
	S70: 155
</text>
  </threadedComment>
  <threadedComment ref="D26" dT="2021-07-04T18:13:45.25" personId="{00000000-0000-0000-0000-000000000000}" id="{49EB7369-7DEE-480D-A971-936E59457378}">
    <text>Try set all up for 01/10</text>
  </threadedComment>
  <threadedComment ref="G33" dT="2021-11-08T21:10:48.61" personId="{00000000-0000-0000-0000-000000000000}" id="{29DD30D9-0D12-4441-A9C9-B1C40F381D20}">
    <text>Dec break</text>
  </threadedComment>
  <threadedComment ref="F35" dT="2021-12-11T14:22:49.28" personId="{00000000-0000-0000-0000-000000000000}" id="{95FCBD8F-4CFB-47F4-9310-2C7F25502B62}">
    <text>100 in jar from speakers</text>
  </threadedComment>
  <threadedComment ref="D37" dT="2019-06-19T11:52:26.38" personId="{00000000-0000-0000-0000-000000000000}" id="{15C2CF2D-4C7B-4821-877A-5C61A7D08454}">
    <text>National trust - £10pm
Account charge - £13pm
NetFlix - 5.99
NowTV - 5.99
Disney - 5.99
Xbox - 10.99
Haircut - 15
Prime - 6.50</text>
  </threadedComment>
</ThreadedComments>
</file>

<file path=xl/threadedComments/threadedComment37.xml><?xml version="1.0" encoding="utf-8"?>
<ThreadedComments xmlns="http://schemas.microsoft.com/office/spreadsheetml/2018/threadedcomments" xmlns:x="http://schemas.openxmlformats.org/spreadsheetml/2006/main">
  <threadedComment ref="D16" dT="2019-09-25T15:11:22.20" personId="{00000000-0000-0000-0000-000000000000}" id="{2E48D89F-BEEF-9345-A4E8-C7380BC2C61E}">
    <text>Home and Content
Life
Bunny</text>
  </threadedComment>
  <threadedComment ref="D20" dT="2021-07-04T18:21:39.47" personId="{00000000-0000-0000-0000-000000000000}" id="{2DB2D504-BC94-884E-A1D9-36E6B2490B23}">
    <text xml:space="preserve">TAX
	MJ55: 340
	S70: 155
</text>
  </threadedComment>
  <threadedComment ref="D26" dT="2021-07-04T18:13:45.25" personId="{00000000-0000-0000-0000-000000000000}" id="{DE430534-59EA-9F41-8C90-20D0BFECCDC0}">
    <text>Try set all up for 01/10</text>
  </threadedComment>
  <threadedComment ref="F35" dT="2022-01-12T23:09:02.76" personId="{00000000-0000-0000-0000-000000000000}" id="{0BFB6082-4D6B-7C43-8476-4D6B4A17F11A}">
    <text>140 in jar</text>
  </threadedComment>
  <threadedComment ref="H35" dT="2022-01-03T17:24:28.24" personId="{00000000-0000-0000-0000-000000000000}" id="{C8CE21C2-BE0D-FF43-97D9-56488E6F45C8}">
    <text>=121.97+125.89+122.9</text>
  </threadedComment>
  <threadedComment ref="D37" dT="2019-06-19T11:52:26.38" personId="{00000000-0000-0000-0000-000000000000}" id="{BFC870BD-C39D-0042-B5BE-0BC116877A0A}">
    <text>National trust - £10pm
Account charge - £13pm
NetFlix - 5.99
NowTV - 5.99
Disney - 5.99
Xbox - 10.99
Haircut - 15
Prime - 6.50</text>
  </threadedComment>
</ThreadedComments>
</file>

<file path=xl/threadedComments/threadedComment38.xml><?xml version="1.0" encoding="utf-8"?>
<ThreadedComments xmlns="http://schemas.microsoft.com/office/spreadsheetml/2018/threadedcomments" xmlns:x="http://schemas.openxmlformats.org/spreadsheetml/2006/main">
  <threadedComment ref="D16" dT="2019-09-25T15:11:22.20" personId="{00000000-0000-0000-0000-000000000000}" id="{913F2FAE-FCA8-428E-B846-4E825536F716}">
    <text>Home and Content
Life
Bunny</text>
  </threadedComment>
  <threadedComment ref="D20" dT="2021-07-04T18:21:39.47" personId="{00000000-0000-0000-0000-000000000000}" id="{35DE2DD5-1EFC-4DB4-B8A2-89F02D869B8B}">
    <text xml:space="preserve">TAX
	MJ55: 340
	S70: 155
</text>
  </threadedComment>
  <threadedComment ref="D26" dT="2021-07-04T18:13:45.25" personId="{00000000-0000-0000-0000-000000000000}" id="{E2830628-6FBE-4899-B3B6-B04CD171A59C}">
    <text>Try set all up for 01/10</text>
  </threadedComment>
  <threadedComment ref="I34" dT="2022-02-05T22:24:22.11" personId="{00000000-0000-0000-0000-000000000000}" id="{2A852B1B-F5BB-488C-A429-6B53CC94B443}">
    <text>Inesa</text>
  </threadedComment>
  <threadedComment ref="J34" dT="2022-02-05T22:08:53.54" personId="{00000000-0000-0000-0000-000000000000}" id="{1CC7C90D-AA18-410A-BD47-B3A51AC4A557}">
    <text>Jordan</text>
  </threadedComment>
  <threadedComment ref="E35" dT="2022-01-21T15:55:33.79" personId="{00000000-0000-0000-0000-000000000000}" id="{88EFF46C-6679-4EE3-BA32-9904A58E223D}">
    <text>140 in jar</text>
  </threadedComment>
  <threadedComment ref="F35" dT="2022-01-12T23:09:02.76" personId="{00000000-0000-0000-0000-000000000000}" id="{3A5FAFDE-850E-4902-B1AC-B8BBF52C32EC}">
    <text>180 in jar</text>
  </threadedComment>
  <threadedComment ref="H35" dT="2022-01-03T17:24:28.24" personId="{00000000-0000-0000-0000-000000000000}" id="{EFA66938-A035-4D3E-9C2D-CB02CA42F452}">
    <text>=121.97+125.89+122.9</text>
  </threadedComment>
  <threadedComment ref="L35" dT="2022-02-16T16:50:35.70" personId="{00000000-0000-0000-0000-000000000000}" id="{6BAD0DB7-3BB0-40FB-BD4F-F13B30F1B95D}">
    <text>949 for phone</text>
  </threadedComment>
  <threadedComment ref="N35" dT="2022-03-01T09:30:32.04" personId="{00000000-0000-0000-0000-000000000000}" id="{9A2B1CC7-3BE8-41DC-97ED-EA61D9C8A92F}">
    <text>82 is hawaii flowers
525 is ring</text>
  </threadedComment>
  <threadedComment ref="D37" dT="2019-06-19T11:52:26.38" personId="{00000000-0000-0000-0000-000000000000}" id="{8AF392AA-E713-4360-8F36-66002FFD2C92}">
    <text>National trust - £10pm
Account charge - £13pm
NetFlix - 5.99
NowTV - 5.99
Disney - 5.99
Xbox - 10.99
Haircut - 15
Prime - 6.50</text>
  </threadedComment>
</ThreadedComments>
</file>

<file path=xl/threadedComments/threadedComment39.xml><?xml version="1.0" encoding="utf-8"?>
<ThreadedComments xmlns="http://schemas.microsoft.com/office/spreadsheetml/2018/threadedcomments" xmlns:x="http://schemas.openxmlformats.org/spreadsheetml/2006/main">
  <threadedComment ref="D16" dT="2019-09-25T15:11:22.20" personId="{00000000-0000-0000-0000-000000000000}" id="{8D203AC5-FF21-4A59-B550-80FAEF222BF0}">
    <text>Home and Content
Life
Bunny</text>
  </threadedComment>
  <threadedComment ref="D20" dT="2021-07-04T18:21:39.47" personId="{00000000-0000-0000-0000-000000000000}" id="{CEA574AD-D763-40D7-B81A-90C4CA7D40F7}">
    <text xml:space="preserve">TAX
	MJ55: 340
	S70: 155
</text>
  </threadedComment>
  <threadedComment ref="D26" dT="2021-07-04T18:13:45.25" personId="{00000000-0000-0000-0000-000000000000}" id="{8D9180BB-DCAA-485F-9C51-8E593E5F76E6}">
    <text>Try set all up for 01/10</text>
  </threadedComment>
  <threadedComment ref="K33" dT="2022-03-25T20:50:01.29" personId="{00000000-0000-0000-0000-000000000000}" id="{A34C5EB7-6EF3-443F-944D-8AC042ED6EE9}">
    <text>Kris to repay</text>
  </threadedComment>
  <threadedComment ref="L33" dT="2022-03-25T20:46:22.56" personId="{00000000-0000-0000-0000-000000000000}" id="{0F69EBD2-0ECD-4654-800D-603C3A8BB799}">
    <text>140 coming back in expenses</text>
  </threadedComment>
  <threadedComment ref="M33" dT="2022-03-25T20:50:40.64" personId="{00000000-0000-0000-0000-000000000000}" id="{572F9C2C-0FD6-404B-9555-D034308495FF}">
    <text>Leo + Jasmine</text>
  </threadedComment>
  <threadedComment ref="H34" dT="2022-03-15T23:05:19.14" personId="{00000000-0000-0000-0000-000000000000}" id="{7073AF9B-E876-4209-B4E4-AB4E4A5D5EB6}">
    <text>40 = Inesa
40 = Tanya
40 = Babu</text>
  </threadedComment>
  <threadedComment ref="L34" dT="2022-03-25T22:11:18.17" personId="{00000000-0000-0000-0000-000000000000}" id="{17984354-881F-4948-A8C7-F8A4C455A66C}">
    <text>Inesa</text>
  </threadedComment>
  <threadedComment ref="E35" dT="2022-01-21T15:55:33.79" personId="{00000000-0000-0000-0000-000000000000}" id="{61B613E5-CBEE-481C-9C62-9CCAB3776EB1}">
    <text>140 in jar</text>
  </threadedComment>
  <threadedComment ref="F35" dT="2022-01-12T23:09:02.76" personId="{00000000-0000-0000-0000-000000000000}" id="{873F74D6-6361-4C89-8239-4165CA48E0F6}">
    <text>230 in jar</text>
  </threadedComment>
  <threadedComment ref="L35" dT="2022-03-25T20:42:54.58" personId="{00000000-0000-0000-0000-000000000000}" id="{716EB84A-159E-4051-BAC7-C63680B79B53}">
    <text>181.33</text>
  </threadedComment>
  <threadedComment ref="D37" dT="2019-06-19T11:52:26.38" personId="{00000000-0000-0000-0000-000000000000}" id="{F5DF3C47-A055-4014-A43C-6440AF8DD517}">
    <text>National trust - £10pm
Account charge - £13pm
NetFlix - 5.99
NowTV - 5.99
Disney - 5.99
Xbox - 10.99
Haircut - 15
Prime - 6.50</text>
  </threadedComment>
  <threadedComment ref="F38" dT="2022-03-15T22:34:28.80" personId="{00000000-0000-0000-0000-000000000000}" id="{71A5A5F5-2BEC-4F67-9FDF-862585511638}">
    <text>100 is for london</text>
  </threadedComment>
  <threadedComment ref="F39" dT="2022-03-15T21:44:03.40" personId="{00000000-0000-0000-0000-000000000000}" id="{69F34083-F8BC-435A-B633-1DBA0464D343}">
    <text>Owes 250</text>
  </threadedComment>
</ThreadedComments>
</file>

<file path=xl/threadedComments/threadedComment40.xml><?xml version="1.0" encoding="utf-8"?>
<ThreadedComments xmlns="http://schemas.microsoft.com/office/spreadsheetml/2018/threadedcomments" xmlns:x="http://schemas.openxmlformats.org/spreadsheetml/2006/main">
  <threadedComment ref="H6" dT="2022-03-25T22:56:39.53" personId="{00000000-0000-0000-0000-000000000000}" id="{815E9849-3F2D-43C8-B5BE-9F50A725CBD7}">
    <text>25</text>
  </threadedComment>
  <threadedComment ref="G7" dT="2022-03-25T22:56:35.05" personId="{00000000-0000-0000-0000-000000000000}" id="{FE3AB215-7366-41A4-8EEA-CF0CCA47C114}">
    <text>8.14</text>
  </threadedComment>
  <threadedComment ref="H8" dT="2022-03-25T23:00:45.08" personId="{00000000-0000-0000-0000-000000000000}" id="{BDDC69DF-A4D6-4633-9DB0-9E26A8861514}">
    <text>poop bags</text>
  </threadedComment>
  <threadedComment ref="R8" dT="2022-04-27T14:38:42.88" personId="{00000000-0000-0000-0000-000000000000}" id="{B6553DE1-E792-4DD6-A7EC-EA2EA93C673C}">
    <text>Poo bags</text>
  </threadedComment>
  <threadedComment ref="D16" dT="2019-09-25T15:11:22.20" personId="{00000000-0000-0000-0000-000000000000}" id="{2067D482-7B99-4DEA-8523-F53840131B3B}">
    <text>Home and Content
Life
Bunny</text>
  </threadedComment>
  <threadedComment ref="D20" dT="2021-07-04T18:21:39.47" personId="{00000000-0000-0000-0000-000000000000}" id="{7A17D44F-2B9F-445A-84DC-16A5E05720C3}">
    <text xml:space="preserve">TAX
	MJ55: 340
	S70: 155
</text>
  </threadedComment>
  <threadedComment ref="D26" dT="2021-07-04T18:13:45.25" personId="{00000000-0000-0000-0000-000000000000}" id="{A5EB80A5-9215-412E-8E8F-094A9805922C}">
    <text>Try set all up for 01/10</text>
  </threadedComment>
  <threadedComment ref="F33" dT="2022-03-08T19:36:08.47" personId="{00000000-0000-0000-0000-000000000000}" id="{DC3810AE-01D4-434E-993E-926B0A28B8C7}">
    <text>Kris owes 200 from latvia
Kris owes 33 from wales
Matt owes 325 from shit</text>
  </threadedComment>
  <threadedComment ref="F35" dT="2022-03-25T23:10:01.08" personId="{00000000-0000-0000-0000-000000000000}" id="{35838EEB-3830-4B78-B01C-40160011E7DA}">
    <text>+13 per month to account for 125 shortfall</text>
  </threadedComment>
  <threadedComment ref="H35" dT="2022-03-25T23:01:05.93" personId="{00000000-0000-0000-0000-000000000000}" id="{544B643E-0A11-4C2F-AA8D-F94BF83A7268}">
    <text>Mday</text>
  </threadedComment>
  <threadedComment ref="E36" dT="2022-01-21T15:55:33.79" personId="{00000000-0000-0000-0000-000000000000}" id="{7A0E80A6-E414-4D48-B510-AAC1CBA0EF5A}">
    <text>140 in jar</text>
  </threadedComment>
  <threadedComment ref="F36" dT="2022-01-12T23:09:02.76" personId="{00000000-0000-0000-0000-000000000000}" id="{5EED5E66-6EA0-426A-A5CD-F89F509FFABD}">
    <text>230 in jar
+100 for train tickets</text>
  </threadedComment>
  <threadedComment ref="F36" dT="2022-03-25T22:26:57.58" personId="{00000000-0000-0000-0000-000000000000}" id="{2832F28F-DD18-41FE-99D2-CAB7B095E6D7}" parentId="{5EED5E66-6EA0-426A-A5CD-F89F509FFABD}">
    <text>-150 council tax rebate to come</text>
  </threadedComment>
  <threadedComment ref="J36" dT="2022-04-08T10:16:41.45" personId="{00000000-0000-0000-0000-000000000000}" id="{A15CE79E-14EB-43F4-B9C4-E99E9E1853B9}">
    <text>Visa 22.09</text>
  </threadedComment>
  <threadedComment ref="N36" dT="2022-04-27T14:14:43.07" personId="{00000000-0000-0000-0000-000000000000}" id="{E7FAA46C-F693-47C1-BB88-9A40DA6952FF}">
    <text>=(254.91-62.97)+237.88+26.6+26.6</text>
  </threadedComment>
  <threadedComment ref="D37" dT="2019-06-19T11:52:26.38" personId="{00000000-0000-0000-0000-000000000000}" id="{CF2884EC-14C4-4E09-A8E5-9F91C9EFF961}">
    <text>National trust - £10pm
Account charge - £13pm
NetFlix - 5.99
NowTV - 5.99
Disney - 5.99
Xbox - 10.99
Haircut - 15
Prime - 6.50</text>
  </threadedComment>
  <threadedComment ref="F38" dT="2022-04-01T21:45:33.53" personId="{00000000-0000-0000-0000-000000000000}" id="{8B08284F-9B64-42D7-9FF3-39478A8912AA}">
    <text>350 for scot hotel</text>
  </threadedComment>
  <threadedComment ref="H38" dT="2022-03-25T22:56:26.77" personId="{00000000-0000-0000-0000-000000000000}" id="{769C1FB7-D8D8-4CB5-A371-2C9D958B8C00}">
    <text>59.55 = London rollover
65 stag do pre-pay</text>
  </threadedComment>
  <threadedComment ref="R38" dT="2022-04-27T14:01:33.13" personId="{00000000-0000-0000-0000-000000000000}" id="{648E0D31-5C8B-47FC-8EFF-3FAF94D914CF}">
    <text>Protein bars</text>
  </threadedComment>
  <threadedComment ref="G41" dT="2022-03-15T21:56:16.55" personId="{00000000-0000-0000-0000-000000000000}" id="{7993AE9D-4FCF-44FA-925D-F190663EDAA6}">
    <text>+35 - kris payrise
+150 - council tax rebate
+20 - ?</text>
  </threadedComment>
</ThreadedComments>
</file>

<file path=xl/threadedComments/threadedComment41.xml><?xml version="1.0" encoding="utf-8"?>
<ThreadedComments xmlns="http://schemas.microsoft.com/office/spreadsheetml/2018/threadedcomments" xmlns:x="http://schemas.openxmlformats.org/spreadsheetml/2006/main">
  <threadedComment ref="H8" dT="2022-04-27T14:39:08.74" personId="{00000000-0000-0000-0000-000000000000}" id="{E5347728-6D81-4007-8D93-54D52EE72159}">
    <text>Poo bags</text>
  </threadedComment>
  <threadedComment ref="D16" dT="2019-09-25T15:11:22.20" personId="{00000000-0000-0000-0000-000000000000}" id="{2DE4E668-092D-49B7-9110-4B64949921DA}">
    <text>Home and Content
Life
Bunny</text>
  </threadedComment>
  <threadedComment ref="D20" dT="2021-07-04T18:21:39.47" personId="{00000000-0000-0000-0000-000000000000}" id="{32C19148-1A8F-481C-A3F0-FF91132E5DAC}">
    <text xml:space="preserve">TAX
	MJ55: 340
	S70: 155
</text>
  </threadedComment>
  <threadedComment ref="F25" dT="2022-04-27T16:55:43.51" personId="{00000000-0000-0000-0000-000000000000}" id="{4EB5DF5E-400C-4D48-9306-91791BAE45D9}">
    <text>+50 from council tax</text>
  </threadedComment>
  <threadedComment ref="D26" dT="2021-07-04T18:13:45.25" personId="{00000000-0000-0000-0000-000000000000}" id="{A68B45FA-BF91-4471-8926-928960C005F3}">
    <text>Try set all up for 01/10</text>
  </threadedComment>
  <threadedComment ref="F33" dT="2022-04-27T16:55:50.53" personId="{00000000-0000-0000-0000-000000000000}" id="{6D95C948-B507-4BA0-BD9D-22A1426EDF93}">
    <text>+100 from council tax</text>
  </threadedComment>
  <threadedComment ref="F34" dT="2022-04-27T16:29:21.27" personId="{00000000-0000-0000-0000-000000000000}" id="{C674E78E-32ED-4669-BFD6-7B2107613847}">
    <text>-70 Kris coat early xmas</text>
  </threadedComment>
  <threadedComment ref="F35" dT="2022-04-27T16:29:02.81" personId="{00000000-0000-0000-0000-000000000000}" id="{2EF434C7-0760-463D-85BA-113487C4C7F1}">
    <text>+70 Kris coat early xmas
+70 to be repaid by Kris for tkmaxx shop
+20 lashes</text>
  </threadedComment>
  <threadedComment ref="G35" dT="2022-04-27T14:47:56.27" personId="{00000000-0000-0000-0000-000000000000}" id="{33CA62BB-DF99-4E51-92B8-E3F261C61D87}">
    <text>Marriage license
B&amp;M</text>
  </threadedComment>
  <threadedComment ref="G38" dT="2022-04-27T14:37:09.35" personId="{00000000-0000-0000-0000-000000000000}" id="{6B5E4932-55AB-4D59-BCD3-737C5F3F194D}">
    <text>4.35 starbucks
30 tennis
6.4
11
+.81 adjustment</text>
  </threadedComment>
  <threadedComment ref="H38" dT="2022-04-27T14:48:14.59" personId="{00000000-0000-0000-0000-000000000000}" id="{FE2A8F49-A67E-47CE-87D0-F41713591B89}">
    <text>44 protein bars
82 Next</text>
  </threadedComment>
  <threadedComment ref="D39" dT="2022-04-21T17:09:59.62" personId="{00000000-0000-0000-0000-000000000000}" id="{0BF41E9B-D45D-47F4-9740-336277F376CF}">
    <text>1080 - Base
50 - Luna
30 - Pup Care
25 - Extra Food</text>
  </threadedComment>
  <threadedComment ref="F39" dT="2022-04-27T16:32:30.50" personId="{00000000-0000-0000-0000-000000000000}" id="{7A430874-6E77-497B-94CD-CD1AC113ECF8}">
    <text>200 - owe to maldives, waiting for bonus
31.75 - asos, paying this month</text>
  </threadedComment>
  <threadedComment ref="L45" dT="2022-04-27T16:46:46.10" personId="{00000000-0000-0000-0000-000000000000}" id="{0E64E57E-5692-405F-AC8F-49F5B9443254}">
    <text>Sandals + Trousers</text>
  </threadedComment>
  <threadedComment ref="H56" dT="2022-04-13T20:41:54.93" personId="{00000000-0000-0000-0000-000000000000}" id="{CBD1E25F-5D40-4139-867D-EE5100525EC4}">
    <text>50mpg</text>
  </threadedComment>
  <threadedComment ref="H57" dT="2022-04-13T20:40:38.93" personId="{00000000-0000-0000-0000-000000000000}" id="{81472186-DAFD-4915-86A7-09366F7CBC33}">
    <text>10k over 5 years w/ tesco</text>
  </threadedComment>
</ThreadedComments>
</file>

<file path=xl/threadedComments/threadedComment42.xml><?xml version="1.0" encoding="utf-8"?>
<ThreadedComments xmlns="http://schemas.microsoft.com/office/spreadsheetml/2018/threadedcomments" xmlns:x="http://schemas.openxmlformats.org/spreadsheetml/2006/main">
  <threadedComment ref="U4" dT="2019-09-25T15:27:04.02" personId="{00000000-0000-0000-0000-000000000000}" id="{2536AF47-19E6-0F45-9C54-0F8A6726E4C3}">
    <text>Split between fun + contingency</text>
  </threadedComment>
  <threadedComment ref="D12" dT="2019-09-25T15:11:22.20" personId="{00000000-0000-0000-0000-000000000000}" id="{5138C8BD-B663-CB4B-ACEC-61F10CED89A3}">
    <text>Home and Content
Life
Bunny</text>
  </threadedComment>
  <threadedComment ref="L30" dT="2020-07-13T09:59:39.01" personId="{00000000-0000-0000-0000-000000000000}" id="{E8386EAE-E242-D14A-92D7-772132D47209}">
    <text>Remaining hutch money / printer</text>
  </threadedComment>
  <threadedComment ref="D36" dT="2019-06-19T11:52:26.38" personId="{00000000-0000-0000-0000-000000000000}" id="{A1BBDBCC-6FAA-2A4E-AD5B-CBB0C41AD683}">
    <text>National trust - £10pm
British gas service - £14.96pm
Account charge - £13pm</text>
  </threadedComment>
</ThreadedComments>
</file>

<file path=xl/threadedComments/threadedComment43.xml><?xml version="1.0" encoding="utf-8"?>
<ThreadedComments xmlns="http://schemas.microsoft.com/office/spreadsheetml/2018/threadedcomments" xmlns:x="http://schemas.openxmlformats.org/spreadsheetml/2006/main">
  <threadedComment ref="U4" dT="2019-09-25T15:27:04.02" personId="{00000000-0000-0000-0000-000000000000}" id="{76576609-9432-1A47-A01B-A54386DD420C}">
    <text>Split between fun + contingency</text>
  </threadedComment>
  <threadedComment ref="D13" dT="2019-09-25T15:11:22.20" personId="{00000000-0000-0000-0000-000000000000}" id="{C35D3FE9-2563-0449-8F8C-13AC2DA5F9EF}">
    <text>Home and Content
Life
Bunny</text>
  </threadedComment>
  <threadedComment ref="F34" dT="2020-07-24T09:54:37.55" personId="{00000000-0000-0000-0000-000000000000}" id="{D29D19FC-58A8-C341-9B6E-0903427DDE8D}">
    <text>£100 Hutch CC
£85 Printer
£42.67 Officiant
£478.98 Photographer</text>
  </threadedComment>
  <threadedComment ref="L34" dT="2020-07-13T09:59:39.01" personId="{00000000-0000-0000-0000-000000000000}" id="{B11DE7C3-29F4-E54F-A20F-C32DEA79470E}">
    <text>Remaining hutch money / printer</text>
  </threadedComment>
  <threadedComment ref="D39" dT="2019-06-19T11:52:26.38" personId="{00000000-0000-0000-0000-000000000000}" id="{A3FB0B15-5F6C-7145-8C3C-9E5F080AF276}">
    <text>National trust - £10pm
British gas service - £14.96pm
Account charge - £13pm</text>
  </threadedComment>
</ThreadedComments>
</file>

<file path=xl/threadedComments/threadedComment44.xml><?xml version="1.0" encoding="utf-8"?>
<ThreadedComments xmlns="http://schemas.microsoft.com/office/spreadsheetml/2018/threadedcomments" xmlns:x="http://schemas.openxmlformats.org/spreadsheetml/2006/main">
  <threadedComment ref="R6" dT="2022-06-19T21:38:15.22" personId="{00000000-0000-0000-0000-000000000000}" id="{35BC25FD-8E28-4D30-B513-506BBB506519}">
    <text>Airport fuel</text>
  </threadedComment>
  <threadedComment ref="D16" dT="2019-09-25T15:11:22.20" personId="{00000000-0000-0000-0000-000000000000}" id="{FC1BD05E-A217-4CC9-8835-8947F3EDF512}">
    <text>Home and Content
Life
Bunny</text>
  </threadedComment>
  <threadedComment ref="D20" dT="2021-07-04T18:21:39.47" personId="{00000000-0000-0000-0000-000000000000}" id="{EDD30DBA-8471-4975-9F0E-5368364ED1D7}">
    <text xml:space="preserve">TAX
	MJ55: 340
	S70: 155
</text>
  </threadedComment>
  <threadedComment ref="F25" dT="2022-04-27T16:55:43.51" personId="{00000000-0000-0000-0000-000000000000}" id="{595031BC-C1E8-4E00-8C07-C8A43F51C5C8}">
    <text>+50 from council tax</text>
  </threadedComment>
  <threadedComment ref="D26" dT="2021-07-04T18:13:45.25" personId="{00000000-0000-0000-0000-000000000000}" id="{B4CAA220-2ECD-4001-A126-762B1311A199}">
    <text>Try set all up for 01/10</text>
  </threadedComment>
  <threadedComment ref="E33" dT="2022-06-05T21:39:25.22" personId="{00000000-0000-0000-0000-000000000000}" id="{6DFC1306-D366-4F1E-BAE8-5A976C627309}">
    <text>600 in cash</text>
  </threadedComment>
  <threadedComment ref="F33" dT="2022-04-27T16:55:50.53" personId="{00000000-0000-0000-0000-000000000000}" id="{EE486012-C2E7-480A-8A61-29F8CA42BA38}">
    <text>+100 from council tax</text>
  </threadedComment>
  <threadedComment ref="K33" dT="2022-06-19T21:24:10.97" personId="{00000000-0000-0000-0000-000000000000}" id="{BE956453-37C0-4264-ACB0-2DF795B4A206}">
    <text>Kris + Revolut</text>
  </threadedComment>
  <threadedComment ref="N33" dT="2022-06-19T21:32:18.83" personId="{00000000-0000-0000-0000-000000000000}" id="{6E65366F-1BB1-4A4E-BE81-09CDFC8F2288}">
    <text>AMZ Prime
PREM Inn</text>
  </threadedComment>
  <threadedComment ref="F34" dT="2022-04-27T16:29:21.27" personId="{00000000-0000-0000-0000-000000000000}" id="{F8C71D95-2293-45DC-9715-FA111BE9818A}">
    <text>-70 Kris coat early xmas</text>
  </threadedComment>
  <threadedComment ref="F35" dT="2022-04-27T16:29:02.81" personId="{00000000-0000-0000-0000-000000000000}" id="{E889CD2D-B1A9-4BFC-A3E4-78E741C8C500}">
    <text>+70 Kris coat early xmas
+70 to be repaid by Kris for tkmaxx shop
+20 lashes</text>
  </threadedComment>
  <threadedComment ref="H35" dT="2022-06-05T22:20:02.74" personId="{00000000-0000-0000-0000-000000000000}" id="{007FB559-ABE5-4411-B9DB-15FF4174A800}">
    <text>=76+12+21.85</text>
  </threadedComment>
  <threadedComment ref="G38" dT="2022-06-05T21:46:24.44" personId="{00000000-0000-0000-0000-000000000000}" id="{869E2D03-4FBB-4F3E-8B3D-37C33D2A5C16}">
    <text>=17.36+12+21.85</text>
  </threadedComment>
  <threadedComment ref="D39" dT="2022-04-21T17:09:59.62" personId="{00000000-0000-0000-0000-000000000000}" id="{3A3A177E-0495-48AD-A278-F9B23269E49B}">
    <text>1080 - Base
50 - Luna
30 - Pup Care
25 - Extra Food</text>
  </threadedComment>
  <threadedComment ref="F39" dT="2022-04-27T16:32:30.50" personId="{00000000-0000-0000-0000-000000000000}" id="{6308CDBC-2884-44C7-A600-C585653927BC}">
    <text>200 - owe to maldives, waiting for bonus
31.75 - asos, paying this month</text>
  </threadedComment>
  <threadedComment ref="G41" dT="2022-06-05T22:21:28.59" personId="{00000000-0000-0000-0000-000000000000}" id="{FAC37F08-60A1-44E7-94C0-80CD9E5168C2}">
    <text>1080 in cash</text>
  </threadedComment>
  <threadedComment ref="L45" dT="2022-04-27T16:46:46.10" personId="{00000000-0000-0000-0000-000000000000}" id="{1675B39E-9F76-4BC8-9329-677DF7EF7B1E}">
    <text>Sandals + Trousers</text>
  </threadedComment>
  <threadedComment ref="J46" dT="2022-05-28T02:46:17.91" personId="{00000000-0000-0000-0000-000000000000}" id="{EBFCA6A4-77E2-4FF6-838D-1D6415FDC017}">
    <text>Balance + 600 cash</text>
  </threadedComment>
</ThreadedComments>
</file>

<file path=xl/threadedComments/threadedComment45.xml><?xml version="1.0" encoding="utf-8"?>
<ThreadedComments xmlns="http://schemas.microsoft.com/office/spreadsheetml/2018/threadedcomments" xmlns:x="http://schemas.openxmlformats.org/spreadsheetml/2006/main">
  <threadedComment ref="H7" dT="2022-06-25T18:43:42.39" personId="{00000000-0000-0000-0000-000000000000}" id="{46CFD269-23DE-49DA-B891-2ACD37BD3FF8}">
    <text>incomming 38.58+14.8</text>
  </threadedComment>
  <threadedComment ref="D16" dT="2019-09-25T15:11:22.20" personId="{00000000-0000-0000-0000-000000000000}" id="{24C1B07D-E427-466A-9C2F-A58A683BBCD5}">
    <text>Home and Content
Life
Bunny</text>
  </threadedComment>
  <threadedComment ref="D20" dT="2021-07-04T18:21:39.47" personId="{00000000-0000-0000-0000-000000000000}" id="{4AEF446B-5405-4B71-A71B-766C477F7E77}">
    <text xml:space="preserve">TAX
	MJ55: 340
	S70: 155
</text>
  </threadedComment>
  <threadedComment ref="I25" dT="2022-07-12T21:07:52.77" personId="{00000000-0000-0000-0000-000000000000}" id="{5914F68E-F403-4A0D-959F-6FE841BB8B55}">
    <text>Latvia dentists trip</text>
  </threadedComment>
  <threadedComment ref="J25" dT="2022-07-12T20:45:11.15" personId="{00000000-0000-0000-0000-000000000000}" id="{2B4BDAD3-3F79-4546-850F-54B5B91365D2}">
    <text>Hayfever</text>
  </threadedComment>
  <threadedComment ref="D26" dT="2021-07-04T18:13:45.25" personId="{00000000-0000-0000-0000-000000000000}" id="{3F27D4FF-7D0F-4C71-BB8A-2019CD55DD1B}">
    <text>Try set all up for 01/10</text>
  </threadedComment>
  <threadedComment ref="J26" dT="2022-07-04T12:28:57.55" personId="{00000000-0000-0000-0000-000000000000}" id="{61A80FE0-F8DA-4C8C-B988-3F7AAC856BC5}">
    <text>Stag do, matt repay</text>
  </threadedComment>
  <threadedComment ref="K26" dT="2022-07-12T20:04:19.73" personId="{00000000-0000-0000-0000-000000000000}" id="{45F732BC-5792-4C48-A763-E6D9D14FAABA}">
    <text>Battery</text>
  </threadedComment>
  <threadedComment ref="J27" dT="2022-07-12T21:02:59.61" personId="{00000000-0000-0000-0000-000000000000}" id="{3094B4A6-D504-4CB5-B659-2ACA46B03632}">
    <text>Vanny Campers</text>
  </threadedComment>
  <threadedComment ref="E33" dT="2022-06-05T21:39:25.22" personId="{00000000-0000-0000-0000-000000000000}" id="{E86D722F-7E94-4E63-9584-541AD0CEDE92}">
    <text>1100 in cash</text>
  </threadedComment>
  <threadedComment ref="F33" dT="2022-04-27T16:55:50.53" personId="{00000000-0000-0000-0000-000000000000}" id="{72557492-FE36-4C38-AAB0-472E7BE3EDB1}">
    <text>+150 due from amex
+200 from Kris bonus</text>
  </threadedComment>
  <threadedComment ref="I35" dT="2022-07-12T21:07:45.55" personId="{00000000-0000-0000-0000-000000000000}" id="{750515CB-E5E0-48A1-BC3F-2291F4A232EF}">
    <text>50 - Anna present</text>
  </threadedComment>
  <threadedComment ref="J35" dT="2022-07-12T21:08:08.05" personId="{00000000-0000-0000-0000-000000000000}" id="{E7DC58CE-1834-493A-ABE1-8F1160B18F1F}">
    <text>Baby shower</text>
  </threadedComment>
  <threadedComment ref="L35" dT="2022-07-21T18:08:09.88" personId="{00000000-0000-0000-0000-000000000000}" id="{AFF1F0C1-3431-458A-9CA5-E8015108EE48}">
    <text>Phil and Al wedding</text>
  </threadedComment>
  <threadedComment ref="M35" dT="2022-07-21T18:05:04.48" personId="{00000000-0000-0000-0000-000000000000}" id="{0BE0993E-1C17-4EAD-8215-E874782A8DEE}">
    <text>kris meal james</text>
  </threadedComment>
  <threadedComment ref="F37" dT="2022-06-25T18:45:43.29" personId="{00000000-0000-0000-0000-000000000000}" id="{87AE1D9A-CFCE-4B5A-BB25-77CFA25D8A92}">
    <text>+75 due from amex</text>
  </threadedComment>
  <threadedComment ref="D38" dT="2022-04-21T17:09:59.62" personId="{00000000-0000-0000-0000-000000000000}" id="{0ACDF496-F012-4FF3-AC77-45E914B13463}">
    <text>1080 - Base
50 - Luna
30 - Pup Care
25 - Extra Food</text>
  </threadedComment>
  <threadedComment ref="F38" dT="2022-04-27T16:32:30.50" personId="{00000000-0000-0000-0000-000000000000}" id="{27AA0BA0-BC7A-47ED-80AF-15758E4345A5}">
    <text>200 - owe to maldives, waiting for bonus
31.75 - asos, paying this month</text>
  </threadedComment>
  <threadedComment ref="G40" dT="2022-06-05T22:21:28.59" personId="{00000000-0000-0000-0000-000000000000}" id="{AFCB46CC-92FF-478B-A2B7-2DB205339596}">
    <text>1080 in cash</text>
  </threadedComment>
  <threadedComment ref="O47" dT="2022-07-12T21:03:20.31" personId="{00000000-0000-0000-0000-000000000000}" id="{A8053147-7E64-419F-8019-2D44B7660F1B}">
    <text>Incoming expenses
£30 gift card</text>
  </threadedComment>
</ThreadedComments>
</file>

<file path=xl/threadedComments/threadedComment46.xml><?xml version="1.0" encoding="utf-8"?>
<ThreadedComments xmlns="http://schemas.microsoft.com/office/spreadsheetml/2018/threadedcomments" xmlns:x="http://schemas.openxmlformats.org/spreadsheetml/2006/main">
  <threadedComment ref="O4" dT="2022-08-05T15:18:08.34" personId="{00000000-0000-0000-0000-000000000000}" id="{75971C72-D878-4EEE-AE53-81DB3F64D0A7}">
    <text>+243.24 airbnb take next month
+54.34
+96.22
+20
+20
+40.92
+16</text>
  </threadedComment>
  <threadedComment ref="N7" dT="2022-08-22T10:48:03.35" personId="{00000000-0000-0000-0000-000000000000}" id="{E4AE1289-6D36-4399-ABA5-D1DB0446FB0F}">
    <text>25.31 petrol</text>
  </threadedComment>
  <threadedComment ref="D16" dT="2019-09-25T15:11:22.20" personId="{00000000-0000-0000-0000-000000000000}" id="{93187B4A-AA29-460F-93F0-A417C57C2444}">
    <text>Home and Content
Life
Bunny</text>
  </threadedComment>
  <threadedComment ref="D20" dT="2021-07-04T18:21:39.47" personId="{00000000-0000-0000-0000-000000000000}" id="{66F8E47B-E954-4CBD-92A7-F479F0359388}">
    <text xml:space="preserve">TAX
	MJ55: 340
	S70: 155
</text>
  </threadedComment>
  <threadedComment ref="D26" dT="2021-07-04T18:13:45.25" personId="{00000000-0000-0000-0000-000000000000}" id="{77E0FA63-A6D3-487B-A187-8D8412D1864A}">
    <text>Try set all up for 01/10</text>
  </threadedComment>
  <threadedComment ref="E33" dT="2022-06-05T21:39:25.22" personId="{00000000-0000-0000-0000-000000000000}" id="{DCFE67A8-5BED-4A6D-90C9-F76B436B084C}">
    <text>1100 in cash</text>
  </threadedComment>
  <threadedComment ref="F33" dT="2022-04-27T16:55:50.53" personId="{00000000-0000-0000-0000-000000000000}" id="{9C156DC9-5FF3-47FE-8555-D81F33F3798E}">
    <text>+200 from Kris bonus</text>
  </threadedComment>
  <threadedComment ref="H33" dT="2022-07-25T19:27:11.01" personId="{00000000-0000-0000-0000-000000000000}" id="{EBC029AB-7696-4825-B8B4-3B2DDD50C826}">
    <text>243.24 filey</text>
  </threadedComment>
  <threadedComment ref="H36" dT="2022-08-05T15:15:10.13" personId="{00000000-0000-0000-0000-000000000000}" id="{5789DBD8-54A3-4A5B-BCBC-66AC2D36E506}">
    <text>matt drills</text>
  </threadedComment>
  <threadedComment ref="J36" dT="2022-08-05T15:13:42.32" personId="{00000000-0000-0000-0000-000000000000}" id="{ACCD16BD-947A-447F-9D59-DF8CA21FF138}">
    <text>wedding card</text>
  </threadedComment>
  <threadedComment ref="L36" dT="2022-08-22T10:45:14.09" personId="{00000000-0000-0000-0000-000000000000}" id="{90254E2E-FEC8-4DDB-8C12-A9534013852A}">
    <text>Taps</text>
  </threadedComment>
  <threadedComment ref="D39" dT="2022-04-21T17:09:59.62" personId="{00000000-0000-0000-0000-000000000000}" id="{0E178FBF-077C-45FD-A695-4987524017AC}">
    <text>1080 - Base
50 - Luna
30 - Pup Care
25 - Extra Food</text>
  </threadedComment>
  <threadedComment ref="F39" dT="2022-04-27T16:32:30.50" personId="{00000000-0000-0000-0000-000000000000}" id="{D8D8490F-9997-4D66-ABC4-917F5A3D56FC}">
    <text>200 - owe to maldives, waiting for bonus
31.75 - asos, paying this month</text>
  </threadedComment>
  <threadedComment ref="G41" dT="2022-06-05T22:21:28.59" personId="{00000000-0000-0000-0000-000000000000}" id="{661F8B06-45C4-484D-833E-5FF1486A2EC8}">
    <text>1080 in cash</text>
  </threadedComment>
  <threadedComment ref="O48" dT="2022-07-12T21:03:20.31" personId="{00000000-0000-0000-0000-000000000000}" id="{767257FE-5490-4C45-915D-25C78132266C}">
    <text>Incoming expenses
£30 gift card</text>
  </threadedComment>
</ThreadedComments>
</file>

<file path=xl/threadedComments/threadedComment47.xml><?xml version="1.0" encoding="utf-8"?>
<ThreadedComments xmlns="http://schemas.microsoft.com/office/spreadsheetml/2018/threadedcomments" xmlns:x="http://schemas.openxmlformats.org/spreadsheetml/2006/main">
  <threadedComment ref="D16" dT="2019-09-25T15:11:22.20" personId="{00000000-0000-0000-0000-000000000000}" id="{9659D10B-68E0-49CF-86E1-F6151AA0A56A}">
    <text>Home and Content
Life
Bunny</text>
  </threadedComment>
  <threadedComment ref="D20" dT="2021-07-04T18:21:39.47" personId="{00000000-0000-0000-0000-000000000000}" id="{8858BB7E-F4C5-4254-9655-C623A2434608}">
    <text xml:space="preserve">TAX
	MJ55: 340
	S70: 155
</text>
  </threadedComment>
  <threadedComment ref="D26" dT="2021-07-04T18:13:45.25" personId="{00000000-0000-0000-0000-000000000000}" id="{A1A1D3AE-A395-49D6-BABE-BF2DD19A9B1D}">
    <text>Try set all up for 01/10</text>
  </threadedComment>
  <threadedComment ref="F30" dT="2022-08-23T16:29:14.26" personId="{00000000-0000-0000-0000-000000000000}" id="{E7001567-00FA-4DEE-BA75-CDFCB3441518}">
    <text>£460 from 1st Dec</text>
  </threadedComment>
  <threadedComment ref="F35" dT="2022-09-01T10:24:22.49" personId="{00000000-0000-0000-0000-000000000000}" id="{076CBABE-D9F5-4DFD-9EE6-A432BEB10C86}">
    <text>+150 for hotel, come from vodaphone swap incentive</text>
  </threadedComment>
  <threadedComment ref="H39" dT="2022-09-15T13:13:08.70" personId="{00000000-0000-0000-0000-000000000000}" id="{F1983064-46F4-4794-9A31-5F7E7DC116CD}">
    <text>18.99 card wallet
50 polo</text>
  </threadedComment>
  <threadedComment ref="J39" dT="2022-09-15T13:24:42.66" personId="{00000000-0000-0000-0000-000000000000}" id="{71A506D7-76BF-45A3-AD95-003AEB1BBF25}">
    <text>32.1 Next</text>
  </threadedComment>
  <threadedComment ref="J39" dT="2022-09-19T17:39:27.33" personId="{00000000-0000-0000-0000-000000000000}" id="{7C8ABBD4-E1EA-4C78-B59C-8A9B5D124565}" parentId="{71A506D7-76BF-45A3-AD95-003AEB1BBF25}">
    <text>30.05 inesa coffee
132 lulu</text>
  </threadedComment>
  <threadedComment ref="K39" dT="2022-09-15T13:13:42.41" personId="{00000000-0000-0000-0000-000000000000}" id="{089C1656-5AAE-4749-B145-B3AD495F5B99}">
    <text>20 Ben
60 Mum
54 Rob Theatre</text>
  </threadedComment>
  <threadedComment ref="L39" dT="2022-09-15T14:36:41.34" personId="{00000000-0000-0000-0000-000000000000}" id="{612D8A0C-D4D1-4621-9116-BCA4BBD1179E}">
    <text>Next</text>
  </threadedComment>
</ThreadedComments>
</file>

<file path=xl/threadedComments/threadedComment48.xml><?xml version="1.0" encoding="utf-8"?>
<ThreadedComments xmlns="http://schemas.microsoft.com/office/spreadsheetml/2018/threadedcomments" xmlns:x="http://schemas.openxmlformats.org/spreadsheetml/2006/main">
  <threadedComment ref="O4" dT="2022-08-05T15:18:08.34" personId="{00000000-0000-0000-0000-000000000000}" id="{7CF04384-D498-47D5-A707-6C39479214C9}">
    <text>+243.24 airbnb take next month
+54.34
+96.22
+20
+20
+40.92
+16</text>
  </threadedComment>
  <threadedComment ref="D16" dT="2019-09-25T15:11:22.20" personId="{00000000-0000-0000-0000-000000000000}" id="{5D687608-FEFB-4F66-934E-DF02ED312AF2}">
    <text>Home and Content
Life
Bunny</text>
  </threadedComment>
  <threadedComment ref="D20" dT="2021-07-04T18:21:39.47" personId="{00000000-0000-0000-0000-000000000000}" id="{7377FC15-E3F8-46D0-AF05-E5F338D8300F}">
    <text xml:space="preserve">TAX
	MJ55: 340
	S70: 155
</text>
  </threadedComment>
  <threadedComment ref="D26" dT="2021-07-04T18:13:45.25" personId="{00000000-0000-0000-0000-000000000000}" id="{889A70C5-874C-4B5D-BBD0-E9587179532B}">
    <text>Try set all up for 01/10</text>
  </threadedComment>
  <threadedComment ref="F30" dT="2022-08-23T16:29:14.26" personId="{00000000-0000-0000-0000-000000000000}" id="{5D3312F9-93B5-49E7-BFDB-CCD19D0B8881}">
    <text>+2400</text>
  </threadedComment>
  <threadedComment ref="M30" dT="2022-10-28T12:39:56.33" personId="{00000000-0000-0000-0000-000000000000}" id="{337C38BF-34EA-4E77-9C58-4C8FF41686B4}">
    <text>87 - Insurance pre payment</text>
  </threadedComment>
  <threadedComment ref="M30" dT="2022-10-28T12:40:11.61" personId="{00000000-0000-0000-0000-000000000000}" id="{77685171-EFDC-479F-9E17-2DDBB402650F}" parentId="{337C38BF-34EA-4E77-9C58-4C8FF41686B4}">
    <text>9.99 - nowtv
93.99 - nord</text>
  </threadedComment>
  <threadedComment ref="H36" dT="2022-10-12T19:55:06.38" personId="{00000000-0000-0000-0000-000000000000}" id="{BAF03FE7-58D8-465D-8DA2-AF25F4B21BC9}">
    <text>Air fryer
Dehumid</text>
  </threadedComment>
  <threadedComment ref="M37" dT="2022-10-28T13:08:00.53" personId="{00000000-0000-0000-0000-000000000000}" id="{8169E549-A83A-421C-B6FF-F406680C9AC7}">
    <text>Babu</text>
  </threadedComment>
  <threadedComment ref="N37" dT="2022-10-28T13:07:52.48" personId="{00000000-0000-0000-0000-000000000000}" id="{3CBE893B-74EB-4907-B262-A5D44925641A}">
    <text>117.15 - Anniversary
22.99 - Oscar</text>
  </threadedComment>
  <threadedComment ref="O49" dT="2022-07-12T21:03:20.31" personId="{00000000-0000-0000-0000-000000000000}" id="{EAEC1618-DF81-42A4-9B4E-7E86E5DC028B}">
    <text>Incoming expenses
£30 gift card</text>
  </threadedComment>
</ThreadedComments>
</file>

<file path=xl/threadedComments/threadedComment49.xml><?xml version="1.0" encoding="utf-8"?>
<ThreadedComments xmlns="http://schemas.microsoft.com/office/spreadsheetml/2018/threadedcomments" xmlns:x="http://schemas.openxmlformats.org/spreadsheetml/2006/main">
  <threadedComment ref="F6" dT="2022-11-07T14:28:28.79" personId="{00000000-0000-0000-0000-000000000000}" id="{E57EF03B-4F08-40AF-BE17-0D437E412698}">
    <text>45 on revolut</text>
  </threadedComment>
  <threadedComment ref="N7" dT="2022-11-21T12:09:01.26" personId="{00000000-0000-0000-0000-000000000000}" id="{FE497CAD-D310-4399-BEEB-A472222DAA75}">
    <text>42.89 pending</text>
  </threadedComment>
  <threadedComment ref="D16" dT="2019-09-25T15:11:22.20" personId="{00000000-0000-0000-0000-000000000000}" id="{5E340FAB-5EA8-4360-BE92-4290EBCA1185}">
    <text>Home and Content
Life
Bunny</text>
  </threadedComment>
  <threadedComment ref="D20" dT="2021-07-04T18:21:39.47" personId="{00000000-0000-0000-0000-000000000000}" id="{2E4270EB-8ED2-4B9E-8CEA-D4059DC06A3E}">
    <text xml:space="preserve">TAX
	MJ55: 340
	S70: 155
</text>
  </threadedComment>
  <threadedComment ref="D26" dT="2021-07-04T18:13:45.25" personId="{00000000-0000-0000-0000-000000000000}" id="{2A12943E-8B1E-418D-9CFE-0203A2913839}">
    <text>Try set all up for 01/10</text>
  </threadedComment>
  <threadedComment ref="F30" dT="2022-08-23T16:29:14.26" personId="{00000000-0000-0000-0000-000000000000}" id="{549B0B3D-6C39-44F5-BE23-2E41F8BC2159}">
    <text>£460 from 1st Dec</text>
  </threadedComment>
  <threadedComment ref="F30" dT="2022-11-03T12:38:05.46" personId="{00000000-0000-0000-0000-000000000000}" id="{C5833592-82D3-4B21-8993-DD99AF80F39D}" parentId="{549B0B3D-6C39-44F5-BE23-2E41F8BC2159}">
    <text>45 down from insurance overpayment</text>
  </threadedComment>
  <threadedComment ref="G30" dT="2022-11-07T14:28:09.16" personId="{00000000-0000-0000-0000-000000000000}" id="{B626FB3A-76FB-4E90-898C-753755134D31}">
    <text>Moved to savings</text>
  </threadedComment>
  <threadedComment ref="E36" dT="2022-10-29T10:40:43.53" personId="{00000000-0000-0000-0000-000000000000}" id="{C701A7DA-FBF9-44A0-8B59-A20E3AF31D75}">
    <text>-210 for sweaty betty stuff</text>
  </threadedComment>
  <threadedComment ref="F36" dT="2022-10-28T15:28:02.82" personId="{00000000-0000-0000-0000-000000000000}" id="{F86B3866-6150-4FE1-8020-0B10AB64BB6B}">
    <text>130 owed for air fryer - sell mics</text>
  </threadedComment>
  <threadedComment ref="G36" dT="2022-11-07T14:28:15.69" personId="{00000000-0000-0000-0000-000000000000}" id="{B8F07103-3A04-4532-956A-4F3164417FCE}">
    <text>Moved to savings</text>
  </threadedComment>
  <threadedComment ref="F37" dT="2022-10-28T12:59:21.07" personId="{00000000-0000-0000-0000-000000000000}" id="{B0069017-3933-4A01-AF53-23E9164FEBD8}">
    <text>+54 stand up tickets</text>
  </threadedComment>
  <threadedComment ref="H37" dT="2022-11-03T13:52:18.07" personId="{00000000-0000-0000-0000-000000000000}" id="{D1D5BAAD-53DC-4BA9-9356-8DB94CB89614}">
    <text>Dini day</text>
  </threadedComment>
  <threadedComment ref="M37" dT="2022-11-21T12:21:53.26" personId="{00000000-0000-0000-0000-000000000000}" id="{3D212FAE-0F16-4F4E-9010-AA39DD472908}">
    <text>Hawthorn</text>
  </threadedComment>
  <threadedComment ref="N37" dT="2022-11-21T12:16:24.67" personId="{00000000-0000-0000-0000-000000000000}" id="{5D0CF375-2299-4FFB-A82D-AB31840FBF87}">
    <text>Kris zara</text>
  </threadedComment>
  <threadedComment ref="O49" dT="2022-07-12T21:03:20.31" personId="{00000000-0000-0000-0000-000000000000}" id="{728EC74C-5F17-4186-B379-5CDFF90825DF}">
    <text>Incoming expenses
£30 gift card</text>
  </threadedComment>
</ThreadedComments>
</file>

<file path=xl/threadedComments/threadedComment50.xml><?xml version="1.0" encoding="utf-8"?>
<ThreadedComments xmlns="http://schemas.microsoft.com/office/spreadsheetml/2018/threadedcomments" xmlns:x="http://schemas.openxmlformats.org/spreadsheetml/2006/main">
  <threadedComment ref="D16" dT="2019-09-25T15:11:22.20" personId="{00000000-0000-0000-0000-000000000000}" id="{34638BE3-F0BE-42FD-A9B6-B3AB99280554}">
    <text>Home and Content
Life
Bunny</text>
  </threadedComment>
  <threadedComment ref="D20" dT="2021-07-04T18:21:39.47" personId="{00000000-0000-0000-0000-000000000000}" id="{727EC954-0961-41C2-8181-F6CAD58D4D1E}">
    <text xml:space="preserve">TAX
	MJ55: 340
	S70: 155
</text>
  </threadedComment>
  <threadedComment ref="L25" dT="2022-12-12T13:44:31.41" personId="{00000000-0000-0000-0000-000000000000}" id="{39968F3F-246D-438D-8B38-3B4454061A5C}">
    <text>Luna undies</text>
  </threadedComment>
  <threadedComment ref="D26" dT="2021-07-04T18:13:45.25" personId="{00000000-0000-0000-0000-000000000000}" id="{57A286FC-BD79-4727-99C0-126AE1B90332}">
    <text>Try set all up for 01/10</text>
  </threadedComment>
  <threadedComment ref="G26" dT="2022-11-29T11:27:15.72" personId="{00000000-0000-0000-0000-000000000000}" id="{3B36034B-A2D5-4A39-A51E-128147895E93}">
    <text>Leggings - will sell and reimb</text>
  </threadedComment>
  <threadedComment ref="I26" dT="2022-12-05T10:41:23.58" personId="{00000000-0000-0000-0000-000000000000}" id="{BA4FD327-B0A5-4E47-91A4-7134081951D3}">
    <text>336 - car repair</text>
  </threadedComment>
  <threadedComment ref="L26" dT="2022-12-12T13:44:21.24" personId="{00000000-0000-0000-0000-000000000000}" id="{B50C551C-779C-4E0D-BFD8-454613904D5F}">
    <text>Kris tkmaxx</text>
  </threadedComment>
  <threadedComment ref="L26" dT="2022-12-16T16:54:53.88" personId="{00000000-0000-0000-0000-000000000000}" id="{37747FC7-1DAE-4C55-8F09-0EE3E215256B}" parentId="{B50C551C-779C-4E0D-BFD8-454613904D5F}">
    <text>55 mum repay 20, 36 zara rfd</text>
  </threadedComment>
  <threadedComment ref="F30" dT="2022-08-23T16:29:14.26" personId="{00000000-0000-0000-0000-000000000000}" id="{1F2BCEF5-B261-4425-B376-D0EA96D619B2}">
    <text>£460 from 1st Dec</text>
  </threadedComment>
  <threadedComment ref="F38" dT="2022-11-21T12:24:32.61" personId="{00000000-0000-0000-0000-000000000000}" id="{42F6B783-C350-41D6-B895-49FF67828D07}">
    <text>98.85 doggy dryer
92.98 kris repay
91.2 hawthorn</text>
  </threadedComment>
  <threadedComment ref="G38" dT="2022-12-05T10:22:55.21" personId="{00000000-0000-0000-0000-000000000000}" id="{A2B77993-532C-4C4F-AA31-0555A7B07C1C}">
    <text>Luna - health opts</text>
  </threadedComment>
  <threadedComment ref="H38" dT="2022-11-29T11:37:12.87" personId="{00000000-0000-0000-0000-000000000000}" id="{88D146C1-C93A-4511-8FC7-DA3365C4A5CC}">
    <text>17.63 - amz leftover
89 - oodies
72.38 - matt
54 - spare oodie to return
60 - matt
25.98 - oscar
15 - baubels</text>
  </threadedComment>
  <threadedComment ref="H41" dT="2022-11-29T11:32:45.74" personId="{00000000-0000-0000-0000-000000000000}" id="{868AC67B-3434-4D9E-8F68-A8B662C3B32C}">
    <text>36.94 - zara skirt return
78.37 - tkmaxx
36.91 - lookfantastic
30 - tkmaxx</text>
  </threadedComment>
  <threadedComment ref="O50" dT="2022-07-12T21:03:20.31" personId="{00000000-0000-0000-0000-000000000000}" id="{382E4FC3-529B-4741-A725-0907C615B078}">
    <text>Incoming expenses
£30 gift card</text>
  </threadedComment>
</ThreadedComments>
</file>

<file path=xl/threadedComments/threadedComment51.xml><?xml version="1.0" encoding="utf-8"?>
<ThreadedComments xmlns="http://schemas.microsoft.com/office/spreadsheetml/2018/threadedcomments" xmlns:x="http://schemas.openxmlformats.org/spreadsheetml/2006/main">
  <threadedComment ref="D16" dT="2019-09-25T15:11:22.20" personId="{00000000-0000-0000-0000-000000000000}" id="{3C9F544E-E746-436F-8845-8207BDE27C3D}">
    <text>Home and Content
Life
Bunny</text>
  </threadedComment>
  <threadedComment ref="D20" dT="2021-07-04T18:21:39.47" personId="{00000000-0000-0000-0000-000000000000}" id="{F88B8FF2-A2D3-40C6-9E11-35849A5B9AF8}">
    <text xml:space="preserve">TAX
	MJ55: 340
	S70: 155
</text>
  </threadedComment>
  <threadedComment ref="G25" dT="2023-01-03T17:48:15.54" personId="{00000000-0000-0000-0000-000000000000}" id="{AA405A1E-B216-4853-97F7-501C433A43C1}">
    <text>45.92 vitality to cancel</text>
  </threadedComment>
  <threadedComment ref="D26" dT="2021-07-04T18:13:45.25" personId="{00000000-0000-0000-0000-000000000000}" id="{5BB645B9-EFBF-405B-A6DD-063F5885DA4C}">
    <text>Try set all up for 01/10</text>
  </threadedComment>
  <threadedComment ref="F30" dT="2022-11-21T16:28:54.11" personId="{00000000-0000-0000-0000-000000000000}" id="{59707221-888B-43A0-91B8-7DBF5E058D42}">
    <text>Can draw down £100 from savings</text>
  </threadedComment>
  <threadedComment ref="G39" dT="2023-01-03T18:06:21.72" personId="{00000000-0000-0000-0000-000000000000}" id="{225DFFB8-35CC-4624-AC28-BF8A70C8AB72}">
    <text>Kris owes 60??</text>
  </threadedComment>
  <threadedComment ref="H39" dT="2023-01-03T18:12:56.65" personId="{00000000-0000-0000-0000-000000000000}" id="{6EA3CE05-7DAE-4914-A4D3-2E63FA58AD74}">
    <text>79 - lulu
60 - sb
34 - zara
30 - h&amp;m
98 - lulu may return</text>
  </threadedComment>
  <threadedComment ref="I41" dT="2023-01-03T22:34:01.99" personId="{00000000-0000-0000-0000-000000000000}" id="{58F28E3D-4AE2-44B2-9D01-412FD26CA117}">
    <text>100 from savings for kris - now in cash
100 from savings for me - will return with expenses / sign up voucher</text>
  </threadedComment>
</ThreadedComments>
</file>

<file path=xl/threadedComments/threadedComment52.xml><?xml version="1.0" encoding="utf-8"?>
<ThreadedComments xmlns="http://schemas.microsoft.com/office/spreadsheetml/2018/threadedcomments" xmlns:x="http://schemas.openxmlformats.org/spreadsheetml/2006/main">
  <threadedComment ref="D10" dT="2022-11-21T15:31:09.97" personId="{00000000-0000-0000-0000-000000000000}" id="{5E80AB1A-D4CC-9F4D-A809-284171610556}">
    <text>13.5k remaining tesco
5k post grad loan</text>
  </threadedComment>
  <threadedComment ref="C13" dT="2023-02-24T11:23:01.88" personId="{00000000-0000-0000-0000-000000000000}" id="{A4C408C6-0E9F-8941-A047-F8A20106782A}">
    <text>Remaining mtg come JUN30</text>
  </threadedComment>
</ThreadedComments>
</file>

<file path=xl/threadedComments/threadedComment53.xml><?xml version="1.0" encoding="utf-8"?>
<ThreadedComments xmlns="http://schemas.microsoft.com/office/spreadsheetml/2018/threadedcomments" xmlns:x="http://schemas.openxmlformats.org/spreadsheetml/2006/main">
  <threadedComment ref="E3" dT="2022-01-21T15:57:05.99" personId="{00000000-0000-0000-0000-000000000000}" id="{BCBF49AB-224C-E04C-9F19-4BA16D812F64}">
    <text>200 short because of extra tax, hoping to drip feed back in over coming months
180 in jar</text>
  </threadedComment>
  <threadedComment ref="E4" dT="2022-03-15T23:00:58.80" personId="{00000000-0000-0000-0000-000000000000}" id="{A729BA72-C1C2-8946-8CAA-9BCB5160C485}">
    <text>+500 phone to be paid back
+60 Filey pre-booking</text>
  </threadedComment>
  <threadedComment ref="A11" dT="2021-01-26T13:04:19.14" personId="{00000000-0000-0000-0000-000000000000}" id="{BBB80E66-9D4B-F34F-AED9-3A08C4C034C9}">
    <text>If commuting resumes in JUN</text>
  </threadedComment>
  <threadedComment ref="A12" dT="2021-08-18T17:55:01.21" personId="{00000000-0000-0000-0000-000000000000}" id="{7B8A14B3-37B0-234E-9731-A8C438763605}">
    <text>Repaid tesco loan early</text>
  </threadedComment>
  <threadedComment ref="E12" dT="2021-08-18T18:06:39.42" personId="{00000000-0000-0000-0000-000000000000}" id="{BD43BBE6-ADD5-6949-B44B-D6B93879445A}">
    <text>Total includes +150 from fuel
+225 from food
+300 from HTB</text>
  </threadedComment>
  <threadedComment ref="A13" dT="2021-08-18T17:56:09.51" personId="{00000000-0000-0000-0000-000000000000}" id="{D673005F-1A13-554B-855E-9E26C2501BC5}">
    <text>Repaid tesco early, started putting money towards hols</text>
  </threadedComment>
  <threadedComment ref="D16" dT="2021-07-30T23:03:00.20" personId="{00000000-0000-0000-0000-000000000000}" id="{6658B735-7A41-AA4F-B4F2-2386CE5B8C0F}">
    <text>Actual = 14157.47</text>
  </threadedComment>
  <threadedComment ref="D16" dT="2021-08-18T17:43:19.58" personId="{00000000-0000-0000-0000-000000000000}" id="{E73B7972-D1CF-B743-A832-6114A2AB44A2}" parentId="{6658B735-7A41-AA4F-B4F2-2386CE5B8C0F}">
    <text>Paid off tesco, stretching savings to APR</text>
  </threadedComment>
  <threadedComment ref="C18" dT="2020-11-23T17:47:27.76" personId="{00000000-0000-0000-0000-000000000000}" id="{4E487728-3B01-3C4E-9F9C-49DD20462678}">
    <text>6270 bank
460 jar</text>
  </threadedComment>
  <threadedComment ref="D19" dT="2021-10-03T12:23:19.99" personId="{00000000-0000-0000-0000-000000000000}" id="{8F510DC0-DF15-094E-BAD4-1B61B0913CFD}">
    <text>+150 from latvia trip
+130 couch sale
-1000 for house (mtg repay jan,feb,mar)
+130 in jar</text>
  </threadedComment>
  <threadedComment ref="C20" dT="2020-12-10T20:58:25.20" personId="{00000000-0000-0000-0000-000000000000}" id="{130F5C60-9A6C-1844-AB6D-082A29D1E47C}">
    <text>770 in jar</text>
  </threadedComment>
  <threadedComment ref="D20" dT="2021-10-21T10:07:12.98" personId="{00000000-0000-0000-0000-000000000000}" id="{6040E2F7-348D-C042-843A-0242E4631328}">
    <text>+459.6 from toyota payment + dec break deposit</text>
  </threadedComment>
  <threadedComment ref="C21" dT="2020-12-27T14:38:38.25" personId="{00000000-0000-0000-0000-000000000000}" id="{66C17924-20F5-8246-9E22-8BFAE6E0E153}">
    <text>535 in jar</text>
  </threadedComment>
  <threadedComment ref="D21" dT="2021-10-21T10:07:00.62" personId="{00000000-0000-0000-0000-000000000000}" id="{D583DF8C-52E5-2546-817B-8AD869269EBC}">
    <text>+500 from hol budget for Aug break</text>
  </threadedComment>
</ThreadedComments>
</file>

<file path=xl/threadedComments/threadedComment54.xml><?xml version="1.0" encoding="utf-8"?>
<ThreadedComments xmlns="http://schemas.microsoft.com/office/spreadsheetml/2018/threadedcomments" xmlns:x="http://schemas.openxmlformats.org/spreadsheetml/2006/main">
  <threadedComment ref="G3" dT="2024-08-13T16:03:42.09" personId="{00000000-0000-0000-0000-000000000000}" id="{95C505CE-46CB-44FD-AAC8-9F6D4340881C}">
    <text>Thu 2nd
Fri 3rd</text>
  </threadedComment>
  <threadedComment ref="H3" dT="2024-08-13T16:03:34.15" personId="{00000000-0000-0000-0000-000000000000}" id="{C06304A0-C4C2-4466-A711-C19DAB929B05}">
    <text>Wed 1st</text>
  </threadedComment>
  <threadedComment ref="F4" dT="2024-08-13T16:14:04.56" personId="{00000000-0000-0000-0000-000000000000}" id="{975A70F9-0896-48AC-8C79-A9BB0FA07AB9}">
    <text>Sat 12th - Sun 27th</text>
  </threadedComment>
  <threadedComment ref="G4" dT="2024-08-13T16:04:27.71" personId="{00000000-0000-0000-0000-000000000000}" id="{9C8677E1-558C-489F-B7B4-9871E0F8AE65}">
    <text>Mon 14th - Thu 17th
Tue 22nd - Fri 25th</text>
  </threadedComment>
  <threadedComment ref="S4" dT="2025-08-04T19:24:06.36" personId="{00000000-0000-0000-0000-000000000000}" id="{54170D73-679C-4F8A-A41D-B7DDC3FBA749}">
    <text>minus extra 2 - leaving at 10pm Friday so can work the 1st, landing at 6am, so can work the 16th</text>
  </threadedComment>
  <threadedComment ref="F5" dT="2024-08-13T16:16:25.24" personId="{00000000-0000-0000-0000-000000000000}" id="{AA8E93E0-175A-41ED-B8BC-F38708D803C6}">
    <text>Sat 3rd - Sun 11th
Sat 24th - Sun 1st Jun</text>
  </threadedComment>
  <threadedComment ref="F6" dT="2024-08-13T16:17:51.52" personId="{00000000-0000-0000-0000-000000000000}" id="{6BC6EAB1-B8C7-4221-90B6-968A552D1E56}">
    <text>Sat 23rd - Sun 31st</text>
  </threadedComment>
  <threadedComment ref="F7" dT="2024-08-13T16:40:30.79" personId="{00000000-0000-0000-0000-000000000000}" id="{C47D6640-389C-4DD7-B434-EA961F98E8AD}">
    <text>22nd - 24th</text>
  </threadedComment>
</ThreadedComments>
</file>

<file path=xl/threadedComments/threadedComment55.xml><?xml version="1.0" encoding="utf-8"?>
<ThreadedComments xmlns="http://schemas.microsoft.com/office/spreadsheetml/2018/threadedcomments" xmlns:x="http://schemas.openxmlformats.org/spreadsheetml/2006/main">
  <threadedComment ref="D15" dT="2019-09-25T15:11:22.20" personId="{00000000-0000-0000-0000-000000000000}" id="{1A423848-A858-4EBC-B4C2-6F3732258B53}">
    <text>Home and Content
Life
Bunny</text>
  </threadedComment>
  <threadedComment ref="D19" dT="2021-07-04T18:21:39.47" personId="{00000000-0000-0000-0000-000000000000}" id="{DCD0D11E-7D24-43CC-BE7A-8BCFDFE2B2CD}">
    <text xml:space="preserve">TAX
	MJ55: 340
	S70: 155
</text>
  </threadedComment>
  <threadedComment ref="F21" dT="2023-01-25T10:45:21.50" personId="{00000000-0000-0000-0000-000000000000}" id="{A0D47886-987C-4C38-9F90-7718AF9EB2FE}">
    <text>From contingency</text>
  </threadedComment>
  <threadedComment ref="D27" dT="2021-07-04T18:13:45.25" personId="{00000000-0000-0000-0000-000000000000}" id="{012A4963-2765-4DA5-8A28-CD013A88338C}">
    <text>Try set all up for 01/10</text>
  </threadedComment>
  <threadedComment ref="I28" dT="2023-02-15T14:55:46.82" personId="{00000000-0000-0000-0000-000000000000}" id="{84E7D5CA-4C5E-4913-9FC9-8A883B743958}">
    <text>Jordan birthday</text>
  </threadedComment>
  <threadedComment ref="L28" dT="2023-02-15T14:55:52.91" personId="{00000000-0000-0000-0000-000000000000}" id="{ED4E6BE3-EFAE-4452-83BE-7ED1EB497BFF}">
    <text>Valentines</text>
  </threadedComment>
  <threadedComment ref="G29" dT="2023-02-15T14:56:14.62" personId="{00000000-0000-0000-0000-000000000000}" id="{631549A7-7556-4E8D-A629-EF54DCD8056B}">
    <text>299 mab fee</text>
  </threadedComment>
  <threadedComment ref="I29" dT="2023-02-15T14:56:48.96" personId="{00000000-0000-0000-0000-000000000000}" id="{FA6BFE4C-4D3B-4FDF-96E6-F30BC3DA9BD1}">
    <text>375 skin by katie
200 htb fee</text>
  </threadedComment>
  <threadedComment ref="J29" dT="2023-02-15T14:57:00.87" personId="{00000000-0000-0000-0000-000000000000}" id="{9016210D-CEC3-4361-A631-056EAEAD840E}">
    <text>245 Lulu shopping</text>
  </threadedComment>
</ThreadedComments>
</file>

<file path=xl/threadedComments/threadedComment56.xml><?xml version="1.0" encoding="utf-8"?>
<ThreadedComments xmlns="http://schemas.microsoft.com/office/spreadsheetml/2018/threadedcomments" xmlns:x="http://schemas.openxmlformats.org/spreadsheetml/2006/main">
  <threadedComment ref="F34" dT="2023-03-03T17:13:52.63" personId="{00000000-0000-0000-0000-000000000000}" id="{4B69AE86-A64A-4844-B6B7-E5A91D34A2D9}">
    <text>80 in cash</text>
  </threadedComment>
  <threadedComment ref="G34" dT="2023-02-24T10:19:26.84" personId="{00000000-0000-0000-0000-000000000000}" id="{779E6914-1374-497C-9D48-3F8686717570}">
    <text>Over spend on credit card, need to get back</text>
  </threadedComment>
  <threadedComment ref="F35" dT="2023-03-06T09:52:30.58" personId="{00000000-0000-0000-0000-000000000000}" id="{31B65223-D081-4C5F-A364-ABEF898FFE86}">
    <text>50 = horse</text>
  </threadedComment>
</ThreadedComments>
</file>

<file path=xl/threadedComments/threadedComment57.xml><?xml version="1.0" encoding="utf-8"?>
<ThreadedComments xmlns="http://schemas.microsoft.com/office/spreadsheetml/2018/threadedcomments" xmlns:x="http://schemas.openxmlformats.org/spreadsheetml/2006/main">
  <threadedComment ref="F13" dT="2023-03-06T19:00:25.27" personId="{00000000-0000-0000-0000-000000000000}" id="{173910F2-913E-46BE-AD0B-40B29EB10D5E}">
    <text>Insurance renewed at lower price</text>
  </threadedComment>
  <threadedComment ref="F25" dT="2023-04-12T15:13:08.09" personId="{00000000-0000-0000-0000-000000000000}" id="{AB357E41-0FC1-44C6-83CA-71BDE98D65C4}">
    <text>20 in jar
90 owed</text>
  </threadedComment>
  <threadedComment ref="K25" dT="2023-04-14T13:15:27.42" personId="{00000000-0000-0000-0000-000000000000}" id="{3A52E2D2-5641-4D9F-9D02-91B90357DEA2}">
    <text>Scotland</text>
  </threadedComment>
  <threadedComment ref="L25" dT="2023-04-14T13:17:05.11" personId="{00000000-0000-0000-0000-000000000000}" id="{863C730F-3259-4EF0-8E59-390B50F85D26}">
    <text>Scotland</text>
  </threadedComment>
  <threadedComment ref="H31" dT="2023-03-25T10:23:42.37" personId="{00000000-0000-0000-0000-000000000000}" id="{00F2C00D-0057-4185-BCC1-FB38DF2A96AC}">
    <text>kiehls</text>
  </threadedComment>
</ThreadedComments>
</file>

<file path=xl/threadedComments/threadedComment58.xml><?xml version="1.0" encoding="utf-8"?>
<ThreadedComments xmlns="http://schemas.microsoft.com/office/spreadsheetml/2018/threadedcomments" xmlns:x="http://schemas.openxmlformats.org/spreadsheetml/2006/main">
  <threadedComment ref="F13" dT="2023-03-06T19:00:25.27" personId="{00000000-0000-0000-0000-000000000000}" id="{5C9BBFCD-B5D4-4CBA-9A4B-7C539C2DC92D}">
    <text>Insurance renewed at lower price</text>
  </threadedComment>
  <threadedComment ref="F21" dT="2023-04-14T17:04:52.05" personId="{00000000-0000-0000-0000-000000000000}" id="{E0E86CAE-C57B-4009-998B-EE5A6B77DBF2}">
    <text>Pay last month</text>
  </threadedComment>
</ThreadedComments>
</file>

<file path=xl/threadedComments/threadedComment59.xml><?xml version="1.0" encoding="utf-8"?>
<ThreadedComments xmlns="http://schemas.microsoft.com/office/spreadsheetml/2018/threadedcomments" xmlns:x="http://schemas.openxmlformats.org/spreadsheetml/2006/main">
  <threadedComment ref="L4" dT="2023-06-23T07:10:27.13" personId="{00000000-0000-0000-0000-000000000000}" id="{33EDD2C3-872C-42A4-BC72-D5EB1398F552}">
    <text>20.05 carried over</text>
  </threadedComment>
  <threadedComment ref="F13" dT="2023-03-06T19:00:25.27" personId="{00000000-0000-0000-0000-000000000000}" id="{6D04610F-9395-48E8-8ADE-D2C6C21D82A9}">
    <text>Insurance renewed at lower price</text>
  </threadedComment>
  <threadedComment ref="G25" dT="2023-05-25T11:18:38.61" personId="{00000000-0000-0000-0000-000000000000}" id="{A870AEAC-54FE-4172-8530-635308258AE0}">
    <text>Car repair - spring coil</text>
  </threadedComment>
  <threadedComment ref="H25" dT="2023-06-06T00:57:26.39" personId="{00000000-0000-0000-0000-000000000000}" id="{51BF3536-50D7-46E2-8049-89248FF0C5ED}">
    <text>Snuffle mat
Amz prime
tkmaxx
perfume</text>
  </threadedComment>
  <threadedComment ref="I25" dT="2023-06-23T06:49:40.07" personId="{00000000-0000-0000-0000-000000000000}" id="{0C94B1C9-94ED-4627-B6A5-00E062ECBF82}">
    <text>Bunny hotel</text>
  </threadedComment>
  <threadedComment ref="K25" dT="2023-06-23T07:08:00.55" personId="{00000000-0000-0000-0000-000000000000}" id="{E19F0652-7C09-4CAD-AF89-C18C30694594}">
    <text>195 cleaning
100 revolut</text>
  </threadedComment>
  <threadedComment ref="G30" dT="2023-05-25T11:26:31.08" personId="{00000000-0000-0000-0000-000000000000}" id="{27CB2955-3301-4C34-860E-F19E2A905229}">
    <text>Picture stretching</text>
  </threadedComment>
  <threadedComment ref="H30" dT="2023-05-25T11:28:06.11" personId="{00000000-0000-0000-0000-000000000000}" id="{897FFA19-D2B9-46B4-9FE3-970CE35F9D36}">
    <text>107 = Overflow
157 = amz pans</text>
  </threadedComment>
  <threadedComment ref="I30" dT="2023-06-01T22:18:29.49" personId="{00000000-0000-0000-0000-000000000000}" id="{308AB0E5-0D01-4A42-ADB4-3A3D4E12467B}">
    <text>HTB</text>
  </threadedComment>
  <threadedComment ref="O30" dT="2023-06-23T07:30:48.16" personId="{00000000-0000-0000-0000-000000000000}" id="{83E6CACB-0498-4D1C-B48A-489BB7B4AA0A}">
    <text>Around £50 in ikea returns</text>
  </threadedComment>
  <threadedComment ref="G31" dT="2023-05-25T11:26:40.92" personId="{00000000-0000-0000-0000-000000000000}" id="{98C933D2-29FC-46CE-82AB-7CD73DCE8FCD}">
    <text>Hanging baskets</text>
  </threadedComment>
  <threadedComment ref="J32" dT="2023-06-13T12:29:54.21" personId="{00000000-0000-0000-0000-000000000000}" id="{CBCE829C-B2D7-41A3-AE4B-FC98ACF07BD7}">
    <text>568 for drawers</text>
  </threadedComment>
  <threadedComment ref="H38" dT="2023-06-01T22:28:58.35" personId="{00000000-0000-0000-0000-000000000000}" id="{A4CF9477-D902-4017-8B05-71BF42E44A15}">
    <text>69 gymshark</text>
  </threadedComment>
  <threadedComment ref="L38" dT="2023-06-23T06:57:32.83" personId="{00000000-0000-0000-0000-000000000000}" id="{5FBBFC0F-50A6-4E3C-9E7A-B8F53896CE59}">
    <text>schuh</text>
  </threadedComment>
</ThreadedComments>
</file>

<file path=xl/threadedComments/threadedComment60.xml><?xml version="1.0" encoding="utf-8"?>
<ThreadedComments xmlns="http://schemas.microsoft.com/office/spreadsheetml/2018/threadedcomments" xmlns:x="http://schemas.openxmlformats.org/spreadsheetml/2006/main">
  <threadedComment ref="F10" dT="2023-06-23T06:50:49.01" personId="{00000000-0000-0000-0000-000000000000}" id="{A20CCA97-47ED-4485-93EC-921E6007FB0B}">
    <text>Not sure what is happening this month...</text>
  </threadedComment>
  <threadedComment ref="F25" dT="2023-07-12T12:04:39.11" personId="{00000000-0000-0000-0000-000000000000}" id="{C21F05E7-D4B9-4FDC-B38A-EA6F53B82E1E}">
    <text>Kris owe 250</text>
  </threadedComment>
  <threadedComment ref="G25" dT="2023-07-12T10:19:46.50" personId="{00000000-0000-0000-0000-000000000000}" id="{4439AC9B-7E6A-451E-972F-779D3F4ED751}">
    <text>HTB should be refunded
113 anna</text>
  </threadedComment>
  <threadedComment ref="F27" dT="2023-07-24T15:53:26.34" personId="{00000000-0000-0000-0000-000000000000}" id="{A9FF04C6-3DF7-4D4F-9EA4-25E01DD3C6D3}">
    <text>12713.75 redemption</text>
  </threadedComment>
  <threadedComment ref="O29" dT="2023-06-23T07:30:48.16" personId="{00000000-0000-0000-0000-000000000000}" id="{6FC8B98F-D339-470F-981D-E2DB5A99BD21}">
    <text>Around £50 in ikea returns</text>
  </threadedComment>
  <threadedComment ref="F31" dT="2023-07-03T12:01:28.77" personId="{00000000-0000-0000-0000-000000000000}" id="{60360BE2-A708-4B99-AD0F-B1D9288E2547}">
    <text>568 still owed for drawers</text>
  </threadedComment>
</ThreadedComments>
</file>

<file path=xl/threadedComments/threadedComment61.xml><?xml version="1.0" encoding="utf-8"?>
<ThreadedComments xmlns="http://schemas.microsoft.com/office/spreadsheetml/2018/threadedcomments" xmlns:x="http://schemas.openxmlformats.org/spreadsheetml/2006/main">
  <threadedComment ref="E25" dT="2023-07-24T16:36:14.82" personId="{00000000-0000-0000-0000-000000000000}" id="{41864A76-12AE-4E2D-944C-0A961D7179B0}">
    <text>This is going towards CC</text>
  </threadedComment>
  <threadedComment ref="F25" dT="2023-07-12T12:04:39.11" personId="{00000000-0000-0000-0000-000000000000}" id="{432DC0FD-7C95-4495-AEAB-025BA0C1D6CB}">
    <text>Kris owe 250</text>
  </threadedComment>
  <threadedComment ref="H25" dT="2023-07-30T18:02:26.16" personId="{00000000-0000-0000-0000-000000000000}" id="{AA6AD0DE-0B15-4A78-9141-17F8B3870FE8}">
    <text>34.99 MOT</text>
  </threadedComment>
  <threadedComment ref="L25" dT="2023-08-13T17:34:58.02" personId="{00000000-0000-0000-0000-000000000000}" id="{9BA74AA3-9278-400A-B63E-DE372ECDD8A3}">
    <text>Orlando flights + hotel</text>
  </threadedComment>
  <threadedComment ref="N25" dT="2023-08-13T17:52:34.25" personId="{00000000-0000-0000-0000-000000000000}" id="{E467D1CD-72C7-4B55-BB68-ADA27DE6A9EC}">
    <text>Gifts</text>
  </threadedComment>
  <threadedComment ref="F27" dT="2023-07-24T15:53:26.34" personId="{00000000-0000-0000-0000-000000000000}" id="{CB782F52-7300-43B0-A449-62FCFEAF37A0}">
    <text>12713.75 redemption
468.64 recurring</text>
  </threadedComment>
  <threadedComment ref="O28" dT="2023-06-23T07:30:48.16" personId="{00000000-0000-0000-0000-000000000000}" id="{F7421EB9-C135-4A12-837F-340D61527E2E}">
    <text>Around £50 in ikea returns</text>
  </threadedComment>
  <threadedComment ref="F29" dT="2023-07-03T12:01:28.77" personId="{00000000-0000-0000-0000-000000000000}" id="{924CECDB-AC8D-4274-A21B-93D6DE624CC4}">
    <text>568 still owed for drawers</text>
  </threadedComment>
  <threadedComment ref="L35" dT="2023-08-13T17:49:06.07" personId="{00000000-0000-0000-0000-000000000000}" id="{5E00728A-6F59-454E-859D-5B85A0F7399C}">
    <text>98 lulu</text>
  </threadedComment>
  <threadedComment ref="N35" dT="2023-08-13T17:48:56.73" personId="{00000000-0000-0000-0000-000000000000}" id="{6EF7D4A4-8DCF-48AC-A77B-D73BE7EBA944}">
    <text>Nails</text>
  </threadedComment>
  <threadedComment ref="L36" dT="2023-08-13T18:05:08.09" personId="{00000000-0000-0000-0000-000000000000}" id="{BE5341F7-D8A3-47FF-826C-A58D0531C339}">
    <text>30.93 fuel</text>
  </threadedComment>
  <threadedComment ref="J45" dT="2023-08-13T18:13:14.49" personId="{00000000-0000-0000-0000-000000000000}" id="{C460C455-8EF3-4843-8444-18500AEB4498}">
    <text>Milage cost</text>
  </threadedComment>
  <threadedComment ref="K46" dT="2023-08-13T18:16:14.78" personId="{00000000-0000-0000-0000-000000000000}" id="{E7B25FB8-4F51-4630-8ED5-82D09C286C92}">
    <text>As mastercard</text>
  </threadedComment>
</ThreadedComments>
</file>

<file path=xl/threadedComments/threadedComment62.xml><?xml version="1.0" encoding="utf-8"?>
<ThreadedComments xmlns="http://schemas.microsoft.com/office/spreadsheetml/2018/threadedcomments" xmlns:x="http://schemas.openxmlformats.org/spreadsheetml/2006/main">
  <threadedComment ref="E25" dT="2023-07-24T16:36:14.82" personId="{00000000-0000-0000-0000-000000000000}" id="{A5102187-79F0-4E4C-BE12-C89F97DFEE87}">
    <text>This is going towards CC</text>
  </threadedComment>
  <threadedComment ref="F25" dT="2023-07-12T12:04:39.11" personId="{00000000-0000-0000-0000-000000000000}" id="{B2111F1F-495E-4EFE-BBDF-2317135D61E4}">
    <text>Kris owe 250</text>
  </threadedComment>
  <threadedComment ref="E27" dT="2023-08-30T09:59:19.59" personId="{00000000-0000-0000-0000-000000000000}" id="{16A9CA3D-6DE4-4C93-8478-40258D1FC064}">
    <text>13 months worth of draw-down</text>
  </threadedComment>
  <threadedComment ref="F27" dT="2023-07-24T15:53:26.34" personId="{00000000-0000-0000-0000-000000000000}" id="{1AA1FCF4-4225-40C5-AF6D-72EC2B8929F8}">
    <text>12713.75 redemption
468.64 recurring</text>
  </threadedComment>
  <threadedComment ref="H27" dT="2023-09-25T22:31:36.94" personId="{00000000-0000-0000-0000-000000000000}" id="{CA216ABD-CAE6-45ED-9C84-2097BD8F67ED}">
    <text>Florida</text>
  </threadedComment>
  <threadedComment ref="L27" dT="2023-09-25T22:31:30.92" personId="{00000000-0000-0000-0000-000000000000}" id="{B63F0ADE-92E5-4D76-9FA9-177BE0B6064A}">
    <text>Veitnam</text>
  </threadedComment>
  <threadedComment ref="O28" dT="2023-06-23T07:30:48.16" personId="{00000000-0000-0000-0000-000000000000}" id="{1A1C619D-F5BB-4A0F-AD28-2C796896B454}">
    <text>Around £50 in ikea returns</text>
  </threadedComment>
  <threadedComment ref="F29" dT="2023-07-03T12:01:28.77" personId="{00000000-0000-0000-0000-000000000000}" id="{7CC21F51-3D6B-4972-ADB8-8C4A88366C58}">
    <text>568 still owed for drawers</text>
  </threadedComment>
</ThreadedComments>
</file>

<file path=xl/threadedComments/threadedComment63.xml><?xml version="1.0" encoding="utf-8"?>
<ThreadedComments xmlns="http://schemas.microsoft.com/office/spreadsheetml/2018/threadedcomments" xmlns:x="http://schemas.openxmlformats.org/spreadsheetml/2006/main">
  <threadedComment ref="G4" dT="2023-10-07T20:56:15.37" personId="{00000000-0000-0000-0000-000000000000}" id="{14E6C4D9-589E-4788-9CEA-BDE809C584F8}">
    <text>With amex refund...</text>
  </threadedComment>
  <threadedComment ref="E24" dT="2023-07-24T16:36:14.82" personId="{00000000-0000-0000-0000-000000000000}" id="{3DA770A8-447E-4B19-92B8-1C34999F5D41}">
    <text>This is going towards CC</text>
  </threadedComment>
  <threadedComment ref="H24" dT="2023-10-15T22:13:50.64" personId="{00000000-0000-0000-0000-000000000000}" id="{A4F9600B-C8C4-374F-84E6-A154CD6C9933}">
    <text>293 lamp
204 amazon</text>
  </threadedComment>
  <threadedComment ref="L24" dT="2023-10-15T22:13:11.73" personId="{00000000-0000-0000-0000-000000000000}" id="{E6025C7F-681F-E845-B70E-E0C66AB2EBF7}">
    <text>320 luna op
98 lulu
136.63 flight
41.52 nashville</text>
  </threadedComment>
  <threadedComment ref="E26" dT="2023-08-30T09:59:19.59" personId="{00000000-0000-0000-0000-000000000000}" id="{240B5738-C71F-4349-8A10-849B48BAD4D5}">
    <text>13 months worth of draw-down</text>
  </threadedComment>
  <threadedComment ref="F26" dT="2023-07-24T15:53:26.34" personId="{00000000-0000-0000-0000-000000000000}" id="{5C27E874-AE8D-42B7-B33D-15ABA71D6240}">
    <text>12713.75 redemption
468.64 recurring</text>
  </threadedComment>
  <threadedComment ref="H26" dT="2023-10-15T21:34:26.16" personId="{00000000-0000-0000-0000-000000000000}" id="{78E2044E-86D0-884E-9F09-63EB70D97F39}">
    <text>398 - work hotel
Group 51.78 = kris mast</text>
  </threadedComment>
  <threadedComment ref="O27" dT="2023-06-23T07:30:48.16" personId="{00000000-0000-0000-0000-000000000000}" id="{75072134-D87D-4E40-A8A2-303597BE628D}">
    <text>Around £50 in ikea returns</text>
  </threadedComment>
</ThreadedComments>
</file>

<file path=xl/threadedComments/threadedComment64.xml><?xml version="1.0" encoding="utf-8"?>
<ThreadedComments xmlns="http://schemas.microsoft.com/office/spreadsheetml/2018/threadedcomments" xmlns:x="http://schemas.openxmlformats.org/spreadsheetml/2006/main">
  <threadedComment ref="G4" dT="2023-10-07T20:56:15.37" personId="{00000000-0000-0000-0000-000000000000}" id="{A340549E-D8BB-514E-8D0D-A4572A2DF6A8}">
    <text>With amex refund...</text>
  </threadedComment>
  <threadedComment ref="E24" dT="2023-07-24T16:36:14.82" personId="{00000000-0000-0000-0000-000000000000}" id="{9AB408A2-1836-4948-AE0B-FE9D0906C621}">
    <text>This is going towards CC</text>
  </threadedComment>
  <threadedComment ref="E25" dT="2023-10-28T13:07:33.46" personId="{00000000-0000-0000-0000-000000000000}" id="{656D995E-124F-064B-9562-93F0206A9E09}">
    <text>456.79 = amex fuck around… hold on for now
182.57 legit
81.07 interest</text>
  </threadedComment>
  <threadedComment ref="F25" dT="2023-07-24T15:53:26.34" personId="{00000000-0000-0000-0000-000000000000}" id="{04CEB012-4573-7148-AEED-2C6A68317986}">
    <text>12713.75 redemption
468.64 recurring</text>
  </threadedComment>
  <threadedComment ref="H27" dT="2023-11-05T15:52:15.79" personId="{00000000-0000-0000-0000-000000000000}" id="{0342FFAE-F01D-1C4B-83DF-FF09F7050ADB}">
    <text>Car advertising</text>
  </threadedComment>
  <threadedComment ref="L27" dT="2023-11-05T13:12:20.15" personId="{00000000-0000-0000-0000-000000000000}" id="{61D501E0-58CF-B848-9F5B-CFE5A19966FA}">
    <text>54 Balance</text>
  </threadedComment>
  <threadedComment ref="K36" dT="2023-11-12T12:40:44.12" personId="{00000000-0000-0000-0000-000000000000}" id="{55C18DFC-CEFA-4947-B1E0-7F7CADEA3DBF}">
    <text>pizza</text>
  </threadedComment>
  <threadedComment ref="L36" dT="2023-10-28T14:03:18.80" personId="{00000000-0000-0000-0000-000000000000}" id="{10FAFADB-5F1E-364A-8AD7-921553B6BDDC}">
    <text>Meal out</text>
  </threadedComment>
  <threadedComment ref="K55" dT="2023-11-25T13:04:59.59" personId="{00000000-0000-0000-0000-000000000000}" id="{3F4433E0-DAF7-6D49-9C23-50C9D47BF370}">
    <text>will be expensed</text>
  </threadedComment>
</ThreadedComments>
</file>

<file path=xl/threadedComments/threadedComment65.xml><?xml version="1.0" encoding="utf-8"?>
<ThreadedComments xmlns="http://schemas.microsoft.com/office/spreadsheetml/2018/threadedcomments" xmlns:x="http://schemas.openxmlformats.org/spreadsheetml/2006/main">
  <threadedComment ref="E24" dT="2023-07-24T16:36:14.82" personId="{00000000-0000-0000-0000-000000000000}" id="{22213D82-499F-7B47-96D1-B114021943FC}">
    <text>This is going towards CC</text>
  </threadedComment>
  <threadedComment ref="E25" dT="2023-10-28T13:07:33.46" personId="{00000000-0000-0000-0000-000000000000}" id="{24DD6A2A-1522-1640-81FE-49F455E12684}">
    <text>456.79 = amex fuck around… hold on for now
182.57 legit
81.07 interest</text>
  </threadedComment>
  <threadedComment ref="F25" dT="2023-07-24T15:53:26.34" personId="{00000000-0000-0000-0000-000000000000}" id="{7321515D-5C11-F04B-BA8C-25FEA3FECD4E}">
    <text>12713.75 redemption
468.64 recurring</text>
  </threadedComment>
  <threadedComment ref="J25" dT="2023-12-10T20:19:25.11" personId="{00000000-0000-0000-0000-000000000000}" id="{DBB88645-2AF1-1040-830F-92BFD1506A1A}">
    <text>530 - K necklace</text>
  </threadedComment>
  <threadedComment ref="J30" dT="2023-12-10T20:19:59.44" personId="{00000000-0000-0000-0000-000000000000}" id="{3BB7D1E0-2692-7541-B7C0-941203A4E50D}">
    <text>Balance</text>
  </threadedComment>
  <threadedComment ref="G39" dT="2023-12-10T20:30:23.37" personId="{00000000-0000-0000-0000-000000000000}" id="{F80954F9-0A89-7C45-8A21-D8C38F6010E1}">
    <text>+145 cash
+450 expenses</text>
  </threadedComment>
</ThreadedComments>
</file>

<file path=xl/threadedComments/threadedComment66.xml><?xml version="1.0" encoding="utf-8"?>
<ThreadedComments xmlns="http://schemas.microsoft.com/office/spreadsheetml/2018/threadedcomments" xmlns:x="http://schemas.openxmlformats.org/spreadsheetml/2006/main">
  <threadedComment ref="G4" dT="2023-10-07T20:56:15.37" personId="{00000000-0000-0000-0000-000000000000}" id="{F0FCBE6D-14DD-7548-AE25-37FC291FC6DE}">
    <text>With amex refund...</text>
  </threadedComment>
  <threadedComment ref="E26" dT="2023-07-24T16:36:14.82" personId="{00000000-0000-0000-0000-000000000000}" id="{FEB3C9C6-C4E3-164A-97E0-821EBD7E0902}">
    <text>This is going towards CC</text>
  </threadedComment>
  <threadedComment ref="E28" dT="2023-10-28T13:07:33.46" personId="{00000000-0000-0000-0000-000000000000}" id="{2BB20ADA-16B9-4842-B320-DF61E1AF67D3}">
    <text>456.79 = amex fuck around… hold on for now
182.57 legit
81.07 interest</text>
  </threadedComment>
  <threadedComment ref="F28" dT="2023-07-24T15:53:26.34" personId="{00000000-0000-0000-0000-000000000000}" id="{BF39362C-608F-6E42-851A-48AEBCA9A6A9}">
    <text>12713.75 redemption
468.64 recurring</text>
  </threadedComment>
  <threadedComment ref="H33" dT="2024-01-21T10:56:23.65" personId="{00000000-0000-0000-0000-000000000000}" id="{FFDA2E97-0C5B-0047-9B99-5E804D2B3395}">
    <text>17 = visa
684 = tickets
100 = hotel</text>
  </threadedComment>
  <threadedComment ref="H35" dT="2024-01-21T10:57:57.81" personId="{00000000-0000-0000-0000-000000000000}" id="{2F35F593-AD5A-184F-9962-B8BA199A95B4}">
    <text>301 = cruise
148 = internal flights
108 = internal flights</text>
  </threadedComment>
  <threadedComment ref="H36" dT="2024-01-21T10:55:21.98" personId="{00000000-0000-0000-0000-000000000000}" id="{328B2617-3D6A-6E44-970F-5D6895BCBF24}">
    <text>299 - facemask</text>
  </threadedComment>
</ThreadedComments>
</file>

<file path=xl/threadedComments/threadedComment67.xml><?xml version="1.0" encoding="utf-8"?>
<ThreadedComments xmlns="http://schemas.microsoft.com/office/spreadsheetml/2018/threadedcomments" xmlns:x="http://schemas.openxmlformats.org/spreadsheetml/2006/main">
  <threadedComment ref="H9" dT="2024-02-04T12:02:35.42" personId="{00000000-0000-0000-0000-000000000000}" id="{D07BDD62-649F-6744-9114-17F1182E325F}">
    <text>10.32 bedding</text>
  </threadedComment>
  <threadedComment ref="E27" dT="2023-07-24T16:36:14.82" personId="{00000000-0000-0000-0000-000000000000}" id="{57BDE9BC-43BC-044A-A585-F175C066FE91}">
    <text>This is going towards CC</text>
  </threadedComment>
  <threadedComment ref="E29" dT="2023-10-28T13:07:33.46" personId="{00000000-0000-0000-0000-000000000000}" id="{2AB3D3BC-8CF0-134E-995E-A1B3BA3E6C8F}">
    <text>456.79 = amex fuck around… hold on for now
182.57 legit
81.07 interest</text>
  </threadedComment>
  <threadedComment ref="F29" dT="2023-07-24T15:53:26.34" personId="{00000000-0000-0000-0000-000000000000}" id="{937E17E4-0488-6044-BCCE-E43A45CF958A}">
    <text>12713.75 redemption
468.64 recurring</text>
  </threadedComment>
</ThreadedComments>
</file>

<file path=xl/threadedComments/threadedComment68.xml><?xml version="1.0" encoding="utf-8"?>
<ThreadedComments xmlns="http://schemas.microsoft.com/office/spreadsheetml/2018/threadedcomments" xmlns:x="http://schemas.openxmlformats.org/spreadsheetml/2006/main">
  <threadedComment ref="H7" dT="2024-03-10T09:31:10.70" personId="{00000000-0000-0000-0000-000000000000}" id="{7A83893A-A615-E64F-B7C4-1012D4690B89}">
    <text>tesco</text>
  </threadedComment>
  <threadedComment ref="E27" dT="2023-07-24T16:36:14.82" personId="{00000000-0000-0000-0000-000000000000}" id="{3264CD94-E02C-4B3C-BCD9-24B02086E1F5}">
    <text>This is going towards CC</text>
  </threadedComment>
  <threadedComment ref="E29" dT="2023-10-28T13:07:33.46" personId="{00000000-0000-0000-0000-000000000000}" id="{B0215381-BB26-45AA-8A4F-9C216F562352}">
    <text>456.79 = amex fuck around… hold on for now
182.57 legit
81.07 interest</text>
  </threadedComment>
  <threadedComment ref="F29" dT="2023-07-24T15:53:26.34" personId="{00000000-0000-0000-0000-000000000000}" id="{A4CBE146-2F04-4277-A54D-B469708FB15A}">
    <text>12713.75 redemption
468.64 recurring</text>
  </threadedComment>
  <threadedComment ref="H32" dT="2024-03-10T09:19:39.29" personId="{00000000-0000-0000-0000-000000000000}" id="{611D1971-6E01-8C49-A6D1-ECE280F4079F}">
    <text>Medicine
New doorbell
New mop bucket
New toothbrush heads</text>
  </threadedComment>
  <threadedComment ref="J32" dT="2024-03-10T09:34:02.48" personId="{00000000-0000-0000-0000-000000000000}" id="{124073C1-5642-1146-B93E-75F77C346A68}">
    <text>27 Spray gun
28.07 balance</text>
  </threadedComment>
  <threadedComment ref="F35" dT="2024-03-10T09:17:02.97" personId="{00000000-0000-0000-0000-000000000000}" id="{D37A0DF0-0C95-C147-9C9E-B5A39940B13D}">
    <text>+200 from food budget - using asda vouchers
+50 - kris borrowed cash</text>
  </threadedComment>
  <threadedComment ref="G35" dT="2024-03-10T10:04:26.17" personId="{00000000-0000-0000-0000-000000000000}" id="{59646CCA-83C8-8A4F-9B18-4ED8699D3464}">
    <text>luna stay @ su</text>
  </threadedComment>
  <threadedComment ref="J35" dT="2024-03-17T10:18:48.14" personId="{00000000-0000-0000-0000-000000000000}" id="{E15D4A0C-8573-384F-BE17-76997821B73F}">
    <text>Passport</text>
  </threadedComment>
  <threadedComment ref="H36" dT="2024-03-24T21:55:13.35" personId="{00000000-0000-0000-0000-000000000000}" id="{0666798E-0FA3-4545-A783-C3D6F6197D19}">
    <text>mylahores
trainers</text>
  </threadedComment>
  <threadedComment ref="J36" dT="2024-03-10T09:34:51.07" personId="{00000000-0000-0000-0000-000000000000}" id="{A29E1851-2786-2745-AF8D-EA28F8B2FA58}">
    <text>lulu mothers day</text>
  </threadedComment>
  <threadedComment ref="J40" dT="2024-03-17T10:20:30.90" personId="{00000000-0000-0000-0000-000000000000}" id="{CC965274-49C6-0141-93E2-2C97F39D302C}">
    <text>77.15 tesco easter</text>
  </threadedComment>
  <threadedComment ref="H41" dT="2024-03-10T09:20:20.61" personId="{00000000-0000-0000-0000-000000000000}" id="{730E62F2-007B-8548-9881-BAC26F3C1D80}">
    <text>luna bed</text>
  </threadedComment>
  <threadedComment ref="J41" dT="2024-03-17T10:19:21.65" personId="{00000000-0000-0000-0000-000000000000}" id="{064B7D55-A759-1E4F-A998-93F78DA87464}">
    <text>45.5 theatre</text>
  </threadedComment>
</ThreadedComments>
</file>

<file path=xl/threadedComments/threadedComment69.xml><?xml version="1.0" encoding="utf-8"?>
<ThreadedComments xmlns="http://schemas.microsoft.com/office/spreadsheetml/2018/threadedcomments" xmlns:x="http://schemas.openxmlformats.org/spreadsheetml/2006/main">
  <threadedComment ref="F12" dT="2024-03-24T22:22:56.54" personId="{00000000-0000-0000-0000-000000000000}" id="{3C78B136-2455-074B-AA97-31022A41F777}">
    <text>5% increase</text>
  </threadedComment>
  <threadedComment ref="F13" dT="2024-03-24T22:26:55.07" personId="{00000000-0000-0000-0000-000000000000}" id="{B15B7530-74C6-554E-820A-C3A55D172588}">
    <text>water 40% increase</text>
  </threadedComment>
  <threadedComment ref="F14" dT="2024-03-24T22:25:21.81" personId="{00000000-0000-0000-0000-000000000000}" id="{EDC8A3A8-6109-1149-811F-769CB3DD2CE3}">
    <text>60% increase</text>
  </threadedComment>
  <threadedComment ref="F17" dT="2024-03-24T22:28:14.42" personId="{00000000-0000-0000-0000-000000000000}" id="{5D69909D-BCEB-6A4D-A9B2-E32C9819A7BD}">
    <text>7.9% increase</text>
  </threadedComment>
  <threadedComment ref="F19" dT="2024-03-24T22:29:51.76" personId="{00000000-0000-0000-0000-000000000000}" id="{55D3020A-2716-6447-9C9E-DB14A06A9350}">
    <text>7.9% increase</text>
  </threadedComment>
  <threadedComment ref="F23" dT="2024-04-28T15:57:09.70" personId="{00000000-0000-0000-0000-000000000000}" id="{2AEDE0E3-9F15-4D34-9A13-8DF980D0A262}">
    <text>22.49 = supplements</text>
  </threadedComment>
  <threadedComment ref="E28" dT="2023-07-24T16:36:14.82" personId="{00000000-0000-0000-0000-000000000000}" id="{38B248E4-2B6E-2943-AA99-45E57026BF6B}">
    <text>This is going towards CC</text>
  </threadedComment>
  <threadedComment ref="E30" dT="2023-10-28T13:07:33.46" personId="{00000000-0000-0000-0000-000000000000}" id="{7B28DA20-9FFE-074D-8A1A-8A152267DEA0}">
    <text>456.79 = amex fuck around… hold on for now
182.57 legit
81.07 interest</text>
  </threadedComment>
  <threadedComment ref="F30" dT="2023-07-24T15:53:26.34" personId="{00000000-0000-0000-0000-000000000000}" id="{4F6534A9-0000-1B42-9AE3-4185DE86DA66}">
    <text>12713.75 redemption
468.64 recurring</text>
  </threadedComment>
  <threadedComment ref="G33" dT="2024-03-31T11:28:57.30" personId="{00000000-0000-0000-0000-000000000000}" id="{38DF2AE7-19FB-C041-88E4-11AF8E9D453F}">
    <text>dog medicine</text>
  </threadedComment>
  <threadedComment ref="J33" dT="2024-03-31T11:40:10.62" personId="{00000000-0000-0000-0000-000000000000}" id="{0015A0F1-AB71-1146-AC53-3352F905B6E2}">
    <text>driving fine
lipoma</text>
  </threadedComment>
  <threadedComment ref="F36" dT="2024-03-10T09:17:02.97" personId="{00000000-0000-0000-0000-000000000000}" id="{DC8C7151-9C78-3643-AF3D-0E2E381CC9C8}">
    <text>+200 from food budget - using asda vouchers
+50 - kris borrowed cash</text>
  </threadedComment>
  <threadedComment ref="H37" dT="2024-03-31T11:30:49.05" personId="{00000000-0000-0000-0000-000000000000}" id="{4CDC5933-A40A-F541-85E8-3FACF975516A}">
    <text>Inesa leggings</text>
  </threadedComment>
  <threadedComment ref="J37" dT="2024-03-31T11:38:21.47" personId="{00000000-0000-0000-0000-000000000000}" id="{02B08D1A-A6AE-774D-BB7D-1FC4184F0C74}">
    <text>legally blonde
pretty woman
hawthorn</text>
  </threadedComment>
  <threadedComment ref="H42" dT="2024-03-31T11:46:58.29" personId="{00000000-0000-0000-0000-000000000000}" id="{6ED04D46-FD24-944D-AF15-90C2AFA67605}">
    <text>ctm?</text>
  </threadedComment>
</ThreadedComments>
</file>

<file path=xl/threadedComments/threadedComment70.xml><?xml version="1.0" encoding="utf-8"?>
<ThreadedComments xmlns="http://schemas.microsoft.com/office/spreadsheetml/2018/threadedcomments" xmlns:x="http://schemas.openxmlformats.org/spreadsheetml/2006/main">
  <threadedComment ref="H6" dT="2024-04-28T16:08:37.70" personId="{00000000-0000-0000-0000-000000000000}" id="{7C84684E-F4E7-45D7-8329-23DD3C57C15C}">
    <text>30.36 = matt airport fuel</text>
  </threadedComment>
  <threadedComment ref="F23" dT="2024-04-28T15:57:09.70" personId="{00000000-0000-0000-0000-000000000000}" id="{3E4A585B-9D79-488F-A35F-67512DAE5980}">
    <text>22.49 = supplements</text>
  </threadedComment>
  <threadedComment ref="E28" dT="2023-07-24T16:36:14.82" personId="{00000000-0000-0000-0000-000000000000}" id="{4F4EF1B6-D48D-4A72-8159-28D820472C4D}">
    <text>This is going towards CC</text>
  </threadedComment>
  <threadedComment ref="E30" dT="2023-10-28T13:07:33.46" personId="{00000000-0000-0000-0000-000000000000}" id="{C42E0471-F575-47F2-8E2C-1BC7EA7EB617}">
    <text>456.79 = amex fuck around… hold on for now
182.57 legit
81.07 interest</text>
  </threadedComment>
  <threadedComment ref="F30" dT="2023-07-24T15:53:26.34" personId="{00000000-0000-0000-0000-000000000000}" id="{6422A6F3-9B02-4D47-940E-E09E1F3034D0}">
    <text>12713.75 redemption
468.64 recurring</text>
  </threadedComment>
  <threadedComment ref="H33" dT="2024-05-08T21:46:43.42" personId="{00000000-0000-0000-0000-000000000000}" id="{0BB66A62-8FEB-4880-B60A-65ABE940A728}">
    <text>29.99 = baby gate
46.94 = balance</text>
  </threadedComment>
  <threadedComment ref="J33" dT="2024-05-14T10:16:23.07" personId="{00000000-0000-0000-0000-000000000000}" id="{D72DBF3F-9C8A-4D07-BA14-13BFC2DFF3A5}">
    <text>Lipoma</text>
  </threadedComment>
  <threadedComment ref="G37" dT="2024-05-20T21:50:58.30" personId="{00000000-0000-0000-0000-000000000000}" id="{3D5FBA3D-4E2B-437F-8347-EA3C65E85011}">
    <text>Hanging baskets</text>
  </threadedComment>
  <threadedComment ref="H37" dT="2024-05-12T19:01:59.49" personId="{00000000-0000-0000-0000-000000000000}" id="{364BC24A-8F5F-4FEB-BC3A-41A517FBB4EB}">
    <text>130 - latvia transfer</text>
  </threadedComment>
  <threadedComment ref="G41" dT="2024-05-20T21:51:03.27" personId="{00000000-0000-0000-0000-000000000000}" id="{D8B46695-2911-4D93-A5C8-A7F4FCB406F5}">
    <text>Pizza</text>
  </threadedComment>
  <threadedComment ref="H41" dT="2024-04-28T16:10:04.58" personId="{00000000-0000-0000-0000-000000000000}" id="{8518C18E-C7A8-4AC7-B16E-C3021EEA3763}">
    <text>Sushi
42.47 = walmart
26.58 = aardwolf</text>
  </threadedComment>
  <threadedComment ref="H42" dT="2024-05-08T21:37:19.53" personId="{00000000-0000-0000-0000-000000000000}" id="{802E9EE1-A906-4565-B704-366A5830CE4A}">
    <text>10 = Phone
18.13 = plane wifi
57.71 = V's
36.83 = V's (maybe drinks?)
101.01 = V's
36.24 = V's (maybe drinks?)
78.19 = V's
107.72 = Hoptinger
10.6 = V's
121.15 = BB's
49.33 = Fuel
623.42 = Car hire
829.58 = Hotel</text>
  </threadedComment>
  <threadedComment ref="J42" dT="2024-04-28T16:32:37.89" personId="{00000000-0000-0000-0000-000000000000}" id="{BB1B5B5A-F4EA-4781-8B44-AE1E42BD607A}">
    <text>Man breakfast</text>
  </threadedComment>
  <threadedComment ref="H43" dT="2024-04-28T15:58:47.90" personId="{00000000-0000-0000-0000-000000000000}" id="{3FDAFFFF-2B39-4431-B2F4-A73DF34E8F61}">
    <text>59 = lulu rollover (transferred)
46.8 = kiehls
59.98 = zara (returned)
138.45 = asos (transferred 90, 50 from returns)
24.92 = stylevana (transferred)
111.4 = asos (60 transferred, 50 was jeans)
71.98 = zara (still owed)
29.24 = lookfantastic (still owed)
70.96 = (recoup from expensing coco)
167 = zara (80 owed, 80 from refunds)</text>
  </threadedComment>
  <threadedComment ref="E78" dT="2024-04-28T16:56:10.39" personId="{00000000-0000-0000-0000-000000000000}" id="{26DC3C3B-AD4A-4961-BEA5-FD1E0F19BCD2}">
    <text>Flights, visa, parking</text>
  </threadedComment>
</ThreadedComments>
</file>

<file path=xl/threadedComments/threadedComment71.xml><?xml version="1.0" encoding="utf-8"?>
<ThreadedComments xmlns="http://schemas.microsoft.com/office/spreadsheetml/2018/threadedcomments" xmlns:x="http://schemas.openxmlformats.org/spreadsheetml/2006/main">
  <threadedComment ref="F23" dT="2024-04-28T15:57:09.70" personId="{00000000-0000-0000-0000-000000000000}" id="{E2908F0D-4685-6E4C-8DC6-3903E4123747}">
    <text>22.49 = supplements</text>
  </threadedComment>
  <threadedComment ref="E28" dT="2023-07-24T16:36:14.82" personId="{00000000-0000-0000-0000-000000000000}" id="{FAEB17E9-2018-4042-9B65-A03FAFE1FBBA}">
    <text>This is going towards CC</text>
  </threadedComment>
  <threadedComment ref="E30" dT="2023-10-28T13:07:33.46" personId="{00000000-0000-0000-0000-000000000000}" id="{0DC1A0C4-F6C4-6D42-8DC6-C2AAEA620E4B}">
    <text>456.79 = amex fuck around… hold on for now
182.57 legit
81.07 interest</text>
  </threadedComment>
  <threadedComment ref="F30" dT="2023-07-24T15:53:26.34" personId="{00000000-0000-0000-0000-000000000000}" id="{9AB1E29F-7E10-A847-B24D-F6902CE4F282}">
    <text>12713.75 redemption
468.64 recurring</text>
  </threadedComment>
  <threadedComment ref="H35" dT="2024-06-18T19:43:12.27" personId="{00000000-0000-0000-0000-000000000000}" id="{9B5BF836-AEDD-4872-864F-7141FA4C0C69}">
    <text>AMZ PRIME</text>
  </threadedComment>
  <threadedComment ref="I36" dT="2024-06-18T19:39:15.61" personId="{00000000-0000-0000-0000-000000000000}" id="{159D15C3-B5EC-4388-A7AB-FB2414D3A0A1}">
    <text>70 = bunny hotel
200 = cash withdrawal</text>
  </threadedComment>
  <threadedComment ref="H37" dT="2024-06-18T19:52:33.67" personId="{00000000-0000-0000-0000-000000000000}" id="{56F3F8F0-A6A1-4568-B4B7-7BDFB8759DA7}">
    <text>60 - Leo + Jasmine</text>
  </threadedComment>
  <threadedComment ref="J37" dT="2024-06-01T20:39:09.45" personId="{00000000-0000-0000-0000-000000000000}" id="{37C0C387-A75C-4A8F-B8A9-FA5AC6D43AE0}">
    <text>101 = Ghost tickets oct
395 = be you</text>
  </threadedComment>
  <threadedComment ref="H41" dT="2024-05-26T21:01:19.16" personId="{00000000-0000-0000-0000-000000000000}" id="{11692253-EF8D-2C49-B7EE-F0B7B5693E64}">
    <text>15 = fish and chips</text>
  </threadedComment>
</ThreadedComments>
</file>

<file path=xl/threadedComments/threadedComment72.xml><?xml version="1.0" encoding="utf-8"?>
<ThreadedComments xmlns="http://schemas.microsoft.com/office/spreadsheetml/2018/threadedcomments" xmlns:x="http://schemas.openxmlformats.org/spreadsheetml/2006/main">
  <threadedComment ref="J8" dT="2024-07-18T11:13:04.93" personId="{00000000-0000-0000-0000-000000000000}" id="{22074514-C680-4BF0-B025-24CCACAA3411}">
    <text>12.49 - healthy opts</text>
  </threadedComment>
  <threadedComment ref="F23" dT="2024-06-30T22:06:36.96" personId="{00000000-0000-0000-0000-000000000000}" id="{8BB5559B-D4A2-4D92-9602-1DDFB6ECD37D}">
    <text>Nationwide
Netflix
Printing
NowTv Cinema</text>
  </threadedComment>
  <threadedComment ref="E27" dT="2023-07-24T16:36:14.82" personId="{00000000-0000-0000-0000-000000000000}" id="{8F710182-A344-47C4-B6F4-B367CACC0721}">
    <text>This is going towards CC</text>
  </threadedComment>
  <threadedComment ref="H33" dT="2024-06-30T21:08:24.32" personId="{00000000-0000-0000-0000-000000000000}" id="{5ACC5568-E10B-43FD-919E-77E080738135}">
    <text>Morocco flights</text>
  </threadedComment>
  <threadedComment ref="G34" dT="2024-07-07T22:17:59.03" personId="{00000000-0000-0000-0000-000000000000}" id="{097DE26B-7F5D-4A79-9F60-40154D345820}">
    <text>Anna birthday</text>
  </threadedComment>
  <threadedComment ref="F39" dT="2024-06-23T14:21:54.70" personId="{00000000-0000-0000-0000-000000000000}" id="{FFE76FDB-B8FC-407F-AC44-75F71ACCE81D}">
    <text>Not included in monthly budget</text>
  </threadedComment>
  <threadedComment ref="J43" dT="2024-06-30T21:10:48.86" personId="{00000000-0000-0000-0000-000000000000}" id="{672A26FE-1945-4CAE-988B-D4A6AA83825C}">
    <text>40 - balance
42.18 - chinese shop</text>
  </threadedComment>
  <threadedComment ref="H44" dT="2024-07-07T22:05:04.27" personId="{00000000-0000-0000-0000-000000000000}" id="{AB842762-A8DF-4683-92E1-9010EFE24A9C}">
    <text>19.99 - fakenstocks</text>
  </threadedComment>
  <threadedComment ref="I52" dT="2024-07-19T15:03:40.57" personId="{00000000-0000-0000-0000-000000000000}" id="{ED11ADBF-60E6-40BA-AF3F-4FEE88D7A2FD}">
    <text xml:space="preserve">Pushing 710 BMW to next month
</text>
  </threadedComment>
</ThreadedComments>
</file>

<file path=xl/threadedComments/threadedComment73.xml><?xml version="1.0" encoding="utf-8"?>
<ThreadedComments xmlns="http://schemas.microsoft.com/office/spreadsheetml/2018/threadedcomments" xmlns:x="http://schemas.openxmlformats.org/spreadsheetml/2006/main">
  <threadedComment ref="F21" dT="2024-06-30T22:06:36.96" personId="{00000000-0000-0000-0000-000000000000}" id="{48B630A1-4440-4D2C-B267-7C595C732BCF}">
    <text>Nationwide
Netflix
Printing
NowTv Cinema</text>
  </threadedComment>
  <threadedComment ref="F23" dT="2024-07-22T14:39:24.81" personId="{00000000-0000-0000-0000-000000000000}" id="{9AC7F5DF-054A-4239-B19C-6969AFA9EC6B}">
    <text>Reimbursed every 3 months</text>
  </threadedComment>
  <threadedComment ref="E27" dT="2023-07-24T16:36:14.82" personId="{00000000-0000-0000-0000-000000000000}" id="{D5C12BD3-F4EA-4202-8C00-211BDFEAE542}">
    <text>This is going towards CC</text>
  </threadedComment>
  <threadedComment ref="J30" dT="2024-07-29T10:41:24.83" personId="{00000000-0000-0000-0000-000000000000}" id="{2C8520FB-4DCD-4D94-BD66-2A69BC5FABFB}">
    <text>Shiply - move rosita</text>
  </threadedComment>
  <threadedComment ref="H33" dT="2024-08-11T12:27:09.09" personId="{00000000-0000-0000-0000-000000000000}" id="{7CE4766C-3090-47BC-BC78-837A13F28B33}">
    <text>Morocco hotel</text>
  </threadedComment>
  <threadedComment ref="H34" dT="2024-08-11T12:37:14.85" personId="{00000000-0000-0000-0000-000000000000}" id="{E3631218-E491-4ABF-8C9F-0D467C38EAF1}">
    <text>Mem fee</text>
  </threadedComment>
  <threadedComment ref="J35" dT="2024-08-11T12:37:25.55" personId="{00000000-0000-0000-0000-000000000000}" id="{02076453-8AB0-48B4-AF58-213339A4FFA8}">
    <text>Skin
350 - needling, kris repay 50pm</text>
  </threadedComment>
  <threadedComment ref="F39" dT="2024-06-23T14:21:54.70" personId="{00000000-0000-0000-0000-000000000000}" id="{B45C8D70-A1CC-4C83-B130-4A3DD7826828}">
    <text>Not included in monthly budget</text>
  </threadedComment>
  <threadedComment ref="J44" dT="2024-07-28T09:03:41.28" personId="{00000000-0000-0000-0000-000000000000}" id="{E9789E2B-15DD-4EAE-827A-81F285C5217F}">
    <text>Fillers
Osteopath</text>
  </threadedComment>
</ThreadedComments>
</file>

<file path=xl/threadedComments/threadedComment74.xml><?xml version="1.0" encoding="utf-8"?>
<ThreadedComments xmlns="http://schemas.microsoft.com/office/spreadsheetml/2018/threadedcomments" xmlns:x="http://schemas.openxmlformats.org/spreadsheetml/2006/main">
  <threadedComment ref="F22" dT="2024-06-30T22:06:36.96" personId="{00000000-0000-0000-0000-000000000000}" id="{07BD239E-9D23-45CD-89E8-8BD591533931}">
    <text>Nationwide
Netflix
Printing
NowTv Cinema</text>
  </threadedComment>
  <threadedComment ref="E26" dT="2023-07-24T16:36:14.82" personId="{00000000-0000-0000-0000-000000000000}" id="{F82ACA79-D271-47B5-AFD6-61BB07FA36FC}">
    <text>This is going towards CC</text>
  </threadedComment>
  <threadedComment ref="J29" dT="2024-09-08T11:36:55.70" personId="{00000000-0000-0000-0000-000000000000}" id="{51EA864B-52AB-4155-8880-BB7FFA8B6298}">
    <text>45 = knee apt</text>
  </threadedComment>
  <threadedComment ref="H32" dT="2024-09-02T11:09:08.83" personId="{00000000-0000-0000-0000-000000000000}" id="{06F79596-FD6F-4DF8-B4A7-F137B27A7255}">
    <text xml:space="preserve">152 = heathrow parking
</text>
  </threadedComment>
  <threadedComment ref="H33" dT="2024-09-17T20:39:01.69" personId="{00000000-0000-0000-0000-000000000000}" id="{429EE73B-3A70-4009-8967-F4275096DD7F}">
    <text>23.4 = Charity
11.29 + 1.5 = mum</text>
  </threadedComment>
  <threadedComment ref="J33" dT="2024-09-08T11:36:42.52" personId="{00000000-0000-0000-0000-000000000000}" id="{9771E23A-9BA3-4F2E-8C68-1B8854EE0B5D}">
    <text>70 = Christmas ballet
38.9 = mum
115.5 = home alone concert</text>
  </threadedComment>
  <threadedComment ref="F38" dT="2024-06-23T14:21:54.70" personId="{00000000-0000-0000-0000-000000000000}" id="{3F21845A-EA21-42F3-BB08-B1F7DDBB47FE}">
    <text>Not included in monthly budget</text>
  </threadedComment>
  <threadedComment ref="L67" dT="2024-08-26T22:35:46.83" personId="{00000000-0000-0000-0000-000000000000}" id="{457FEB34-965D-4B39-AF4F-5742840B49E5}">
    <text>100 - filler
150 - needling over 3 months</text>
  </threadedComment>
</ThreadedComments>
</file>

<file path=xl/threadedComments/threadedComment75.xml><?xml version="1.0" encoding="utf-8"?>
<ThreadedComments xmlns="http://schemas.microsoft.com/office/spreadsheetml/2018/threadedcomments" xmlns:x="http://schemas.openxmlformats.org/spreadsheetml/2006/main">
  <threadedComment ref="F18" dT="2024-07-22T14:39:24.81" personId="{00000000-0000-0000-0000-000000000000}" id="{7826B5DD-305C-4AEA-AC7F-88105BB2D7B0}">
    <text>Reimbursed every 3 months</text>
  </threadedComment>
  <threadedComment ref="F21" dT="2024-06-30T22:06:36.96" personId="{00000000-0000-0000-0000-000000000000}" id="{5648CF67-E034-4610-8EB3-9625DFA6CE50}">
    <text>Onedrive
Nationwide
Netflix
Printing
NowTv Cinema
Gym</text>
  </threadedComment>
  <threadedComment ref="E25" dT="2023-07-24T16:36:14.82" personId="{00000000-0000-0000-0000-000000000000}" id="{2EAD1E51-2BD9-46A8-992C-9E227A9F3176}">
    <text>This is going towards CC</text>
  </threadedComment>
  <threadedComment ref="G28" dT="2024-10-07T09:12:44.68" personId="{00000000-0000-0000-0000-000000000000}" id="{B6F00291-E1D8-45A2-B857-8AADBBFE65DE}">
    <text>Carpet</text>
  </threadedComment>
  <threadedComment ref="H31" dT="2024-10-07T08:09:20.37" personId="{00000000-0000-0000-0000-000000000000}" id="{F7168BD4-81F1-4724-92DF-80B8029FA89E}">
    <text>15.71 balance</text>
  </threadedComment>
  <threadedComment ref="H32" dT="2024-09-28T10:55:40.18" personId="{00000000-0000-0000-0000-000000000000}" id="{68EA4E3C-495C-4C3A-B9CD-41F7753C06F5}">
    <text>Zimmer tickets</text>
  </threadedComment>
  <threadedComment ref="H33" dT="2024-10-21T22:31:48.47" personId="{00000000-0000-0000-0000-000000000000}" id="{1160993E-D337-4A3C-BBFD-0EEE4885DB36}">
    <text>MANC hotel WORK</text>
  </threadedComment>
  <threadedComment ref="O61" dT="2024-10-21T22:43:29.40" personId="{00000000-0000-0000-0000-000000000000}" id="{EFDA598A-1ADD-4A9C-B5A0-620D3EA77CBF}">
    <text>Expenses
Interest</text>
  </threadedComment>
  <threadedComment ref="M62" dT="2024-10-21T22:57:30.67" personId="{00000000-0000-0000-0000-000000000000}" id="{CF29A72F-4DD2-4D3A-A9EB-82135702F600}">
    <text>IRL</text>
  </threadedComment>
</ThreadedComments>
</file>

<file path=xl/threadedComments/threadedComment76.xml><?xml version="1.0" encoding="utf-8"?>
<ThreadedComments xmlns="http://schemas.microsoft.com/office/spreadsheetml/2018/threadedcomments" xmlns:x="http://schemas.openxmlformats.org/spreadsheetml/2006/main">
  <threadedComment ref="F18" dT="2024-07-22T14:39:24.81" personId="{00000000-0000-0000-0000-000000000000}" id="{DFFA5218-5600-40C6-92DF-0E70E6BA7F57}">
    <text>Reimbursed every 3 months</text>
  </threadedComment>
  <threadedComment ref="F22" dT="2024-06-30T22:06:36.96" personId="{00000000-0000-0000-0000-000000000000}" id="{666DD123-58A7-49DD-913D-7F20E5DD13A5}">
    <text>Onedrive
Nationwide
Netflix
Printing
NowTv Cinema
Gym
12 = barclays avios</text>
  </threadedComment>
  <threadedComment ref="E26" dT="2023-07-24T16:36:14.82" personId="{00000000-0000-0000-0000-000000000000}" id="{9D353193-494C-4857-B222-186F03F5FA83}">
    <text>This is going towards CC</text>
  </threadedComment>
  <threadedComment ref="J29" dT="2024-11-12T18:58:51.93" personId="{00000000-0000-0000-0000-000000000000}" id="{3134EA92-83E2-4F4D-AAFD-C5C58A5C0468}">
    <text>medicine</text>
  </threadedComment>
  <threadedComment ref="H32" dT="2024-11-04T19:18:04.72" personId="{00000000-0000-0000-0000-000000000000}" id="{4DACDC9D-5C62-425A-A427-198E324497EE}">
    <text>Italy flights</text>
  </threadedComment>
  <threadedComment ref="J41" dT="2024-10-27T10:00:15.15" personId="{00000000-0000-0000-0000-000000000000}" id="{54898A60-90A8-4E99-9075-8104C3494BA9}">
    <text>33.9 = millstack</text>
  </threadedComment>
  <threadedComment ref="O62" dT="2024-10-21T22:43:29.40" personId="{00000000-0000-0000-0000-000000000000}" id="{5663A958-3AAC-46A0-B037-138514CBBC24}">
    <text>Expenses
Interest</text>
  </threadedComment>
  <threadedComment ref="M63" dT="2024-10-21T22:57:30.67" personId="{00000000-0000-0000-0000-000000000000}" id="{20FE4528-AEFE-425F-A6D6-5D274012382B}">
    <text>IRL</text>
  </threadedComment>
</ThreadedComments>
</file>

<file path=xl/threadedComments/threadedComment77.xml><?xml version="1.0" encoding="utf-8"?>
<ThreadedComments xmlns="http://schemas.microsoft.com/office/spreadsheetml/2018/threadedcomments" xmlns:x="http://schemas.openxmlformats.org/spreadsheetml/2006/main">
  <threadedComment ref="F18" dT="2024-07-22T14:39:24.81" personId="{00000000-0000-0000-0000-000000000000}" id="{C8491AF5-E15F-AD44-A738-5CC533EBECF2}">
    <text>Reimbursed every 3 months</text>
  </threadedComment>
  <threadedComment ref="F22" dT="2024-06-30T22:06:36.96" personId="{00000000-0000-0000-0000-000000000000}" id="{6DCD4055-EDA3-5E44-B2D5-E40790C06DE5}">
    <text>Onedrive
Nationwide
Netflix
Printing
NowTv Cinema
12 = barclays avios</text>
  </threadedComment>
  <threadedComment ref="E26" dT="2023-07-24T16:36:14.82" personId="{00000000-0000-0000-0000-000000000000}" id="{08E4027D-C42C-5D40-A218-9B5D68710932}">
    <text>This is going towards CC</text>
  </threadedComment>
  <threadedComment ref="G29" dT="2024-12-01T23:26:37.51" personId="{00000000-0000-0000-0000-000000000000}" id="{4609F8E8-F5A4-3041-B791-575CE64E64A5}">
    <text>Safety cash</text>
  </threadedComment>
</ThreadedComments>
</file>

<file path=xl/threadedComments/threadedComment78.xml><?xml version="1.0" encoding="utf-8"?>
<ThreadedComments xmlns="http://schemas.microsoft.com/office/spreadsheetml/2018/threadedcomments" xmlns:x="http://schemas.openxmlformats.org/spreadsheetml/2006/main">
  <threadedComment ref="F18" dT="2024-07-22T14:39:24.81" personId="{00000000-0000-0000-0000-000000000000}" id="{64EE9B4C-EA65-0748-9E16-2052584D2775}">
    <text>Reimbursed every 3 months</text>
  </threadedComment>
  <threadedComment ref="F22" dT="2024-06-30T22:06:36.96" personId="{00000000-0000-0000-0000-000000000000}" id="{6BCBBDF4-540A-AC4B-9A8A-E3A6CA9B40A6}">
    <text>Onedrive
Nationwide
Netflix
Printing
9.99 = NowTv Cinema
12 = barclays avios
8.99 = disney</text>
  </threadedComment>
  <threadedComment ref="E26" dT="2023-07-24T16:36:14.82" personId="{00000000-0000-0000-0000-000000000000}" id="{222687A4-1EDA-DA45-9B86-91765A7BB853}">
    <text>This is going towards CC</text>
  </threadedComment>
  <threadedComment ref="J32" dT="2025-01-12T21:42:32.94" personId="{00000000-0000-0000-0000-000000000000}" id="{73E84301-32DC-314A-A919-23B7363F38A2}">
    <text>March - Fuertoventura</text>
  </threadedComment>
  <threadedComment ref="J34" dT="2025-01-26T11:58:03.08" personId="{00000000-0000-0000-0000-000000000000}" id="{46AF9C4C-82AF-4B86-80BA-F42569ED23F1}">
    <text>ikea</text>
  </threadedComment>
  <threadedComment ref="I52" dT="2025-01-09T15:52:57.12" personId="{00000000-0000-0000-0000-000000000000}" id="{B01F0A82-E556-4ED2-908A-C668E2ED758A}">
    <text>Stamp duty, fees, etc
Leaving mortgage early
Car loans</text>
  </threadedComment>
  <threadedComment ref="G68" dT="2025-01-14T22:01:55.26" personId="{00000000-0000-0000-0000-000000000000}" id="{1D8EEFF6-B733-FD44-B4AE-87C47F82705E}">
    <text>Fuerteventura</text>
  </threadedComment>
  <threadedComment ref="I68" dT="2025-01-14T22:02:11.78" personId="{00000000-0000-0000-0000-000000000000}" id="{8E0E5387-C269-A643-B6C5-F85F581C8947}">
    <text>Hackfest</text>
  </threadedComment>
  <threadedComment ref="J68" dT="2025-01-14T22:02:18.78" personId="{00000000-0000-0000-0000-000000000000}" id="{27C61A9D-F268-244A-954E-7F3A2A24DA14}">
    <text>BBQ’s</text>
  </threadedComment>
  <threadedComment ref="K68" dT="2025-01-14T22:02:28.33" personId="{00000000-0000-0000-0000-000000000000}" id="{50D3636E-7F25-F840-B2D3-4DBCCCEF4FD6}">
    <text>Italy</text>
  </threadedComment>
  <threadedComment ref="L68" dT="2025-01-14T22:02:40.01" personId="{00000000-0000-0000-0000-000000000000}" id="{639B0019-4560-9346-AF82-25F06160FD52}">
    <text>UK Breaks</text>
  </threadedComment>
  <threadedComment ref="K71" dT="2025-01-14T21:54:21.57" personId="{00000000-0000-0000-0000-000000000000}" id="{C5B7E57F-4844-B243-87B8-977B059BBDA7}">
    <text>18/07 upgrade voucher deadline</text>
  </threadedComment>
  <threadedComment ref="H72" dT="2025-01-14T21:53:26.62" personId="{00000000-0000-0000-0000-000000000000}" id="{44590F60-45E5-7B45-A6A3-DC3ADF91CA1B}">
    <text>Deadline for 6k/ 3 month bonus</text>
  </threadedComment>
</ThreadedComments>
</file>

<file path=xl/threadedComments/threadedComment79.xml><?xml version="1.0" encoding="utf-8"?>
<ThreadedComments xmlns="http://schemas.microsoft.com/office/spreadsheetml/2018/threadedcomments" xmlns:x="http://schemas.openxmlformats.org/spreadsheetml/2006/main">
  <threadedComment ref="F18" dT="2024-07-22T14:39:24.81" personId="{00000000-0000-0000-0000-000000000000}" id="{7BE0EB4F-FF44-4289-97FB-C98D3BD73EDC}">
    <text>Reimbursed every 3 months</text>
  </threadedComment>
  <threadedComment ref="F22" dT="2024-06-30T22:06:36.96" personId="{00000000-0000-0000-0000-000000000000}" id="{C9909837-7754-44F0-8805-D9CD6FB7A628}">
    <text>Onedrive
Nationwide
Netflix
Printing
9.99 = NowTv Cinema
12 = barclays avios
8.99 = disney</text>
  </threadedComment>
  <threadedComment ref="E26" dT="2023-07-24T16:36:14.82" personId="{00000000-0000-0000-0000-000000000000}" id="{01461A0A-D47C-42C9-B7A7-206FD915EC60}">
    <text>This is going towards CC</text>
  </threadedComment>
  <threadedComment ref="G27" dT="2025-02-22T12:24:25.27" personId="{00000000-0000-0000-0000-000000000000}" id="{16A66352-3D45-44E5-B107-66BB2E47E79E}">
    <text>TV license</text>
  </threadedComment>
  <threadedComment ref="H34" dT="2025-02-22T12:17:28.85" personId="{00000000-0000-0000-0000-000000000000}" id="{224174D5-8D08-425F-A44F-2170B782F272}">
    <text>One republic</text>
  </threadedComment>
  <threadedComment ref="J36" dT="2025-02-02T20:53:20.95" personId="{00000000-0000-0000-0000-000000000000}" id="{D9B59244-A68A-48D2-A4D9-29363E922821}">
    <text>Sockets</text>
  </threadedComment>
  <threadedComment ref="G68" dT="2025-01-14T22:01:55.26" personId="{00000000-0000-0000-0000-000000000000}" id="{44996558-AE56-4422-963F-EA009AD60A65}">
    <text>Fuerteventura</text>
  </threadedComment>
  <threadedComment ref="I68" dT="2025-01-14T22:02:11.78" personId="{00000000-0000-0000-0000-000000000000}" id="{07E8E93F-A0AF-4954-BA07-6354E6BAF0C8}">
    <text>Hackfest</text>
  </threadedComment>
  <threadedComment ref="J68" dT="2025-01-14T22:02:18.78" personId="{00000000-0000-0000-0000-000000000000}" id="{FD11EA00-21C1-4D27-9489-E53AC9AD8AF2}">
    <text>BBQ’s</text>
  </threadedComment>
  <threadedComment ref="K68" dT="2025-01-14T22:02:28.33" personId="{00000000-0000-0000-0000-000000000000}" id="{95987380-C077-431A-8640-050AB6D65AD0}">
    <text>Italy</text>
  </threadedComment>
  <threadedComment ref="L68" dT="2025-01-14T22:02:40.01" personId="{00000000-0000-0000-0000-000000000000}" id="{14782FB8-3B1F-4A51-9FF1-9C10B3F81B22}">
    <text>UK Breaks</text>
  </threadedComment>
  <threadedComment ref="K71" dT="2025-01-14T21:54:21.57" personId="{00000000-0000-0000-0000-000000000000}" id="{DE4143BB-962E-44BF-A5CE-26BAEBC9B16D}">
    <text>18/07 upgrade voucher deadline</text>
  </threadedComment>
  <threadedComment ref="H72" dT="2025-01-14T21:53:26.62" personId="{00000000-0000-0000-0000-000000000000}" id="{093586F4-09B8-4F39-9752-7EABC10DA490}">
    <text>Deadline for 6k/ 3 month bonus</text>
  </threadedComment>
</ThreadedComments>
</file>

<file path=xl/threadedComments/threadedComment80.xml><?xml version="1.0" encoding="utf-8"?>
<ThreadedComments xmlns="http://schemas.microsoft.com/office/spreadsheetml/2018/threadedcomments" xmlns:x="http://schemas.openxmlformats.org/spreadsheetml/2006/main">
  <threadedComment ref="F17" dT="2024-07-22T14:39:24.81" personId="{00000000-0000-0000-0000-000000000000}" id="{1077511F-9D57-4ABA-A415-6670121B27CA}">
    <text>Reimbursed every 3 months</text>
  </threadedComment>
  <threadedComment ref="F22" dT="2024-06-30T22:06:36.96" personId="{00000000-0000-0000-0000-000000000000}" id="{35C32102-1223-4051-AE29-92A255EAF0E8}">
    <text>Onedrive
Nationwide
Netflix
Printing
9.99 = NowTv Cinema
12 = barclays avios
8.99 = disney</text>
  </threadedComment>
  <threadedComment ref="E26" dT="2023-07-24T16:36:14.82" personId="{00000000-0000-0000-0000-000000000000}" id="{1C44420E-4719-437E-99D8-2545FFCD83B0}">
    <text>This is going towards CC</text>
  </threadedComment>
  <threadedComment ref="O51" dT="2025-10-10T11:38:09.92" personId="{00000000-0000-0000-0000-000000000000}" id="{4C731EF5-9BB2-40AA-88E9-5127D2BA2642}">
    <text>Loans looking to swallow with mortgage</text>
  </threadedComment>
  <threadedComment ref="I52" dT="2025-01-09T15:52:57.12" personId="{00000000-0000-0000-0000-000000000000}" id="{443C53C7-A134-4DED-91A1-AC39F952BF33}">
    <text>10k fees - Stamp duty (6750), fees, etc, leaving mortgage early
21k - Car loans
5500 - furnishing</text>
  </threadedComment>
  <threadedComment ref="Q53" dT="2025-09-21T23:00:32.97" personId="{00000000-0000-0000-0000-000000000000}" id="{595E4183-6D55-0A4F-A222-D6572F096480}">
    <text>EPC B -&gt; E worst case estimate</text>
  </threadedComment>
  <threadedComment ref="Q55" dT="2025-09-21T23:00:46.64" personId="{00000000-0000-0000-0000-000000000000}" id="{3EF97320-0EEC-1E44-BDD2-BAFAC8AE4FD1}">
    <text>Both band C</text>
  </threadedComment>
  <threadedComment ref="H56" dT="2025-10-10T13:06:01.18" personId="{00000000-0000-0000-0000-000000000000}" id="{F77640D9-A2A6-4E84-A0EF-52960745EF6A}">
    <text>Wrap into mortgage</text>
  </threadedComment>
  <threadedComment ref="Q57" dT="2025-10-18T19:47:20.35" personId="{00000000-0000-0000-0000-000000000000}" id="{04A3DFDF-5256-43C8-A276-1963246EEB83}">
    <text>Doubling decreasing cover for house</text>
  </threadedComment>
  <threadedComment ref="H61" dT="2025-10-17T16:32:14.02" personId="{00000000-0000-0000-0000-000000000000}" id="{27FE644D-34E7-4BDD-B8CE-C0E7C9CAB5B1}">
    <text>What’s left @ 90% LTV less major extras</text>
  </threadedComment>
</ThreadedComments>
</file>

<file path=xl/threadedComments/threadedComment81.xml><?xml version="1.0" encoding="utf-8"?>
<ThreadedComments xmlns="http://schemas.microsoft.com/office/spreadsheetml/2018/threadedcomments" xmlns:x="http://schemas.openxmlformats.org/spreadsheetml/2006/main">
  <threadedComment ref="F18" dT="2024-07-22T14:39:24.81" personId="{00000000-0000-0000-0000-000000000000}" id="{C2E3CA86-08B4-42EC-9C0E-5C06C50FBB2C}">
    <text>Reimbursed every 3 months</text>
  </threadedComment>
  <threadedComment ref="F22" dT="2024-06-30T22:06:36.96" personId="{00000000-0000-0000-0000-000000000000}" id="{439C06F5-A9C7-4139-852E-40B60935BB0C}">
    <text>Onedrive
Nationwide
Netflix
Printing
9.99 = NowTv Cinema
12 = barclays avios
8.99 = disney</text>
  </threadedComment>
  <threadedComment ref="E26" dT="2023-07-24T16:36:14.82" personId="{00000000-0000-0000-0000-000000000000}" id="{F463EB2A-DE4E-4100-87DB-2FE0306CF9E1}">
    <text>This is going towards CC</text>
  </threadedComment>
  <threadedComment ref="J29" dT="2025-02-27T21:56:39.81" personId="{00000000-0000-0000-0000-000000000000}" id="{F11FB46B-9314-4056-A622-3CB188E7C9FD}">
    <text>Coolant</text>
  </threadedComment>
  <threadedComment ref="G32" dT="2025-02-27T22:15:32.19" personId="{00000000-0000-0000-0000-000000000000}" id="{2800FE8F-0ACC-41BB-9BCE-2B4C0CD31433}">
    <text>80 = Bunny hotel
55.05 = euro exchange</text>
  </threadedComment>
  <threadedComment ref="J33" dT="2025-03-16T16:28:22.93" personId="{00000000-0000-0000-0000-000000000000}" id="{84817F05-B919-450F-97BA-005D54A116F9}">
    <text>Inesa bday</text>
  </threadedComment>
  <threadedComment ref="H34" dT="2025-03-16T16:15:54.59" personId="{00000000-0000-0000-0000-000000000000}" id="{8B0DBB14-24E7-4191-8F73-1061399D4DEE}">
    <text>Thailand flights</text>
  </threadedComment>
  <threadedComment ref="J34" dT="2025-03-09T11:32:06.26" personId="{00000000-0000-0000-0000-000000000000}" id="{87A29E3E-F28F-4F27-AEB5-6D0DD81A47E3}">
    <text>Thailand - elephants
Thailand - tattoo</text>
  </threadedComment>
  <threadedComment ref="H36" dT="2025-03-23T10:14:32.65" personId="{00000000-0000-0000-0000-000000000000}" id="{4C9DFB68-D8F5-4F77-9855-4DCF7BDA4C29}">
    <text>Malta</text>
  </threadedComment>
  <threadedComment ref="H37" dT="2025-03-16T16:20:26.80" personId="{00000000-0000-0000-0000-000000000000}" id="{114F41F8-E703-4E98-9491-C573867D9FAF}">
    <text>AMEX Fee</text>
  </threadedComment>
  <threadedComment ref="H42" dT="2025-03-23T10:19:51.84" personId="{00000000-0000-0000-0000-000000000000}" id="{403B6494-DD6E-455F-B44B-7EB6088B1936}">
    <text>Pending: 50.98 - ZARA
Pending Decision: ZARA / Holister (may return)
Returns: SP TALA - 70+</text>
  </threadedComment>
  <threadedComment ref="I54" dT="2025-03-16T17:26:42.22" personId="{00000000-0000-0000-0000-000000000000}" id="{A4BBCAB5-B748-4301-BB58-EE9683D66E08}">
    <text>-150 tala refunds</text>
  </threadedComment>
</ThreadedComments>
</file>

<file path=xl/threadedComments/threadedComment82.xml><?xml version="1.0" encoding="utf-8"?>
<ThreadedComments xmlns="http://schemas.microsoft.com/office/spreadsheetml/2018/threadedcomments" xmlns:x="http://schemas.openxmlformats.org/spreadsheetml/2006/main">
  <threadedComment ref="F18" dT="2024-07-22T14:39:24.81" personId="{00000000-0000-0000-0000-000000000000}" id="{01A97A30-F7C9-40C6-A6EC-8A9B576D0F8C}">
    <text>Reimbursed every 3 months</text>
  </threadedComment>
  <threadedComment ref="F22" dT="2024-06-30T22:06:36.96" personId="{00000000-0000-0000-0000-000000000000}" id="{FF785F47-DAB3-451F-8C6C-3C6B297885C1}">
    <text>Onedrive
Nationwide
Netflix
Printing
12 = barclays avios</text>
  </threadedComment>
  <threadedComment ref="E26" dT="2023-07-24T16:36:14.82" personId="{00000000-0000-0000-0000-000000000000}" id="{D55F1E3C-44F6-4451-BAF4-3ECEAD8A7E24}">
    <text>This is going towards CC</text>
  </threadedComment>
  <threadedComment ref="H32" dT="2025-04-07T20:43:02.62" personId="{00000000-0000-0000-0000-000000000000}" id="{90A9019D-A5B1-414F-A8F3-7906DED6B316}">
    <text>Ruddying - james paying</text>
  </threadedComment>
  <threadedComment ref="G34" dT="2025-03-28T19:50:35.35" personId="{00000000-0000-0000-0000-000000000000}" id="{5E984F50-7B64-4CE8-8B99-6BE574C711ED}">
    <text>Moved to savings acc</text>
  </threadedComment>
  <threadedComment ref="H34" dT="2025-03-26T21:55:11.34" personId="{00000000-0000-0000-0000-000000000000}" id="{7811867D-31F5-42D5-BCB9-5D4547DFC62E}">
    <text>Define you</text>
  </threadedComment>
  <threadedComment ref="H36" dT="2025-04-07T20:37:39.12" personId="{00000000-0000-0000-0000-000000000000}" id="{E626F1DA-235A-C045-A6E4-EEA5E5DBADD6}">
    <text>Panels</text>
  </threadedComment>
  <threadedComment ref="H42" dT="2025-03-26T21:49:30.23" personId="{00000000-0000-0000-0000-000000000000}" id="{BB1A9461-269C-4963-B84E-EE462C078F59}">
    <text>Sweaty B (64 rfd pending)</text>
  </threadedComment>
  <threadedComment ref="F78" dT="2025-04-16T12:36:30.39" personId="{00000000-0000-0000-0000-000000000000}" id="{30DC3548-C4F3-4940-BF16-FA56011115DC}">
    <text>Includes dpf sensor + egr cooler filter</text>
  </threadedComment>
  <threadedComment ref="G80" dT="2025-04-15T16:38:58.50" personId="{00000000-0000-0000-0000-000000000000}" id="{6EA12A51-8F38-4775-8A52-7BF7AE8B3E9F}">
    <text>New kit was installed in October - how can it have stretched?</text>
  </threadedComment>
</ThreadedComments>
</file>

<file path=xl/threadedComments/threadedComment83.xml><?xml version="1.0" encoding="utf-8"?>
<ThreadedComments xmlns="http://schemas.microsoft.com/office/spreadsheetml/2018/threadedcomments" xmlns:x="http://schemas.openxmlformats.org/spreadsheetml/2006/main">
  <threadedComment ref="F18" dT="2024-07-22T14:39:24.81" personId="{00000000-0000-0000-0000-000000000000}" id="{129BF198-2705-4ECB-9C57-4648075F7DAD}">
    <text>Reimbursed every 3 months</text>
  </threadedComment>
  <threadedComment ref="F22" dT="2024-06-30T22:06:36.96" personId="{00000000-0000-0000-0000-000000000000}" id="{519922AF-C16B-41BA-B6CE-8AC31038AD1F}">
    <text>10.49 = Onedrive
Nationwide
Netflix
Printing
12 = barclays avios</text>
  </threadedComment>
  <threadedComment ref="E26" dT="2023-07-24T16:36:14.82" personId="{00000000-0000-0000-0000-000000000000}" id="{5448F0E8-C891-4885-95FC-138A30D1BB17}">
    <text>This is going towards CC</text>
  </threadedComment>
  <threadedComment ref="H33" dT="2025-05-11T19:07:06.03" personId="{00000000-0000-0000-0000-000000000000}" id="{D0A6AFC7-802B-42B1-9079-009E9B05B28B}">
    <text>Kris running shoes
Katie shoes</text>
  </threadedComment>
  <threadedComment ref="H44" dT="2025-05-03T21:02:49.13" personId="{00000000-0000-0000-0000-000000000000}" id="{A5A4CED9-5FE0-4EB4-A7E5-49ECEDDC298B}">
    <text>113 = Parking
20 = phone data
16.5 = san carlo
120.96 = magiano
24.44 = chessecake factory
56.01 = whiskey cake
64.43 = bahama breeze
81 = v pizza
84 = jacksonville charlotte?
76 = BJs
23.28 = BJ's</text>
  </threadedComment>
</ThreadedComments>
</file>

<file path=xl/threadedComments/threadedComment84.xml><?xml version="1.0" encoding="utf-8"?>
<ThreadedComments xmlns="http://schemas.microsoft.com/office/spreadsheetml/2018/threadedcomments" xmlns:x="http://schemas.openxmlformats.org/spreadsheetml/2006/main">
  <threadedComment ref="F18" dT="2024-07-22T14:39:24.81" personId="{00000000-0000-0000-0000-000000000000}" id="{ADD6344C-B6D5-DE48-BD05-38E10E7E2146}">
    <text>Reimbursed every 3 months</text>
  </threadedComment>
  <threadedComment ref="F22" dT="2025-05-24T10:48:21.67" personId="{00000000-0000-0000-0000-000000000000}" id="{246E4CF7-BC3A-4945-97B5-606DE1FDCB46}">
    <text>48 = mattress
137 = watch</text>
  </threadedComment>
  <threadedComment ref="F24" dT="2024-06-30T22:06:36.96" personId="{00000000-0000-0000-0000-000000000000}" id="{A2213D70-8380-3D4A-9FA0-DF74BD5E8488}">
    <text>10.49 = Onedrive
Nationwide
Netflix
Printing
12 = barclays avios</text>
  </threadedComment>
  <threadedComment ref="E28" dT="2023-07-24T16:36:14.82" personId="{00000000-0000-0000-0000-000000000000}" id="{D603AB86-5E31-0244-A4F3-5D6BE573D0E6}">
    <text>This is going towards CC</text>
  </threadedComment>
  <threadedComment ref="H31" dT="2025-06-15T10:58:07.79" personId="{00000000-0000-0000-0000-000000000000}" id="{E51CC659-7455-4DB0-ADA6-4AC2B16778DC}">
    <text>Latvia</text>
  </threadedComment>
  <threadedComment ref="H34" dT="2025-06-15T11:01:58.34" personId="{00000000-0000-0000-0000-000000000000}" id="{AE3063F5-0012-442A-B6EF-C20B2DC376A7}">
    <text>Italy trips
Thailand flight rebooking
Malta</text>
  </threadedComment>
  <threadedComment ref="J34" dT="2025-06-15T11:31:14.42" personId="{00000000-0000-0000-0000-000000000000}" id="{F05F34D7-B4CC-4369-B3A9-667A46306DE3}">
    <text>Air asia</text>
  </threadedComment>
  <threadedComment ref="H35" dT="2025-06-15T11:03:20.46" personId="{00000000-0000-0000-0000-000000000000}" id="{C631B916-3EC2-4683-904F-CD0ED7F8D6AC}">
    <text>Dax
Fathers day</text>
  </threadedComment>
</ThreadedComments>
</file>

<file path=xl/threadedComments/threadedComment85.xml><?xml version="1.0" encoding="utf-8"?>
<ThreadedComments xmlns="http://schemas.microsoft.com/office/spreadsheetml/2018/threadedcomments" xmlns:x="http://schemas.openxmlformats.org/spreadsheetml/2006/main">
  <threadedComment ref="M4" dT="2025-07-20T19:45:06.34" personId="{00000000-0000-0000-0000-000000000000}" id="{0FC0D90B-45F3-490F-AA03-B7F711B89E00}">
    <text>1806.34 = bali flights
79.65 = skin (50 from savings, 30 from next wage)</text>
  </threadedComment>
  <threadedComment ref="F18" dT="2024-07-22T14:39:24.81" personId="{00000000-0000-0000-0000-000000000000}" id="{67A5EE7C-66FB-4CBE-936B-E4FE31120154}">
    <text>Reimbursed every 3 months</text>
  </threadedComment>
  <threadedComment ref="F22" dT="2025-05-24T10:48:21.67" personId="{00000000-0000-0000-0000-000000000000}" id="{051ADA9E-0ADA-4A8D-8ACA-D43CE25E94ED}">
    <text>48 = mattress
137 = watch</text>
  </threadedComment>
  <threadedComment ref="L23" dT="2025-07-13T09:56:15.97" personId="{00000000-0000-0000-0000-000000000000}" id="{CE873455-4464-4276-B0F9-E902673AF382}">
    <text>50 this month, 30 next</text>
  </threadedComment>
  <threadedComment ref="F24" dT="2024-06-30T22:06:36.96" personId="{00000000-0000-0000-0000-000000000000}" id="{2A789179-201D-4356-B471-F7AB55BC8AF2}">
    <text>10.49 = Onedrive
Nationwide
Netflix
Printing
12 = barclays avios
15 = barclaycard premium</text>
  </threadedComment>
  <threadedComment ref="E28" dT="2023-07-24T16:36:14.82" personId="{00000000-0000-0000-0000-000000000000}" id="{03B6EB21-253F-49C4-8813-ED922E724F79}">
    <text>This is going towards CC</text>
  </threadedComment>
  <threadedComment ref="L31" dT="2025-07-20T19:51:47.69" personId="{00000000-0000-0000-0000-000000000000}" id="{1CD9F91A-D02E-49BA-A5E9-1208DAE2A1A5}">
    <text>Bmw mot</text>
  </threadedComment>
  <threadedComment ref="G34" dT="2025-07-04T15:18:53.04" personId="{00000000-0000-0000-0000-000000000000}" id="{85E60261-4191-4D94-BCC3-DB906529B1B7}">
    <text>Uber</text>
  </threadedComment>
  <threadedComment ref="G35" dT="2025-07-25T17:43:25.93" personId="{00000000-0000-0000-0000-000000000000}" id="{58DD5692-DAE0-4745-A119-42D523D60EDF}">
    <text>coco</text>
  </threadedComment>
  <threadedComment ref="L35" dT="2025-07-08T20:32:09.01" personId="{00000000-0000-0000-0000-000000000000}" id="{D8BBD605-D999-1444-B6B3-5716534702C6}">
    <text>Garside baby stuff</text>
  </threadedComment>
  <threadedComment ref="I60" dT="2025-07-07T17:57:11.62" personId="{00000000-0000-0000-0000-000000000000}" id="{D46D1F71-EB39-404D-BA7D-C5BDA7484420}">
    <text>Saving on 1 ins + 1 tax + fuel</text>
  </threadedComment>
  <threadedComment ref="J64" dT="2025-07-13T09:53:30.68" personId="{00000000-0000-0000-0000-000000000000}" id="{D1EFAF50-5EF4-4DB9-9A74-985A054FE7FE}">
    <text>50 now, 30 next month</text>
  </threadedComment>
  <threadedComment ref="N67" dT="2025-07-25T17:53:36.02" personId="{00000000-0000-0000-0000-000000000000}" id="{6EC57629-680F-46D4-B5D6-1E4B5C608304}">
    <text>160 = cash</text>
  </threadedComment>
</ThreadedComments>
</file>

<file path=xl/threadedComments/threadedComment86.xml><?xml version="1.0" encoding="utf-8"?>
<ThreadedComments xmlns="http://schemas.microsoft.com/office/spreadsheetml/2018/threadedcomments" xmlns:x="http://schemas.openxmlformats.org/spreadsheetml/2006/main">
  <threadedComment ref="F18" dT="2024-07-22T14:39:24.81" personId="{00000000-0000-0000-0000-000000000000}" id="{29751897-7BC2-45F3-AA1F-8C55B07551F4}">
    <text>Reimbursed every 3 months</text>
  </threadedComment>
  <threadedComment ref="F22" dT="2025-05-24T10:48:21.67" personId="{00000000-0000-0000-0000-000000000000}" id="{D0107C70-07C8-4300-83DC-F72BA272FCBC}">
    <text>48 = mattress
137 = watch</text>
  </threadedComment>
  <threadedComment ref="F24" dT="2024-06-30T22:06:36.96" personId="{00000000-0000-0000-0000-000000000000}" id="{BF8E223D-DEF7-4923-9CFC-5A71596B3801}">
    <text>10.49 = Onedrive
Nationwide
Netflix
Printing
12 = barclays avios
15 = barclaycard premium</text>
  </threadedComment>
  <threadedComment ref="E28" dT="2023-07-24T16:36:14.82" personId="{00000000-0000-0000-0000-000000000000}" id="{3D5C6BD3-79DD-434D-B3F6-4E9C0C216407}">
    <text>This is going towards CC</text>
  </threadedComment>
  <threadedComment ref="L31" dT="2025-08-03T18:25:10.59" personId="{00000000-0000-0000-0000-000000000000}" id="{EE1D764C-BEFF-9E41-9D9B-F6E49DE2469C}">
    <text>rosita ad
Creamy vets</text>
  </threadedComment>
  <threadedComment ref="S33" dT="2025-07-04T15:18:53.04" personId="{00000000-0000-0000-0000-000000000000}" id="{E90A51A9-5745-AE42-B370-9A1ADBEE4E23}">
    <text>Uber</text>
  </threadedComment>
  <threadedComment ref="G34" dT="2025-07-04T15:18:53.04" personId="{00000000-0000-0000-0000-000000000000}" id="{0AAB4B20-CFA3-4BD0-B228-942AE17DEF1E}">
    <text>Uber</text>
  </threadedComment>
  <threadedComment ref="G39" dT="2025-07-30T20:40:33.45" personId="{00000000-0000-0000-0000-000000000000}" id="{F5506073-FCD2-6642-946F-C893F1A4A0A2}">
    <text>takeaway</text>
  </threadedComment>
  <threadedComment ref="F45" dT="2025-07-25T21:26:05.49" personId="{00000000-0000-0000-0000-000000000000}" id="{E3A62A3B-C6B3-4F05-B17E-50321E4A91BA}">
    <text>26th - uni bois
7th - luke stag
Cinema</text>
  </threadedComment>
</ThreadedComments>
</file>

<file path=xl/threadedComments/threadedComment87.xml><?xml version="1.0" encoding="utf-8"?>
<ThreadedComments xmlns="http://schemas.microsoft.com/office/spreadsheetml/2018/threadedcomments" xmlns:x="http://schemas.openxmlformats.org/spreadsheetml/2006/main">
  <threadedComment ref="F21" dT="2025-05-24T10:48:21.67" personId="{00000000-0000-0000-0000-000000000000}" id="{1650C13B-1197-C94A-95E8-9F2295D1F6D9}">
    <text>48 = mattress
137 = watch</text>
  </threadedComment>
  <threadedComment ref="F21" dT="2025-08-25T12:33:24.34" personId="{00000000-0000-0000-0000-000000000000}" id="{8EF59D71-D3DA-0A45-A45E-F7778E4D022A}" parentId="{1650C13B-1197-C94A-95E8-9F2295D1F6D9}">
    <text xml:space="preserve">170 = barclaycard </text>
  </threadedComment>
  <threadedComment ref="F23" dT="2024-06-30T22:06:36.96" personId="{00000000-0000-0000-0000-000000000000}" id="{E5E85477-EC6C-2342-86A5-63412B1ED6EB}">
    <text>10.49 = Onedrive
Nationwide
Netflix
Printing
12 = barclays avios
15 = barclaycard premium</text>
  </threadedComment>
  <threadedComment ref="E27" dT="2023-07-24T16:36:14.82" personId="{00000000-0000-0000-0000-000000000000}" id="{E8D82B01-337A-D94F-9152-32C38727E0A3}">
    <text>This is going towards CC</text>
  </threadedComment>
  <threadedComment ref="L30" dT="2025-09-20T13:52:11.00" personId="{00000000-0000-0000-0000-000000000000}" id="{D0A228F0-1419-954A-A057-2E76E2931A42}">
    <text>Haircare</text>
  </threadedComment>
  <threadedComment ref="H33" dT="2025-08-24T19:14:37.79" personId="{00000000-0000-0000-0000-000000000000}" id="{28746217-ABEC-461B-8F0C-89CE6C16060E}">
    <text>234 = Drone - su paid cash
128 * 2 = santorini</text>
  </threadedComment>
  <threadedComment ref="L34" dT="2025-09-07T16:08:21.08" personId="{00000000-0000-0000-0000-000000000000}" id="{80508609-9ECB-41D4-BFED-12913187D781}">
    <text>Railway children</text>
  </threadedComment>
  <threadedComment ref="H40" dT="2025-08-31T12:06:29.57" personId="{00000000-0000-0000-0000-000000000000}" id="{787357B0-4374-4CB2-9BCC-14A7D1DDC119}">
    <text>25 = shoes
62 = curry
29 = luke’s wedding gift</text>
  </threadedComment>
  <threadedComment ref="H41" dT="2025-08-24T19:26:41.51" personId="{00000000-0000-0000-0000-000000000000}" id="{24DF1565-C00A-465F-9354-D7A2F1130623}">
    <text>54.5 = rfd (49)
33 = transferred
22.5 = rfd (22.5)
50.09 = transferred (7 rfd pending)
42.97 = arrival pending
57.92 = arrival pending
43.97 = arrival pending
44.97 = transferred 
36.53 = arrival pending
54 - asos os
93 - zara (75 rfd, 18 tran’d)
108 - lulu os</text>
  </threadedComment>
  <threadedComment ref="D48" dT="2025-09-20T14:16:11.02" personId="{00000000-0000-0000-0000-000000000000}" id="{2170B6CA-03FF-944D-BEEC-5838B4758C81}">
    <text>Kris xmas - 300 from birthday / gift
Remaining 400 = 100pcm next 3 months</text>
  </threadedComment>
  <threadedComment ref="D49" dT="2025-09-20T14:17:33.45" personId="{00000000-0000-0000-0000-000000000000}" id="{A2DDE298-9FC4-0243-BBBA-4DBCBEE26151}">
    <text>50 = current skin budget
350 = 7 * skin budget ppm</text>
  </threadedComment>
  <threadedComment ref="D55" dT="2025-09-20T14:34:51.11" personId="{00000000-0000-0000-0000-000000000000}" id="{1F36BA95-1417-EB48-8A81-30DCA13CF94B}">
    <text>50 = skin
150 = kris
75 = zara refund</text>
  </threadedComment>
  <threadedComment ref="D56" dT="2025-09-20T15:07:49.33" personId="{00000000-0000-0000-0000-000000000000}" id="{732C4314-E9FE-4645-B8EF-40763D9C02EB}">
    <text>50 = skin
150 = kris</text>
  </threadedComment>
  <threadedComment ref="D57" dT="2025-09-20T15:08:00.67" personId="{00000000-0000-0000-0000-000000000000}" id="{6C7A1166-C4ED-7D41-B399-9168E920DB0E}">
    <text>50 = skin
150 = kris
300 = gift</text>
  </threadedComment>
  <threadedComment ref="D58" dT="2025-09-20T15:08:16.59" personId="{00000000-0000-0000-0000-000000000000}" id="{6541FA91-423B-5944-B09B-A8FD42B48121}">
    <text>50 = skin
150 = kris</text>
  </threadedComment>
  <threadedComment ref="K58" dT="2025-09-20T15:44:41.59" personId="{00000000-0000-0000-0000-000000000000}" id="{34D57A48-BDE9-7946-9995-3C4BA97DA9D9}">
    <text>suitcase + london hotel</text>
  </threadedComment>
  <threadedComment ref="K60" dT="2025-09-20T15:43:38.25" personId="{00000000-0000-0000-0000-000000000000}" id="{5AABE7BE-5869-F547-A078-2318A99853CB}">
    <text>2 * food + petrol</text>
  </threadedComment>
</ThreadedComments>
</file>

<file path=xl/threadedComments/threadedComment88.xml><?xml version="1.0" encoding="utf-8"?>
<ThreadedComments xmlns="http://schemas.microsoft.com/office/spreadsheetml/2018/threadedcomments" xmlns:x="http://schemas.openxmlformats.org/spreadsheetml/2006/main">
  <threadedComment ref="B2" dT="2025-10-20T19:24:25.63" personId="{00000000-0000-0000-0000-000000000000}" id="{6EB5E7C0-2A37-4664-AAF6-3FB518893BDB}">
    <text>$150 food credit</text>
  </threadedComment>
  <threadedComment ref="B8" dT="2025-10-20T19:20:11.40" personId="{00000000-0000-0000-0000-000000000000}" id="{785F0F67-CBF0-4ED1-BC0B-70840A7840BF}">
    <text>Do we have to book seats...</text>
  </threadedComment>
  <threadedComment ref="B9" dT="2025-10-21T08:58:23.47" personId="{00000000-0000-0000-0000-000000000000}" id="{C7956F21-03DC-4D2C-8D22-501FCA3938EB}">
    <text>Within 72h</text>
  </threadedComment>
  <threadedComment ref="B25" dT="2025-10-21T13:44:22.38" personId="{00000000-0000-0000-0000-000000000000}" id="{EC9E9042-1795-4ED7-8233-8EA1335EC109}">
    <text xml:space="preserve">100 = food
50 = fuel
200 = 100 a piece from fun
112 = sin internal rfds
126.79 = tattoo deposit
160 = elephants
12 = lounge pass rfd
315 = current savings
76.5 = rfs reimbursements </text>
  </threadedComment>
  <threadedComment ref="C53" dT="2025-11-13T23:05:48.33" personId="{00000000-0000-0000-0000-000000000000}" id="{29EC2D76-7123-5D48-9336-FC2760036C75}">
    <text>Paid with cash</text>
  </threadedComment>
  <threadedComment ref="C77" dT="2025-11-13T23:05:48.33" personId="{00000000-0000-0000-0000-000000000000}" id="{EB6F07CB-5E2E-BE45-B4CE-F4F24C896B74}">
    <text>Paid with cash</text>
  </threadedComment>
  <threadedComment ref="C89" dT="2025-11-13T23:05:48.33" personId="{00000000-0000-0000-0000-000000000000}" id="{41D3F6C6-8869-2447-BFF2-F4D51014A6F4}">
    <text>Paid with cash</text>
  </threadedComment>
  <threadedComment ref="C99" dT="2025-11-13T23:05:48.33" personId="{00000000-0000-0000-0000-000000000000}" id="{AB72B08E-ACAF-F14E-BA82-4D1D51AF6322}">
    <text>Paid with cash</text>
  </threadedComment>
</ThreadedComments>
</file>

<file path=xl/threadedComments/threadedComment89.xml><?xml version="1.0" encoding="utf-8"?>
<ThreadedComments xmlns="http://schemas.microsoft.com/office/spreadsheetml/2018/threadedcomments" xmlns:x="http://schemas.openxmlformats.org/spreadsheetml/2006/main">
  <threadedComment ref="E1" dT="2025-10-21T13:31:33.74" personId="{00000000-0000-0000-0000-000000000000}" id="{C4650B8B-4B08-42BF-9515-9EFAFEB6A0C8}">
    <text>Hoping to get back from travel insurance</text>
  </threadedComment>
  <threadedComment ref="E9" dT="2025-11-19T21:13:12.47" personId="{00000000-0000-0000-0000-000000000000}" id="{F495E839-55CD-4FB0-950A-8F787A5EE026}">
    <text>Paid on barclaycard</text>
  </threadedComment>
  <threadedComment ref="B19" dT="2025-10-17T19:08:12.33" personId="{00000000-0000-0000-0000-000000000000}" id="{FA273007-13B6-4AE4-93BA-19BDD9244A4C}">
    <text>Old phuket - 3 nights
Kata - 7 nights</text>
  </threadedComment>
</ThreadedComments>
</file>

<file path=xl/threadedComments/threadedComment90.xml><?xml version="1.0" encoding="utf-8"?>
<ThreadedComments xmlns="http://schemas.microsoft.com/office/spreadsheetml/2018/threadedcomments" xmlns:x="http://schemas.openxmlformats.org/spreadsheetml/2006/main">
  <threadedComment ref="F17" dT="2024-07-22T14:39:24.81" personId="{00000000-0000-0000-0000-000000000000}" id="{F0CFA819-F690-4C4B-972C-FA8B965AD81D}">
    <text>Reimbursed every 3 months</text>
  </threadedComment>
  <threadedComment ref="F22" dT="2024-06-30T22:06:36.96" personId="{00000000-0000-0000-0000-000000000000}" id="{317B4F7E-3BEF-49EC-A95D-0CC5AA1E31BD}">
    <text>Onedrive
Nationwide
Netflix
Printing
9.99 = NowTv Cinema
12 = barclays avios
8.99 = disney</text>
  </threadedComment>
  <threadedComment ref="E26" dT="2023-07-24T16:36:14.82" personId="{00000000-0000-0000-0000-000000000000}" id="{93C91AB7-3777-4C2F-A2ED-E67567AE3607}">
    <text>This is going towards CC</text>
  </threadedComment>
  <threadedComment ref="O51" dT="2025-10-10T11:38:09.92" personId="{00000000-0000-0000-0000-000000000000}" id="{C979BCBB-F810-42D3-888C-F3C30192267F}">
    <text>Loans looking to swallow with mortgage</text>
  </threadedComment>
  <threadedComment ref="I52" dT="2025-01-09T15:52:57.12" personId="{00000000-0000-0000-0000-000000000000}" id="{52D8D081-C0F7-41D3-9CF6-6EE3E8D8BE40}">
    <text>10k fees - Stamp duty (6750), fees, etc, leaving mortgage early
21k - Car loans
5500 - furnishing</text>
  </threadedComment>
  <threadedComment ref="Q53" dT="2025-09-21T23:00:32.97" personId="{00000000-0000-0000-0000-000000000000}" id="{A01AC908-712B-43EE-9C30-95EF5972F375}">
    <text>EPC B -&gt; E worst case estimate</text>
  </threadedComment>
  <threadedComment ref="Q55" dT="2025-09-21T23:00:46.64" personId="{00000000-0000-0000-0000-000000000000}" id="{0FAD9218-DE0B-4CA5-B03E-A64302CEF5AE}">
    <text>Both band C</text>
  </threadedComment>
  <threadedComment ref="H56" dT="2025-10-10T13:06:01.18" personId="{00000000-0000-0000-0000-000000000000}" id="{8DE820E6-D445-41D6-A79C-E51BE9DEACA3}">
    <text>Wrap into mortgage</text>
  </threadedComment>
  <threadedComment ref="Q57" dT="2025-10-18T19:47:20.35" personId="{00000000-0000-0000-0000-000000000000}" id="{C5528F61-F499-4F7B-910F-B2082AE34A93}">
    <text>Doubling decreasing cover for house</text>
  </threadedComment>
  <threadedComment ref="H61" dT="2025-10-17T16:32:14.02" personId="{00000000-0000-0000-0000-000000000000}" id="{2B1249D7-B4D4-4136-9C5F-410C8D7820F6}">
    <text>What’s left @ 90% LTV less major extras</text>
  </threadedComment>
</ThreadedComments>
</file>

<file path=xl/threadedComments/threadedComment91.xml><?xml version="1.0" encoding="utf-8"?>
<ThreadedComments xmlns="http://schemas.microsoft.com/office/spreadsheetml/2018/threadedcomments" xmlns:x="http://schemas.openxmlformats.org/spreadsheetml/2006/main">
  <threadedComment ref="A5" dT="2025-08-05T00:04:56.72" personId="{00000000-0000-0000-0000-000000000000}" id="{CC9FFBD4-034C-CE4C-AC23-738864D98CE6}">
    <text>25k spend by EOB JAN 26</text>
  </threadedComment>
</ThreadedComments>
</file>

<file path=xl/threadedComments/threadedComment92.xml><?xml version="1.0" encoding="utf-8"?>
<ThreadedComments xmlns="http://schemas.microsoft.com/office/spreadsheetml/2018/threadedcomments" xmlns:x="http://schemas.openxmlformats.org/spreadsheetml/2006/main">
  <threadedComment ref="K1" dT="2025-02-05T21:49:07.24" personId="{00000000-0000-0000-0000-000000000000}" id="{8231768C-A54C-40BC-8F08-71EB4946D40A}">
    <text>Barclays Premier Matures - Upgrade Voucher</text>
  </threadedComment>
  <threadedComment ref="A7" dT="2025-02-05T21:44:00.55" personId="{00000000-0000-0000-0000-000000000000}" id="{487A1E01-1E3A-47F4-89D2-91D0E1988DFF}">
    <text>Includes avios shopping, hotels, bonuses etc</text>
  </threadedComment>
  <threadedComment ref="B7" dT="2025-02-05T21:04:35.01" personId="{00000000-0000-0000-0000-000000000000}" id="{3FE7EA38-5AA3-48CA-AC36-DB142FBB75ED}">
    <text>2k pm x 1.5</text>
  </threadedComment>
  <threadedComment ref="M8" dT="2025-07-25T09:25:37.68" personId="{00000000-0000-0000-0000-000000000000}" id="{DE3F1515-12E0-4383-8BEA-2A6909C3B358}">
    <text>THAILAND</text>
  </threadedComment>
  <threadedComment ref="N8" dT="2025-07-25T09:26:09.09" personId="{00000000-0000-0000-0000-000000000000}" id="{E6FAE287-2A9A-4CB1-8931-088903B5605E}">
    <text>Christmas</text>
  </threadedComment>
  <threadedComment ref="D10" dT="2025-02-05T23:35:25.48" personId="{00000000-0000-0000-0000-000000000000}" id="{4ED25BAA-0769-4F3F-8F45-CA18E94E85A4}">
    <text>Matt Barclays Bonus</text>
  </threadedComment>
  <threadedComment ref="F10" dT="2025-02-05T21:59:59.78" personId="{00000000-0000-0000-0000-000000000000}" id="{AE2C86AA-2D38-445D-81B7-1544EB8A925E}">
    <text>KRIS - Amex welcome</text>
  </threadedComment>
  <threadedComment ref="K11" dT="2025-02-05T21:07:14.65" personId="{00000000-0000-0000-0000-000000000000}" id="{E79B5B71-F789-40DB-A8A9-07B5E2E7E78D}">
    <text>Universal 2026</text>
  </threadedComment>
  <threadedComment ref="B19" dT="2025-02-05T21:04:35.01" personId="{00000000-0000-0000-0000-000000000000}" id="{03B97215-6088-4946-827A-DD78AD1D7ACD}">
    <text>2k pm x 1.5</text>
  </threadedComment>
  <threadedComment ref="G20" dT="2025-07-25T09:27:05.94" personId="{00000000-0000-0000-0000-000000000000}" id="{18D1A367-CDD9-47ED-B174-8DC7794C6D9D}">
    <text>Work trip</text>
  </threadedComment>
  <threadedComment ref="H20" dT="2025-07-25T09:27:35.09" personId="{00000000-0000-0000-0000-000000000000}" id="{EE4C63E7-4B6F-4EA5-A48F-471B4016BAF5}">
    <text>Summer hol</text>
  </threadedComment>
  <threadedComment ref="M20" dT="2025-07-25T09:25:37.68" personId="{00000000-0000-0000-0000-000000000000}" id="{0FF6C755-B54A-4792-A5AD-FADACF310A19}">
    <text>Autumn hol</text>
  </threadedComment>
  <threadedComment ref="N20" dT="2025-07-25T09:26:09.09" personId="{00000000-0000-0000-0000-000000000000}" id="{AA284742-9FCF-471D-83CE-A28AC225F51D}">
    <text>Christmas</text>
  </threadedComment>
  <threadedComment ref="B31" dT="2025-02-05T21:04:35.01" personId="{00000000-0000-0000-0000-000000000000}" id="{FD0A5C4B-3994-4C08-ACBC-6877523B39FE}">
    <text>2k pm x 1.5</text>
  </threadedComment>
  <threadedComment ref="G32" dT="2025-07-25T09:27:18.37" personId="{00000000-0000-0000-0000-000000000000}" id="{2653FFD8-E7EA-4431-8C4F-A9E2845BDC66}">
    <text>Work trip</text>
  </threadedComment>
  <threadedComment ref="H32" dT="2025-07-25T09:27:35.09" personId="{00000000-0000-0000-0000-000000000000}" id="{AA05EB73-A277-4DE5-BF9D-56DE110F8E61}">
    <text>Summer hol</text>
  </threadedComment>
  <threadedComment ref="M32" dT="2025-07-25T09:25:37.68" personId="{00000000-0000-0000-0000-000000000000}" id="{DB29C27C-5C18-4614-A1A7-489995CE59DD}">
    <text>Autumn hol</text>
  </threadedComment>
  <threadedComment ref="N32" dT="2025-07-25T09:26:09.09" personId="{00000000-0000-0000-0000-000000000000}" id="{C3982A9F-E948-4C6A-846E-DB495BC75F18}">
    <text>Christmas</text>
  </threadedComment>
  <threadedComment ref="C34" dT="2025-02-05T22:30:08.22" personId="{00000000-0000-0000-0000-000000000000}" id="{E2834A07-7FBA-4EB2-9462-5AD3C0BE21C2}">
    <text>Matt Sign-up AMEX</text>
  </threadedComment>
  <threadedComment ref="B46" dT="2025-02-05T21:33:02.72" personId="{00000000-0000-0000-0000-000000000000}" id="{4264E82B-051B-495E-A903-1B4E1466571D}">
    <text>AMEX Fee
Barclaycard Fee</text>
  </threadedComment>
</ThreadedComments>
</file>

<file path=xl/threadedComments/threadedComment93.xml><?xml version="1.0" encoding="utf-8"?>
<ThreadedComments xmlns="http://schemas.microsoft.com/office/spreadsheetml/2018/threadedcomments" xmlns:x="http://schemas.openxmlformats.org/spreadsheetml/2006/main">
  <threadedComment ref="G4" dT="2025-10-15T21:16:31.81" personId="{00000000-0000-0000-0000-000000000000}" id="{D864FA7E-839F-1541-B4B1-4B189D6CF7C1}">
    <text>993 = amz flip</text>
  </threadedComment>
  <threadedComment ref="F21" dT="2025-05-24T10:48:21.67" personId="{00000000-0000-0000-0000-000000000000}" id="{641B42F7-2EBD-0543-AB77-E9E64B015ED1}">
    <text>48 = mattress
137 = watch</text>
  </threadedComment>
  <threadedComment ref="F21" dT="2025-08-25T12:33:24.34" personId="{00000000-0000-0000-0000-000000000000}" id="{6F4C030C-0CFD-0C46-9AAA-50685AF200E4}" parentId="{641B42F7-2EBD-0543-AB77-E9E64B015ED1}">
    <text xml:space="preserve">170 = barclaycard </text>
  </threadedComment>
  <threadedComment ref="F23" dT="2024-06-30T22:06:36.96" personId="{00000000-0000-0000-0000-000000000000}" id="{A4F792CE-0C0A-474A-BB53-0EC3155DF5B1}">
    <text>10.49 = Onedrive
18 = Nationwide
4.99 = Netflix
0.99 = Printing
12 = barclays avios
20 = barclaycard premium
9.49 = kindle unlimited
0.99 = audible</text>
  </threadedComment>
  <threadedComment ref="E27" dT="2023-07-24T16:36:14.82" personId="{00000000-0000-0000-0000-000000000000}" id="{DC9A42CA-2978-6B4B-8B4B-C2E851F50234}">
    <text>This is going towards CC</text>
  </threadedComment>
  <threadedComment ref="H30" dT="2025-10-05T17:57:59.92" personId="{00000000-0000-0000-0000-000000000000}" id="{FD4A9F37-7590-9C4D-91EA-6A5B2BB4D9B4}">
    <text>Latvia dentist</text>
  </threadedComment>
  <threadedComment ref="J30" dT="2025-09-27T20:20:19.84" personId="{00000000-0000-0000-0000-000000000000}" id="{D7AC510B-BE34-C64E-B512-C181B2C769ED}">
    <text>100 = moles
25 = fine</text>
  </threadedComment>
  <threadedComment ref="H32" dT="2025-10-05T17:24:38.75" personId="{00000000-0000-0000-0000-000000000000}" id="{72375590-D6D9-F848-BA75-C66A20501348}">
    <text>gucci bag</text>
  </threadedComment>
  <threadedComment ref="S32" dT="2025-07-04T15:18:53.04" personId="{00000000-0000-0000-0000-000000000000}" id="{53FAB3DB-DC03-0942-BED3-0DD09DA028C4}">
    <text>Uber</text>
  </threadedComment>
  <threadedComment ref="H33" dT="2025-09-27T20:48:50.05" personId="{00000000-0000-0000-0000-000000000000}" id="{EA64619B-A79B-9A42-9189-976D406EDF74}">
    <text>186.04 = Bangkok Hotel
95.14 = Gardens by the bay
950 = vegas 2026</text>
  </threadedComment>
  <threadedComment ref="H34" dT="2025-10-05T17:57:33.17" personId="{00000000-0000-0000-0000-000000000000}" id="{72F4CBC1-0A0C-2647-B7D2-DAEE831C42B7}">
    <text>Mum + dad xmas</text>
  </threadedComment>
  <threadedComment ref="H52" dT="2025-10-15T22:03:54.98" personId="{00000000-0000-0000-0000-000000000000}" id="{7FC98A0E-E186-DC4B-B2DB-C36F3CCF871C}">
    <text>Bangkok hotel</text>
  </threadedComment>
  <threadedComment ref="H53" dT="2025-10-15T22:04:12.86" personId="{00000000-0000-0000-0000-000000000000}" id="{CBB58310-6E72-F04F-A3E4-49E38949E88F}">
    <text>gardens by the bay</text>
  </threadedComment>
</ThreadedComments>
</file>

<file path=xl/threadedComments/threadedComment94.xml><?xml version="1.0" encoding="utf-8"?>
<ThreadedComments xmlns="http://schemas.microsoft.com/office/spreadsheetml/2018/threadedcomments" xmlns:x="http://schemas.openxmlformats.org/spreadsheetml/2006/main">
  <threadedComment ref="A6" dT="2025-11-21T11:29:10.94" personId="{00000000-0000-0000-0000-000000000000}" id="{30B1BBEA-8E00-43B5-A6C5-C8FA3603FE13}">
    <text>Refund WAS available</text>
  </threadedComment>
</ThreadedComments>
</file>

<file path=xl/threadedComments/threadedComment95.xml><?xml version="1.0" encoding="utf-8"?>
<ThreadedComments xmlns="http://schemas.microsoft.com/office/spreadsheetml/2018/threadedcomments" xmlns:x="http://schemas.openxmlformats.org/spreadsheetml/2006/main">
  <threadedComment ref="G4" dT="2025-10-15T21:16:31.81" personId="{00000000-0000-0000-0000-000000000000}" id="{D0EF9746-3B9F-4D8E-B436-0B9EAA62D4AF}">
    <text>993 = amz flip</text>
  </threadedComment>
  <threadedComment ref="F21" dT="2025-05-24T10:48:21.67" personId="{00000000-0000-0000-0000-000000000000}" id="{52DB8332-9174-4A83-8F8C-FA9EE0C4625F}">
    <text>48 = mattress
137 = watch</text>
  </threadedComment>
  <threadedComment ref="F21" dT="2025-08-25T12:33:24.34" personId="{00000000-0000-0000-0000-000000000000}" id="{C29A49FD-F913-4767-A29C-129FD16FD244}" parentId="{52DB8332-9174-4A83-8F8C-FA9EE0C4625F}">
    <text xml:space="preserve">170 = barclaycard </text>
  </threadedComment>
  <threadedComment ref="F24" dT="2024-06-30T22:06:36.96" personId="{00000000-0000-0000-0000-000000000000}" id="{5F97C29C-4646-41CD-B8DA-D8E7509AF59E}">
    <text>10.49 = Onedrive
18 = Nationwide
4.99 = Netflix
0.99 = Printing
12 = barclays avios
20 = barclaycard premium</text>
  </threadedComment>
  <threadedComment ref="E28" dT="2023-07-24T16:36:14.82" personId="{00000000-0000-0000-0000-000000000000}" id="{A21AE610-9E4A-45F7-8976-18972DD26DF8}">
    <text>This is going towards CC</text>
  </threadedComment>
  <threadedComment ref="S33" dT="2025-07-04T15:18:53.04" personId="{00000000-0000-0000-0000-000000000000}" id="{A69BE99A-DCBF-4392-B5CB-F8509F2B31D8}">
    <text>Uber</text>
  </threadedComment>
  <threadedComment ref="F34" dT="2025-10-26T23:09:17.65" personId="{00000000-0000-0000-0000-000000000000}" id="{DA99C839-3FA5-44DF-A1EC-D1C8CB956974}">
    <text>100 = kris
100 = food
40 = fuel
100 = matt
50 = skin
830 = base
910 = bonus
107 = tattoo rfd</text>
  </threadedComment>
  <threadedComment ref="G34" dT="2025-11-19T16:58:46.12" personId="{00000000-0000-0000-0000-000000000000}" id="{A648B3D9-6A72-409D-9D24-30FBB3638204}">
    <text>Cash withdrawal</text>
  </threadedComment>
  <threadedComment ref="G40" dT="2025-11-01T11:23:45.33" personId="{00000000-0000-0000-0000-000000000000}" id="{C0231D88-F04F-4A0F-9E38-5DFAA2E8D312}">
    <text>155+30+130 = kris phone</text>
  </threadedComment>
  <threadedComment ref="H41" dT="2025-11-01T23:20:58.48" personId="{00000000-0000-0000-0000-000000000000}" id="{46F7D04D-6454-4773-AD43-CA36EC3FAC78}">
    <text xml:space="preserve">21 = B&amp;Q samples + tape measure
12 = B&amp;Q samples
65 = moulding
129 = moulding v2 + paint
68 = ikea
</text>
  </threadedComment>
  <threadedComment ref="H54" dT="2025-10-15T22:03:54.98" personId="{00000000-0000-0000-0000-000000000000}" id="{D3027440-E8DC-4A17-B017-CAB5B1DADDB4}">
    <text>Bangkok hotel</text>
  </threadedComment>
  <threadedComment ref="D61" dT="2025-10-26T22:56:03.15" personId="{00000000-0000-0000-0000-000000000000}" id="{5B368DC7-5F3B-4274-9519-9FF2457C1417}">
    <text>Unitl april</text>
  </threadedComment>
  <threadedComment ref="D72" dT="2025-11-04T19:14:22.63" personId="{00000000-0000-0000-0000-000000000000}" id="{5C3C9E3A-DC49-461C-9767-409BF5B39DDD}">
    <text>Only there for evening on day 1, reduce budget to £100 ($130)
Already applied on current defecit (3375)</text>
  </threadedComment>
  <threadedComment ref="K74" dT="2025-11-19T19:02:33.31" personId="{00000000-0000-0000-0000-000000000000}" id="{D676BD37-ADD8-4060-9E5D-D29F247B2273}">
    <text>117 = in room dining</text>
  </threadedComment>
</ThreadedComments>
</file>

<file path=xl/threadedComments/threadedComment96.xml><?xml version="1.0" encoding="utf-8"?>
<ThreadedComments xmlns="http://schemas.microsoft.com/office/spreadsheetml/2018/threadedcomments" xmlns:x="http://schemas.openxmlformats.org/spreadsheetml/2006/main">
  <threadedComment ref="F20" dT="2025-05-24T10:48:21.67" personId="{00000000-0000-0000-0000-000000000000}" id="{B19B244E-1EE7-4F9A-BD82-36B013037CA9}">
    <text>48 = mattress
137 = watch</text>
  </threadedComment>
  <threadedComment ref="F20" dT="2025-08-25T12:33:24.34" personId="{00000000-0000-0000-0000-000000000000}" id="{8E4B1779-6481-4C10-96FB-DF1AFAE64135}" parentId="{B19B244E-1EE7-4F9A-BD82-36B013037CA9}">
    <text xml:space="preserve">170 = barclaycard </text>
  </threadedComment>
  <threadedComment ref="F21" dT="2025-11-24T22:50:31.53" personId="{00000000-0000-0000-0000-000000000000}" id="{92ECADC6-04ED-4A55-A772-C672DE682317}">
    <text>Going towards vegas</text>
  </threadedComment>
  <threadedComment ref="F23" dT="2024-06-30T22:06:36.96" personId="{00000000-0000-0000-0000-000000000000}" id="{9FE61DC3-6B04-4F06-9D80-F35223D56F63}">
    <text>10.49 = Onedrive
18 = Nationwide
4.99 = Netflix
0.99 = Printing
12 = barclays avios
20 = barclaycard premium</text>
  </threadedComment>
  <threadedComment ref="E27" dT="2023-07-24T16:36:14.82" personId="{00000000-0000-0000-0000-000000000000}" id="{D0A3EBDB-A90A-426F-BE90-85F8A3CDB1FD}">
    <text>This is going towards CC</text>
  </threadedComment>
  <threadedComment ref="G30" dT="2025-12-08T20:34:35.63" personId="{00000000-0000-0000-0000-000000000000}" id="{0F48C0C7-1F9A-4ADB-81A1-C9533AD21E22}">
    <text>40 = babu</text>
  </threadedComment>
  <threadedComment ref="H30" dT="2025-11-30T22:05:34.13" personId="{00000000-0000-0000-0000-000000000000}" id="{1BB04E78-7D8D-4E4B-8785-B0536C8539B7}">
    <text>9.95 = hose spray gun
60 = medical form</text>
  </threadedComment>
  <threadedComment ref="F33" dT="2025-10-26T23:09:17.65" personId="{00000000-0000-0000-0000-000000000000}" id="{53250DC9-7BD7-4491-909C-BFB18CD6923B}">
    <text>100 = kris
100 = food
40 = fuel
100 = matt
50 = skin
830 = base
910 = bonus
107 = tattoo rfd</text>
  </threadedComment>
  <threadedComment ref="H34" dT="2025-11-26T16:00:58.55" personId="{00000000-0000-0000-0000-000000000000}" id="{0AB97FC7-5A8C-4091-BBC7-28B4F9355C69}">
    <text>24.99 = milners kids
23.19 = alfie
40.14 = gifts</text>
  </threadedComment>
  <threadedComment ref="G39" dT="2025-11-30T22:46:31.29" personId="{00000000-0000-0000-0000-000000000000}" id="{A5792831-8421-43DB-8D26-CEC1D5468942}">
    <text>cash</text>
  </threadedComment>
  <threadedComment ref="H39" dT="2025-11-30T22:47:24.64" personId="{00000000-0000-0000-0000-000000000000}" id="{CA4C7DC0-1C50-4B58-A72F-E6F75CBF20A9}">
    <text>4.99 = movie
2.1 = coop
3.5 = coop
0.9 = soothers
2.2 = coop</text>
  </threadedComment>
  <threadedComment ref="J39" dT="2025-11-30T22:50:04.96" personId="{00000000-0000-0000-0000-000000000000}" id="{B02F0719-C6FA-421E-B0B2-C533FD510CFB}">
    <text>14 = zimmer parking
3.84 = balance
12 = tong blanket</text>
  </threadedComment>
  <threadedComment ref="G40" dT="2025-11-27T17:13:55.03" personId="{00000000-0000-0000-0000-000000000000}" id="{0F960F42-3037-4D48-AFC8-0EAF175A9810}">
    <text>Carpet clean</text>
  </threadedComment>
  <threadedComment ref="H40" dT="2025-11-26T16:01:38.62" personId="{00000000-0000-0000-0000-000000000000}" id="{6AC7AE29-D766-436C-83FD-A041C01D039A}">
    <text>22.37 = tesco
16 = b&amp;m
18.07 = asda
99.17 = aldi
43.8 = fortnum</text>
  </threadedComment>
  <threadedComment ref="J40" dT="2025-11-30T22:09:17.71" personId="{00000000-0000-0000-0000-000000000000}" id="{72DE463E-DB38-4392-91A6-FB73C8E94949}">
    <text>56.99 = tree
15 = dunelm</text>
  </threadedComment>
  <threadedComment ref="F43" dT="2025-11-27T17:12:34.89" personId="{00000000-0000-0000-0000-000000000000}" id="{D7B11B92-B89A-45D0-9034-F071E204E8AE}">
    <text>2783 = base
300 = xmas gift
120 = iphone drawdown
191 = elephant refund</text>
  </threadedComment>
  <threadedComment ref="F44" dT="2025-12-08T20:33:24.84" personId="{00000000-0000-0000-0000-000000000000}" id="{0665CEF7-B7C9-4C35-A6E8-771D3876C28E}">
    <text>50 = skin</text>
  </threadedComment>
  <threadedComment ref="G48" dT="2025-11-25T11:29:58.97" personId="{00000000-0000-0000-0000-000000000000}" id="{8EB3979D-5A2E-4898-BF7E-0DF7DFF45896}">
    <text>3579.86 = wage
5 = barclays cashback
20 = iphone drawdown
Rest = kris</text>
  </threadedComment>
  <threadedComment ref="N52" dT="2025-12-21T23:00:04.17" personId="{00000000-0000-0000-0000-000000000000}" id="{63313A82-6AE1-074A-8440-EC042D58FE4A}">
    <text>348.38 rollover</text>
  </threadedComment>
  <threadedComment ref="N53" dT="2025-12-21T22:30:52.89" personId="{00000000-0000-0000-0000-000000000000}" id="{B5BB03E4-89E8-044E-9B76-2E697758F46B}">
    <text>Rolled over: 29.78</text>
  </threadedComment>
  <threadedComment ref="H58" dT="2025-12-01T11:39:03.08" personId="{00000000-0000-0000-0000-000000000000}" id="{0491F483-C216-4781-BDB5-0B8135522272}">
    <text>Rest next month</text>
  </threadedComment>
  <threadedComment ref="K71" dT="2025-11-19T19:02:33.31" personId="{00000000-0000-0000-0000-000000000000}" id="{8900BDA2-D2FA-47F2-9D0D-9504410466E1}">
    <text>117 = in room dining</text>
  </threadedComment>
</ThreadedComments>
</file>

<file path=xl/threadedComments/threadedComment97.xml><?xml version="1.0" encoding="utf-8"?>
<ThreadedComments xmlns="http://schemas.microsoft.com/office/spreadsheetml/2018/threadedcomments" xmlns:x="http://schemas.openxmlformats.org/spreadsheetml/2006/main">
  <threadedComment ref="K4" dT="2026-01-10T10:41:24.06" personId="{00000000-0000-0000-0000-000000000000}" id="{A6E3D725-B282-4ED7-8B23-0BD5DA1E0D90}">
    <text>64 - kris ins rollover</text>
  </threadedComment>
  <threadedComment ref="J6" dT="2025-12-21T22:26:17.56" personId="{00000000-0000-0000-0000-000000000000}" id="{61475C08-4FC6-E94F-87CF-49EF41FE93EC}">
    <text>29.78 = rollover</text>
  </threadedComment>
  <threadedComment ref="H7" dT="2025-12-21T23:17:27.76" personId="{00000000-0000-0000-0000-000000000000}" id="{1B56D4E1-5B4A-7E46-BC92-5B3AD93E8BEE}">
    <text>M&amp;S Rollover</text>
  </threadedComment>
  <threadedComment ref="F15" dT="2025-12-27T19:40:06.20" personId="{00000000-0000-0000-0000-000000000000}" id="{38F81884-E4AE-2C40-AAD8-495928B2C60D}">
    <text>-5 for rewards</text>
  </threadedComment>
  <threadedComment ref="F20" dT="2025-05-24T10:48:21.67" personId="{00000000-0000-0000-0000-000000000000}" id="{C8B63CEF-1BA8-714D-88EA-9D29640E7223}">
    <text>48 = mattress
137 = watch</text>
  </threadedComment>
  <threadedComment ref="F20" dT="2025-08-25T12:33:24.34" personId="{00000000-0000-0000-0000-000000000000}" id="{CB3E9D0D-E90B-8246-8C0F-FC12DE43277F}" parentId="{C8B63CEF-1BA8-714D-88EA-9D29640E7223}">
    <text xml:space="preserve">170 = barclaycard </text>
  </threadedComment>
  <threadedComment ref="F20" dT="2025-12-31T16:35:31.72" personId="{00000000-0000-0000-0000-000000000000}" id="{83679F66-C5ED-194A-83D2-EBCFC4B41A05}" parentId="{C8B63CEF-1BA8-714D-88EA-9D29640E7223}">
    <text>137.5 - moved to savings</text>
  </threadedComment>
  <threadedComment ref="F21" dT="2025-11-24T22:50:31.53" personId="{00000000-0000-0000-0000-000000000000}" id="{F68BC6F6-431F-C346-8414-397589768DD7}">
    <text>Going towards vegas</text>
  </threadedComment>
  <threadedComment ref="F24" dT="2024-06-30T22:06:36.96" personId="{00000000-0000-0000-0000-000000000000}" id="{BDB5EFBC-580D-9F46-BEC7-BDB671C493E0}">
    <text>10.49 = Onedrive
18 = Nationwide
4.99 = Netflix
0.99 = Printing
12 = barclays avios
20 = barclaycard premium</text>
  </threadedComment>
  <threadedComment ref="E28" dT="2023-07-24T16:36:14.82" personId="{00000000-0000-0000-0000-000000000000}" id="{A8409600-C47F-F74F-87F3-8DA587C65F2C}">
    <text>This is going towards CC</text>
  </threadedComment>
  <threadedComment ref="H35" dT="2025-12-21T22:57:14.90" personId="{00000000-0000-0000-0000-000000000000}" id="{A95A4395-51B0-7745-AA46-6717E1A9F851}">
    <text xml:space="preserve">kris extra bday - 180 will return
</text>
  </threadedComment>
  <threadedComment ref="J35" dT="2025-12-27T17:33:54.45" personId="{00000000-0000-0000-0000-000000000000}" id="{7B9747AE-463E-4E4D-B47B-D096F28B6CE4}">
    <text>auntie julie bday
5 = church charity</text>
  </threadedComment>
  <threadedComment ref="F41" dT="2025-11-27T17:12:34.89" personId="{00000000-0000-0000-0000-000000000000}" id="{3236EA45-E9C2-3F4E-A97C-B90BF9768CE5}">
    <text>3389.36 = base</text>
  </threadedComment>
  <threadedComment ref="F42" dT="2025-12-08T20:33:24.84" personId="{00000000-0000-0000-0000-000000000000}" id="{2E4E23D4-ADCB-964E-9A96-DD0652B1ED86}">
    <text>50 = skin</text>
  </threadedComment>
  <threadedComment ref="G45" dT="2025-11-25T11:29:58.97" personId="{00000000-0000-0000-0000-000000000000}" id="{75DD2459-B93F-6A4D-9740-D20C4E61F423}">
    <text>3579.86 = wage
5 = barclays cashback
20 = iphone drawdown
Rest = kris</text>
  </threadedComment>
  <threadedComment ref="F78" dT="2026-02-20T15:06:13.21" personId="{00000000-0000-0000-0000-000000000000}" id="{F06D9E02-DDE7-46E3-99CA-00BAD065505C}">
    <text>% if pay bump is $</text>
  </threadedComment>
  <threadedComment ref="F79" dT="2026-02-20T15:06:41.81" personId="{00000000-0000-0000-0000-000000000000}" id="{E273D6F5-8495-4920-9151-DD11A527321D}">
    <text>% if pay rise = £</text>
  </threadedComment>
</ThreadedComments>
</file>

<file path=xl/threadedComments/threadedComment98.xml><?xml version="1.0" encoding="utf-8"?>
<ThreadedComments xmlns="http://schemas.microsoft.com/office/spreadsheetml/2018/threadedcomments" xmlns:x="http://schemas.openxmlformats.org/spreadsheetml/2006/main">
  <threadedComment ref="F13" dT="2026-01-20T23:14:03.07" personId="{00000000-0000-0000-0000-000000000000}" id="{C166401C-8EA8-4665-BC2B-C0F1E1A736AB}">
    <text>Renews May 2026</text>
  </threadedComment>
  <threadedComment ref="F15" dT="2025-12-27T19:40:06.20" personId="{00000000-0000-0000-0000-000000000000}" id="{90CCA049-7595-3340-A728-ED0747E1926A}">
    <text>-5 for rewards</text>
  </threadedComment>
  <threadedComment ref="F16" dT="2026-01-20T22:57:20.11" personId="{00000000-0000-0000-0000-000000000000}" id="{A0BC4017-60E1-4CC2-B344-6B5CB077A99B}">
    <text>Renewal: Aug 2026</text>
  </threadedComment>
  <threadedComment ref="F17" dT="2026-01-20T22:57:12.33" personId="{00000000-0000-0000-0000-000000000000}" id="{6A436E2E-1F53-470F-AED2-37FBDCBE8524}">
    <text>Renewal: August 2026</text>
  </threadedComment>
  <threadedComment ref="F20" dT="2025-05-24T10:48:21.67" personId="{00000000-0000-0000-0000-000000000000}" id="{D37A5CBE-8A8A-E949-997B-4052066F8452}">
    <text>48 = mattress
137 = watch</text>
  </threadedComment>
  <threadedComment ref="F20" dT="2025-08-25T12:33:24.34" personId="{00000000-0000-0000-0000-000000000000}" id="{D320CD75-05C2-AC41-8265-094C9C075137}" parentId="{D37A5CBE-8A8A-E949-997B-4052066F8452}">
    <text xml:space="preserve">170 = barclaycard </text>
  </threadedComment>
  <threadedComment ref="F20" dT="2025-12-31T16:35:31.72" personId="{00000000-0000-0000-0000-000000000000}" id="{71E81078-F066-D540-9434-0374A1C00B6B}" parentId="{D37A5CBE-8A8A-E949-997B-4052066F8452}">
    <text>137.5 - moved to savings</text>
  </threadedComment>
  <threadedComment ref="F21" dT="2025-11-24T22:50:31.53" personId="{00000000-0000-0000-0000-000000000000}" id="{D5290616-9F92-C445-82E6-0A68F4A315E5}">
    <text>Going towards vegas</text>
  </threadedComment>
  <threadedComment ref="F23" dT="2026-01-27T10:17:13.23" personId="{00000000-0000-0000-0000-000000000000}" id="{D5F357C5-61DB-4C7F-AF17-F37C7E3DA275}">
    <text>50 = ?
17 = haircut</text>
  </threadedComment>
  <threadedComment ref="H24" dT="2026-01-25T17:07:17.28" personId="{00000000-0000-0000-0000-000000000000}" id="{40F821B2-569E-452A-A63F-89B2A0A5A848}">
    <text>gynecologist</text>
  </threadedComment>
  <threadedComment ref="J24" dT="2026-01-30T16:02:02.71" personId="{00000000-0000-0000-0000-000000000000}" id="{4BA281BA-461E-4D0A-9209-57B76FCA46D2}">
    <text>5.97 = coolant
14 = dvla</text>
  </threadedComment>
  <threadedComment ref="F25" dT="2024-06-30T22:06:36.96" personId="{00000000-0000-0000-0000-000000000000}" id="{B3B15E21-8876-5948-9183-434D22EE0AAF}">
    <text>10.49 = Onedrive
18 = Nationwide
4.99 = Netflix
0.99 = Printing
12 = barclays avios
20 = barclaycard premium
13.95 = national trust</text>
  </threadedComment>
  <threadedComment ref="E29" dT="2023-07-24T16:36:14.82" personId="{00000000-0000-0000-0000-000000000000}" id="{2A653943-251D-5A49-8102-298461F96003}">
    <text>This is going towards CC</text>
  </threadedComment>
  <threadedComment ref="H30" dT="2026-02-15T13:07:19.16" personId="{00000000-0000-0000-0000-000000000000}" id="{670D8A0C-AD1B-4B83-8ACD-1A9F6DCD9FE9}">
    <text>Halfords premium (MOT etc)</text>
  </threadedComment>
  <threadedComment ref="G31" dT="2026-01-28T10:13:09.14" personId="{00000000-0000-0000-0000-000000000000}" id="{7451BC42-7369-4EC8-8833-40CC55DEE764}">
    <text>107 = Benjamin bentley fee
70 = kris scan</text>
  </threadedComment>
  <threadedComment ref="H31" dT="2026-02-02T17:45:14.13" personId="{00000000-0000-0000-0000-000000000000}" id="{51FBD5A5-D124-4824-B69E-196B0FCE4459}">
    <text>107.99 = vax</text>
  </threadedComment>
  <threadedComment ref="H32" dT="2026-01-30T15:42:42.45" personId="{00000000-0000-0000-0000-000000000000}" id="{375F2763-A7BE-4D4F-8A9B-5AD177B2690A}">
    <text>30 = dentist deposit</text>
  </threadedComment>
  <threadedComment ref="J32" dT="2026-02-19T15:47:11.17" personId="{00000000-0000-0000-0000-000000000000}" id="{0B4E7BAA-02F3-460C-86D5-DABCBF430FDF}">
    <text>Luna hc</text>
  </threadedComment>
  <threadedComment ref="H35" dT="2026-01-30T15:43:20.43" personId="{00000000-0000-0000-0000-000000000000}" id="{070D8CCB-2777-4FA5-91EE-6472BECFCBF4}">
    <text>21 = alfie present
180.96 = mothers day
15.95 = bothams (valentines)</text>
  </threadedComment>
  <threadedComment ref="J35" dT="2026-02-15T22:08:31.39" personId="{00000000-0000-0000-0000-000000000000}" id="{D98CC1D5-4990-40F3-99EF-89D6E9D1765C}">
    <text>Valentines old post office</text>
  </threadedComment>
  <threadedComment ref="H44" dT="2026-01-26T20:51:41.24" personId="{00000000-0000-0000-0000-000000000000}" id="{8EF7A09E-6FBA-427C-9161-BD69A540AF4B}">
    <text>18 = cinema
15 = keyboard
4.2 = coop
3.25 = coop
10.99 = cinema
7.95 = cinema
51.03 = batteries + keyboard
.06 = cinema
5.95 = cinema
14.99 = bronte books</text>
  </threadedComment>
  <threadedComment ref="J44" dT="2026-01-30T15:58:39.47" personId="{00000000-0000-0000-0000-000000000000}" id="{E358C058-68AB-416A-997C-4BC521FC3C41}">
    <text>3
3.98
27.5 = wine night</text>
  </threadedComment>
  <threadedComment ref="F45" dT="2025-11-27T17:12:34.89" personId="{00000000-0000-0000-0000-000000000000}" id="{9A8A1286-4122-E040-8AB2-65E9BD7F770A}">
    <text>64 = rosita insurance</text>
  </threadedComment>
  <threadedComment ref="H45" dT="2026-01-27T18:32:26.76" personId="{00000000-0000-0000-0000-000000000000}" id="{0500B72D-CC74-4D58-970F-AAF3690FA900}">
    <text>Santorini rfd</text>
  </threadedComment>
  <threadedComment ref="F46" dT="2025-12-08T20:33:24.84" personId="{00000000-0000-0000-0000-000000000000}" id="{D49B74C0-D1E7-854F-B4C5-ABB15221E68A}">
    <text>50 = skin
118 = sin refunds</text>
  </threadedComment>
  <threadedComment ref="H47" dT="2026-02-19T16:02:31.31" personId="{00000000-0000-0000-0000-000000000000}" id="{173FFC6A-EDEE-4226-8CD6-73703271B273}">
    <text>18.5 = h&amp;b
7.99 = amz
16.99 = amz
12.99 = amz
58 = train
14.96 = amz
6.1 = amz
5.48 = amz
10.59 = train
5.48 = amz
9.49 = amz
2.29 = amz
4.73 = amz
3.6 = train
34 = cosy c
3.2 = trian
2.6 = train</text>
  </threadedComment>
  <threadedComment ref="J47" dT="2026-02-01T20:39:40.21" personId="{00000000-0000-0000-0000-000000000000}" id="{94E34B90-F198-4F25-B5F2-4161F4A5331E}">
    <text>53 = old post office
49 = equafleece</text>
  </threadedComment>
  <threadedComment ref="G49" dT="2025-11-25T11:29:58.97" personId="{00000000-0000-0000-0000-000000000000}" id="{BC1E75AC-ACE4-A348-96DD-7AE2EB6B53E6}">
    <text>3579.86 = wage
5 = barclays cashback
20 = iphone drawdown
Rest = kris</text>
  </threadedComment>
</ThreadedComments>
</file>

<file path=xl/threadedComments/threadedComment99.xml><?xml version="1.0" encoding="utf-8"?>
<ThreadedComments xmlns="http://schemas.microsoft.com/office/spreadsheetml/2018/threadedcomments" xmlns:x="http://schemas.openxmlformats.org/spreadsheetml/2006/main">
  <threadedComment ref="E6" dT="2026-01-18T22:21:21.86" personId="{00000000-0000-0000-0000-000000000000}" id="{B976B0BB-BD92-4699-A120-172AECAC280A}">
    <text>Every 3-5 years</text>
  </threadedComment>
</ThreadedComments>
</file>

<file path=xl/threadedComments/threadedComment100.xml><?xml version="1.0" encoding="utf-8"?>
<ThreadedComments xmlns="http://schemas.microsoft.com/office/spreadsheetml/2018/threadedcomments" xmlns:x="http://schemas.openxmlformats.org/spreadsheetml/2006/main">
  <threadedComment ref="D2" dT="2025-12-31T16:34:42.83" personId="{00000000-0000-0000-0000-000000000000}" id="{BA495B3B-246C-FF4C-AFE9-0B1F8E60FCF3}">
    <text>Changeable once per year - last changed in Dec 2025</text>
  </threadedComment>
  <threadedComment ref="E4" dT="2025-12-31T20:08:22.49" personId="{00000000-0000-0000-0000-000000000000}" id="{5BB65F57-59C0-8D48-9C32-95E5A0A9D6F0}">
    <text>Already close to billing date</text>
  </threadedComment>
  <threadedComment ref="E6" dT="2025-12-31T20:08:22.49" personId="{00000000-0000-0000-0000-000000000000}" id="{6F7974E1-6318-4E1E-B536-C178E879F7E4}">
    <text>Already close to billing date</text>
  </threadedComment>
  <threadedComment ref="D9" dT="2026-01-27T11:57:17.95" personId="{00000000-0000-0000-0000-000000000000}" id="{E1DC8B79-5D2D-4DD4-9C2F-04E88E384980}">
    <text>Asked on 27th, they could only move it to the 22nd. Should I ask 5-7 days earlier?</text>
  </threadedComment>
  <threadedComment ref="E15" dT="2025-12-31T20:06:34.80" personId="{00000000-0000-0000-0000-000000000000}" id="{6E6DC4DC-CF76-834A-B131-AB48896ADF30}">
    <text>Try again in Jan</text>
  </threadedComment>
  <threadedComment ref="A17" dT="2026-01-28T11:51:43.38" personId="{00000000-0000-0000-0000-000000000000}" id="{F2D90D3B-9F61-4EDB-81DE-B079E3026D1D}">
    <text>Could only move one policy, the other would be in arrears and moving would cause a double payment</text>
  </threadedComment>
  <threadedComment ref="D27" dT="2025-12-31T20:18:56.30" personId="{00000000-0000-0000-0000-000000000000}" id="{AB87245E-A215-3047-BEDC-11E82F41773D}">
    <text>Call 0800 15 22 888</text>
  </threadedComment>
  <threadedComment ref="C28" dT="2025-12-31T16:53:03.26" personId="{00000000-0000-0000-0000-000000000000}" id="{C1A43CFE-BDF3-8A4C-9996-21C8B89D5AC4}">
    <text>Last day of month</text>
  </threadedComment>
</ThreadedComments>
</file>

<file path=xl/threadedComments/threadedComment101.xml><?xml version="1.0" encoding="utf-8"?>
<ThreadedComments xmlns="http://schemas.microsoft.com/office/spreadsheetml/2018/threadedcomments" xmlns:x="http://schemas.openxmlformats.org/spreadsheetml/2006/main">
  <threadedComment ref="G2" dT="2023-01-17T14:44:42.53" personId="{00000000-0000-0000-0000-000000000000}" id="{71CD5D72-DFFC-4E68-BB26-8B91ED0AA56A}">
    <text>1 year anniversary</text>
  </threadedComment>
  <threadedComment ref="G2" dT="2024-11-08T23:38:49.88" personId="{00000000-0000-0000-0000-000000000000}" id="{461F7B0D-47E3-7E47-910B-9D4280239328}" parentId="{71CD5D72-DFFC-4E68-BB26-8B91ED0AA56A}">
    <text>italy w hills</text>
  </threadedComment>
  <threadedComment ref="K2" dT="2023-01-17T14:45:11.02" personId="{00000000-0000-0000-0000-000000000000}" id="{46B7549C-920A-471F-B30F-0A32A67F6080}">
    <text>Matt 30th</text>
  </threadedComment>
  <threadedComment ref="L2" dT="2023-01-17T14:44:58.63" personId="{00000000-0000-0000-0000-000000000000}" id="{26C43D81-F8FF-4D09-9A3F-D3EEC618A747}">
    <text>10 year anniversary</text>
  </threadedComment>
  <threadedComment ref="N2" dT="2023-01-17T14:45:20.33" personId="{00000000-0000-0000-0000-000000000000}" id="{5381FA19-862E-4C7D-90C9-7989B83BCBE6}">
    <text>Kris 30th</text>
  </threadedComment>
  <threadedComment ref="C3" dT="2023-01-17T11:06:08.89" personId="{00000000-0000-0000-0000-000000000000}" id="{48FFC043-804D-40BD-8880-B3252D7641F8}">
    <text>1578 - bonus
40 - earphone sale
40 - watch sale
30 - gift budget (honey voucher, amz voucher)
25 - dress return
30 - kris wage (lulu top)
120 - cash
36 - matt fun (van gogh)</text>
  </threadedComment>
  <threadedComment ref="D3" dT="2023-01-17T11:23:31.18" personId="{00000000-0000-0000-0000-000000000000}" id="{99FCC4AF-259D-4AB6-B1CF-F594B0BFE23C}">
    <text>75 - Matt fun for opera
325 - extra bonus</text>
  </threadedComment>
  <threadedComment ref="E3" dT="2023-01-17T11:19:26.23" personId="{00000000-0000-0000-0000-000000000000}" id="{606E0239-B75B-4908-BA63-BA3DEB8C2F52}">
    <text>100 - cashback claim
400 - sales
400 - pension rfd</text>
  </threadedComment>
  <threadedComment ref="F3" dT="2023-01-25T12:26:42.76" personId="{00000000-0000-0000-0000-000000000000}" id="{974B549F-4DFF-4270-90B1-08CB4259F1D3}">
    <text>200 - matt fun
200 - kris fun</text>
  </threadedComment>
  <threadedComment ref="H3" dT="2023-01-18T16:05:41.35" personId="{00000000-0000-0000-0000-000000000000}" id="{F28EA45B-C70F-497F-AF09-F3B94CF835E2}">
    <text>90 - fitness
300 - amex cashback
1225 - remortgage excess</text>
  </threadedComment>
  <threadedComment ref="I3" dT="2023-01-18T16:15:36.57" personId="{00000000-0000-0000-0000-000000000000}" id="{DE88CC17-A6A9-470B-90D4-56CB43D54C10}">
    <text>1000 - bonus</text>
  </threadedComment>
  <threadedComment ref="K3" dT="2023-01-18T16:15:53.48" personId="{00000000-0000-0000-0000-000000000000}" id="{A44BA57C-5E92-42E5-8ED8-2DEEF337E863}">
    <text>90 - fitness</text>
  </threadedComment>
  <threadedComment ref="L3" dT="2023-01-18T16:16:01.37" personId="{00000000-0000-0000-0000-000000000000}" id="{FBA381D0-4D23-4BF7-BBB4-C3B53E5B11CF}">
    <text>800 - bonus</text>
  </threadedComment>
  <threadedComment ref="N3" dT="2023-01-18T16:16:59.54" personId="{00000000-0000-0000-0000-000000000000}" id="{5E33EAFC-EA41-49F3-92E9-0F1041ED860E}">
    <text>90 - fitness</text>
  </threadedComment>
  <threadedComment ref="D4" dT="2023-03-18T21:36:33.06" personId="{00000000-0000-0000-0000-000000000000}" id="{89D141B9-1714-47F5-8F86-38C7C9F7D515}">
    <text>+90 cash
+40 cash</text>
  </threadedComment>
  <threadedComment ref="I5" dT="2023-03-06T19:15:15.83" personId="{00000000-0000-0000-0000-000000000000}" id="{274CB9BF-CAA2-4032-9FDC-124B5058CF85}">
    <text>BMW MOT + Service</text>
  </threadedComment>
  <threadedComment ref="L5" dT="2023-03-06T19:15:24.28" personId="{00000000-0000-0000-0000-000000000000}" id="{0CAC8945-8B69-49BF-92AD-8F8756486969}">
    <text>Audi MOT + Service</text>
  </threadedComment>
  <threadedComment ref="E6" dT="2023-03-08T10:45:58.55" personId="{00000000-0000-0000-0000-000000000000}" id="{890162A7-A94C-47D0-9340-D5D680F4AA4C}">
    <text>Car respray</text>
  </threadedComment>
  <threadedComment ref="G6" dT="2023-05-25T13:10:38.55" personId="{00000000-0000-0000-0000-000000000000}" id="{6B5C743C-838E-496B-96A7-6E46CFD7616E}">
    <text>Car repair</text>
  </threadedComment>
  <threadedComment ref="C9" dT="2023-01-18T15:41:52.66" personId="{00000000-0000-0000-0000-000000000000}" id="{5FFAA724-B077-4A0F-841B-954113C74A4C}">
    <text>Valentines day</text>
  </threadedComment>
  <threadedComment ref="D9" dT="2023-01-18T15:42:06.23" personId="{00000000-0000-0000-0000-000000000000}" id="{18262B4F-7E86-421A-96F6-E8405C866310}">
    <text>Mothers day
National womens day</text>
  </threadedComment>
  <threadedComment ref="E9" dT="2023-01-18T15:42:31.55" personId="{00000000-0000-0000-0000-000000000000}" id="{77641F00-767E-4A1B-8029-A48CAF3547B1}">
    <text>Mum anniversary</text>
  </threadedComment>
  <threadedComment ref="G9" dT="2023-01-18T15:43:13.00" personId="{00000000-0000-0000-0000-000000000000}" id="{39CA4CD0-F0EE-4B39-9453-0C98FBC45588}">
    <text>Fathers day</text>
  </threadedComment>
  <threadedComment ref="H9" dT="2023-01-18T15:43:25.77" personId="{00000000-0000-0000-0000-000000000000}" id="{04750342-48A5-4562-ABBD-7A892F458821}">
    <text>Name day</text>
  </threadedComment>
  <threadedComment ref="K9" dT="2023-01-18T15:43:33.96" personId="{00000000-0000-0000-0000-000000000000}" id="{68BA0176-44C0-4847-B793-03D0DB85D4F3}">
    <text>Anniversary</text>
  </threadedComment>
  <threadedComment ref="M9" dT="2023-01-18T15:43:41.83" personId="{00000000-0000-0000-0000-000000000000}" id="{77B42D44-5C2F-41C0-9895-F5429B42F347}">
    <text>Xmas</text>
  </threadedComment>
  <threadedComment ref="N9" dT="2023-01-18T15:43:41.83" personId="{00000000-0000-0000-0000-000000000000}" id="{C7F69C43-965D-4374-ADE7-6E712731FAE1}">
    <text>Xmas</text>
  </threadedComment>
  <threadedComment ref="E11" dT="2023-03-18T21:57:15.23" personId="{00000000-0000-0000-0000-000000000000}" id="{96F0645B-38EE-498C-9FC3-8A25C9665139}">
    <text>400 - italy flights
270 - scotland cabin
645 - scotland</text>
  </threadedComment>
  <threadedComment ref="F11" dT="2023-01-18T16:47:13.16" personId="{00000000-0000-0000-0000-000000000000}" id="{B6D60E53-65A6-4F47-9E18-0247ACB4B40C}">
    <text>Scotland</text>
  </threadedComment>
  <threadedComment ref="H11" dT="2023-01-18T16:47:22.29" personId="{00000000-0000-0000-0000-000000000000}" id="{D246B196-A3C4-4BF3-9DA4-B5BD9BFD5E3C}">
    <text>Italy</text>
  </threadedComment>
  <threadedComment ref="K11" dT="2023-01-18T16:47:30.84" personId="{00000000-0000-0000-0000-000000000000}" id="{3031BEE3-DAAC-43D5-A29B-2789C86E1591}">
    <text>Latvia</text>
  </threadedComment>
  <threadedComment ref="N11" dT="2023-01-18T16:47:37.75" personId="{00000000-0000-0000-0000-000000000000}" id="{F4519749-657A-41B6-86E5-C6746E390DC0}">
    <text>Philippines</text>
  </threadedComment>
  <threadedComment ref="G19" dT="2023-01-17T14:44:42.53" personId="{00000000-0000-0000-0000-000000000000}" id="{7B7600CD-DCCE-4571-9C86-B76DB0135C51}">
    <text>1 year anniversary</text>
  </threadedComment>
  <threadedComment ref="J19" dT="2024-06-23T13:26:55.51" personId="{00000000-0000-0000-0000-000000000000}" id="{D4BB86C7-BFD8-4AEE-A608-A6009D194D19}">
    <text>£300 AMEX RENEWAL</text>
  </threadedComment>
  <threadedComment ref="K19" dT="2023-01-17T14:45:11.02" personId="{00000000-0000-0000-0000-000000000000}" id="{584A8FAF-4FB8-41C8-AA7B-CADACEB313C2}">
    <text>Matt 30th</text>
  </threadedComment>
  <threadedComment ref="L19" dT="2023-01-17T14:44:58.63" personId="{00000000-0000-0000-0000-000000000000}" id="{56322D17-CC5D-4D3F-9B4E-241C3B7DC0E4}">
    <text>10 year anniversary</text>
  </threadedComment>
  <threadedComment ref="N19" dT="2023-01-17T14:45:20.33" personId="{00000000-0000-0000-0000-000000000000}" id="{F22DAE65-C205-45A3-B581-2B366F62A99F}">
    <text>Kris 30th</text>
  </threadedComment>
  <threadedComment ref="C20" dT="2024-01-24T21:03:24.14" personId="{00000000-0000-0000-0000-000000000000}" id="{112FFD0E-CF39-E044-8FA4-FC2A1217F3C4}">
    <text>Pre savings</text>
  </threadedComment>
  <threadedComment ref="D20" dT="2024-01-24T21:03:37.49" personId="{00000000-0000-0000-0000-000000000000}" id="{B49049A9-881E-4F4D-A26A-C0E2FB676630}">
    <text>Bonus</text>
  </threadedComment>
  <threadedComment ref="F20" dT="2023-01-25T12:26:42.76" personId="{00000000-0000-0000-0000-000000000000}" id="{14958433-0643-4226-98EA-056F10B3D0C7}">
    <text>200 - matt fun
200 - kris fun</text>
  </threadedComment>
  <threadedComment ref="G20" dT="2024-05-20T22:39:47.17" personId="{00000000-0000-0000-0000-000000000000}" id="{776788B7-5327-49A6-96AD-CC9ED3A70DBA}">
    <text>480 - sales</text>
  </threadedComment>
  <threadedComment ref="H20" dT="2023-01-18T16:05:41.35" personId="{00000000-0000-0000-0000-000000000000}" id="{3245F4B0-D9A1-4201-B20A-E761E812672C}">
    <text xml:space="preserve">400 - sales
</text>
  </threadedComment>
  <threadedComment ref="I20" dT="2023-01-18T16:15:36.57" personId="{00000000-0000-0000-0000-000000000000}" id="{EF5F49C2-13CA-4781-85D0-A7E45B959584}">
    <text>1000 - bonus (hoping for extra 200)
90 - get moving
40 - phone
935 - extras
700 - extra from loan consolidation + payment break</text>
  </threadedComment>
  <threadedComment ref="J20" dT="2024-07-22T12:12:08.54" personId="{00000000-0000-0000-0000-000000000000}" id="{5DFBEA87-2A57-4288-8968-8997F2D14FE3}">
    <text>487 - loan payment break</text>
  </threadedComment>
  <threadedComment ref="K20" dT="2023-01-18T16:15:53.48" personId="{00000000-0000-0000-0000-000000000000}" id="{FE867E8C-BC4A-4504-B466-5936085513C3}">
    <text>90 - fitness
100 - bank interest</text>
  </threadedComment>
  <threadedComment ref="L20" dT="2023-01-18T16:16:01.37" personId="{00000000-0000-0000-0000-000000000000}" id="{E1E295B1-434F-49CE-A3F4-FD7CA6326953}">
    <text>800 - bonus</text>
  </threadedComment>
  <threadedComment ref="N20" dT="2023-01-18T16:16:59.54" personId="{00000000-0000-0000-0000-000000000000}" id="{0FFAFFF4-8577-49C1-BB97-E2C269D4B0CA}">
    <text>90 - fitness</text>
  </threadedComment>
  <threadedComment ref="D21" dT="2023-03-18T21:36:33.06" personId="{00000000-0000-0000-0000-000000000000}" id="{951A540D-54C7-4053-A6D2-BAA6F4E9AFC9}">
    <text>+90 cash</text>
  </threadedComment>
  <threadedComment ref="F21" dT="2024-05-20T22:38:00.91" personId="{00000000-0000-0000-0000-000000000000}" id="{562EA5C0-B03B-4F0A-86D9-9D7AA404D481}">
    <text>ACTUAL</text>
  </threadedComment>
  <threadedComment ref="C22" dT="2024-01-30T20:37:08.73" personId="{00000000-0000-0000-0000-000000000000}" id="{92058090-B4DD-46A9-96E8-EE339D5DC6D3}">
    <text>Rosita service</text>
  </threadedComment>
  <threadedComment ref="G22" dT="2024-07-03T11:48:35.77" personId="{00000000-0000-0000-0000-000000000000}" id="{1084079F-B75D-46A2-98D5-FE5EB48A38E1}">
    <text>Rosita MOT</text>
  </threadedComment>
  <threadedComment ref="H22" dT="2023-03-06T19:15:15.83" personId="{00000000-0000-0000-0000-000000000000}" id="{0B1F758D-78C2-4F95-BE8D-773F8D92B6B9}">
    <text>BMW MOT + Service</text>
  </threadedComment>
  <threadedComment ref="L22" dT="2023-03-06T19:15:24.28" personId="{00000000-0000-0000-0000-000000000000}" id="{B1524E57-7F93-4D5F-99F2-46FBC34CCFC8}">
    <text>Rosita MOT</text>
  </threadedComment>
  <threadedComment ref="C26" dT="2023-01-18T15:41:52.66" personId="{00000000-0000-0000-0000-000000000000}" id="{673BF27E-1217-4C14-80F1-FAD70C212910}">
    <text>Valentines day</text>
  </threadedComment>
  <threadedComment ref="D26" dT="2023-01-18T15:42:06.23" personId="{00000000-0000-0000-0000-000000000000}" id="{1399A89C-5D46-4C83-9C55-E89EF7FD1D4E}">
    <text>Mothers day
National womens day
Inesa bday
Tanya bday</text>
  </threadedComment>
  <threadedComment ref="E26" dT="2023-01-18T15:42:31.55" personId="{00000000-0000-0000-0000-000000000000}" id="{CBA5011A-D388-45E0-94D7-5179DCBC2FBB}">
    <text>Dad birthday
Mum + dad anniversary</text>
  </threadedComment>
  <threadedComment ref="F26" dT="2024-05-12T19:03:35.82" personId="{00000000-0000-0000-0000-000000000000}" id="{DBFA3520-54F3-4E33-907E-F7A75EAB9891}">
    <text>anniversary</text>
  </threadedComment>
  <threadedComment ref="G26" dT="2023-01-18T15:43:13.00" personId="{00000000-0000-0000-0000-000000000000}" id="{9C97D516-BCCD-4CB8-BC86-999BE7581433}">
    <text>Fathers day</text>
  </threadedComment>
  <threadedComment ref="H26" dT="2023-01-18T15:43:25.77" personId="{00000000-0000-0000-0000-000000000000}" id="{7D6C74E4-BC57-451D-8F55-1F4FBE5CABE3}">
    <text>Name day</text>
  </threadedComment>
  <threadedComment ref="K26" dT="2023-01-18T15:43:33.96" personId="{00000000-0000-0000-0000-000000000000}" id="{1D1027B6-F2D0-4485-978F-9F154984B517}">
    <text>Anniversary</text>
  </threadedComment>
  <threadedComment ref="M26" dT="2023-01-18T15:43:41.83" personId="{00000000-0000-0000-0000-000000000000}" id="{CC050207-61E6-42BA-9611-309AABBDB739}">
    <text>Xmas</text>
  </threadedComment>
  <threadedComment ref="N26" dT="2023-01-18T15:43:41.83" personId="{00000000-0000-0000-0000-000000000000}" id="{B2908895-E743-4A22-98CB-FB048CB5F902}">
    <text>NYE - 130: MAY Transferred 130 to friend</text>
  </threadedComment>
  <threadedComment ref="C29" dT="2023-10-24T13:48:41.34" personId="{00000000-0000-0000-0000-000000000000}" id="{BCE56CA5-2AE9-4F7D-8522-78B507FA634D}">
    <text>2k Vietnam
500 orlando
800 morocco</text>
  </threadedComment>
  <threadedComment ref="D29" dT="2023-10-24T14:00:49.30" personId="{00000000-0000-0000-0000-000000000000}" id="{597F3C15-3050-49C4-B285-23AD5AFE96A7}">
    <text>Car finance feeder</text>
  </threadedComment>
  <threadedComment ref="E29" dT="2024-04-28T17:02:36.44" personId="{00000000-0000-0000-0000-000000000000}" id="{D28A5706-07ED-4FC7-968A-1B395940F056}">
    <text>Maldives flights + hotel</text>
  </threadedComment>
  <threadedComment ref="I30" dT="2024-07-19T10:31:32.69" personId="{00000000-0000-0000-0000-000000000000}" id="{430C2401-6139-4339-A37A-DC5C6A5FB7BD}">
    <text>Needling 
Filler</text>
  </threadedComment>
  <threadedComment ref="G36" dT="2023-01-17T14:44:42.53" personId="{00000000-0000-0000-0000-000000000000}" id="{15D1BF27-7790-41E8-9CB9-9A1DB9132EF2}">
    <text>1 year anniversary</text>
  </threadedComment>
  <threadedComment ref="K36" dT="2023-01-17T14:45:11.02" personId="{00000000-0000-0000-0000-000000000000}" id="{F2D89743-10F1-4FC7-BB53-5B3EAC8CCE86}">
    <text>Matt 30th</text>
  </threadedComment>
  <threadedComment ref="L36" dT="2023-01-17T14:44:58.63" personId="{00000000-0000-0000-0000-000000000000}" id="{F5D5D89B-B218-463D-AE01-3A011629C1D5}">
    <text>10 year anniversary</text>
  </threadedComment>
  <threadedComment ref="N36" dT="2023-01-17T14:45:20.33" personId="{00000000-0000-0000-0000-000000000000}" id="{9001FF65-E71D-452F-A2C4-F7E612A39B21}">
    <text>Kris 30th</text>
  </threadedComment>
  <threadedComment ref="D37" dT="2023-01-17T11:23:31.18" personId="{00000000-0000-0000-0000-000000000000}" id="{0FDBEFE2-049D-44B9-96ED-7730A80561DA}">
    <text>75 - Matt fun for opera
325 - extra bonus</text>
  </threadedComment>
  <threadedComment ref="E37" dT="2023-01-17T11:19:26.23" personId="{00000000-0000-0000-0000-000000000000}" id="{B1B59C3A-7019-4FE9-A954-69CE9DD311B0}">
    <text>100 - cashback claim
700 - sales
400 - pension rfd</text>
  </threadedComment>
  <threadedComment ref="F37" dT="2023-01-25T12:26:42.76" personId="{00000000-0000-0000-0000-000000000000}" id="{F3AE6B9A-8D38-4D3B-8627-4D8529D8F48C}">
    <text>200 - matt fun
200 - kris fun</text>
  </threadedComment>
  <threadedComment ref="H37" dT="2023-01-18T16:05:41.35" personId="{00000000-0000-0000-0000-000000000000}" id="{EFD6AF81-9A8B-4AE5-97B5-41B7C7A0CE9A}">
    <text>90 - fitness
300 - amex cashback
1225 - remortgage excess</text>
  </threadedComment>
  <threadedComment ref="I37" dT="2023-01-18T16:15:36.57" personId="{00000000-0000-0000-0000-000000000000}" id="{A9C04755-04B8-4032-BF9A-38A06430318F}">
    <text>1000 - bonus
160 - cash</text>
  </threadedComment>
  <threadedComment ref="K37" dT="2023-01-18T16:15:53.48" personId="{00000000-0000-0000-0000-000000000000}" id="{C3656A71-D26B-4273-B03B-6ECBFD15F87A}">
    <text>90 - fitness</text>
  </threadedComment>
  <threadedComment ref="L37" dT="2023-01-18T16:16:01.37" personId="{00000000-0000-0000-0000-000000000000}" id="{14E70E79-2FCA-4B74-9A5A-31B8CF1B1FA2}">
    <text>800 - bonus</text>
  </threadedComment>
  <threadedComment ref="N37" dT="2023-01-18T16:16:59.54" personId="{00000000-0000-0000-0000-000000000000}" id="{84890584-DE80-4237-BFCA-F79DADBD9B40}">
    <text>90 - fitness</text>
  </threadedComment>
  <threadedComment ref="D38" dT="2023-03-18T21:36:33.06" personId="{00000000-0000-0000-0000-000000000000}" id="{156C2C05-6002-4B9F-8C43-86C302486099}">
    <text>+90 cash</text>
  </threadedComment>
  <threadedComment ref="C39" dT="2024-01-30T20:37:08.73" personId="{00000000-0000-0000-0000-000000000000}" id="{8FC3BCA8-0A7F-4174-B5BB-E3BD56CC120C}">
    <text>Rosita service</text>
  </threadedComment>
  <threadedComment ref="G39" dT="2024-07-03T11:48:35.77" personId="{00000000-0000-0000-0000-000000000000}" id="{B9141356-841C-4EEE-84A4-B0FB6E1087C0}">
    <text>Rosita MOT</text>
  </threadedComment>
  <threadedComment ref="H39" dT="2023-03-06T19:15:15.83" personId="{00000000-0000-0000-0000-000000000000}" id="{0057D56D-F0D1-4F11-8A35-08B88BF29059}">
    <text>BMW MOT + Service</text>
  </threadedComment>
  <threadedComment ref="L39" dT="2023-03-06T19:15:24.28" personId="{00000000-0000-0000-0000-000000000000}" id="{E54649FF-A894-4599-B923-45FF22CA606F}">
    <text>Audi MOT + Service</text>
  </threadedComment>
  <threadedComment ref="N39" dT="2024-01-30T20:37:08.73" personId="{00000000-0000-0000-0000-000000000000}" id="{BCB2C43B-5C2F-49C6-B5FC-6E860B8A1679}">
    <text>Rosita service + MOT</text>
  </threadedComment>
  <threadedComment ref="C43" dT="2023-01-18T15:41:52.66" personId="{00000000-0000-0000-0000-000000000000}" id="{F7899A79-08AA-4EAD-A7AC-93889A405A5E}">
    <text>Valentines day</text>
  </threadedComment>
  <threadedComment ref="D43" dT="2023-01-18T15:42:06.23" personId="{00000000-0000-0000-0000-000000000000}" id="{2D03B90D-DB75-41DF-B9C3-B62D8E8AB154}">
    <text>Mothers day
National womens day</text>
  </threadedComment>
  <threadedComment ref="E43" dT="2023-01-18T15:42:31.55" personId="{00000000-0000-0000-0000-000000000000}" id="{48858568-14B2-485D-8C2C-65F0FCE7209D}">
    <text>Mum anniversary
Dad birthday</text>
  </threadedComment>
  <threadedComment ref="G43" dT="2023-01-18T15:43:13.00" personId="{00000000-0000-0000-0000-000000000000}" id="{616AF26E-7419-4C93-BD64-27358DF9B3D8}">
    <text>Fathers day</text>
  </threadedComment>
  <threadedComment ref="H43" dT="2023-01-18T15:43:25.77" personId="{00000000-0000-0000-0000-000000000000}" id="{D05306C7-515B-4429-95A5-2324D834ACF1}">
    <text>Name day</text>
  </threadedComment>
  <threadedComment ref="K43" dT="2023-01-18T15:43:33.96" personId="{00000000-0000-0000-0000-000000000000}" id="{FD59C873-4F3A-4EB4-AB35-B9CBE8A2D4B2}">
    <text>Anniversary</text>
  </threadedComment>
  <threadedComment ref="M43" dT="2023-01-18T15:43:41.83" personId="{00000000-0000-0000-0000-000000000000}" id="{A20C9864-0058-4A0C-AF98-7A6E27EF9775}">
    <text>Xmas</text>
  </threadedComment>
  <threadedComment ref="N43" dT="2023-01-18T15:43:41.83" personId="{00000000-0000-0000-0000-000000000000}" id="{6B83A119-7B54-4921-BF48-A7E86C8AF02B}">
    <text>Xmas</text>
  </threadedComment>
  <threadedComment ref="I44" dT="2025-07-20T20:50:25.02" personId="{00000000-0000-0000-0000-000000000000}" id="{F6EA948E-1824-4124-8004-3694C003548B}">
    <text>AMEX Fee - will max quickly then get pro-rata rfd</text>
  </threadedComment>
  <threadedComment ref="G45" dT="2023-03-21T10:33:29.62" personId="{00000000-0000-0000-0000-000000000000}" id="{9F2C6024-BD75-4814-9D44-A4ED33C02AD0}">
    <text>Latvia</text>
  </threadedComment>
  <threadedComment ref="G45" dT="2024-11-08T23:38:27.08" personId="{00000000-0000-0000-0000-000000000000}" id="{34326C11-507D-6A4C-9CAA-15AC9164D086}" parentId="{9F2C6024-BD75-4814-9D44-A4ED33C02AD0}">
    <text>Cornwall + cotswolds</text>
  </threadedComment>
  <threadedComment ref="I45" dT="2025-03-30T13:03:08.53" personId="{00000000-0000-0000-0000-000000000000}" id="{6B8FC8A7-BB45-4630-9C46-CF1A82DE17DE}">
    <text>Italy</text>
  </threadedComment>
  <threadedComment ref="L45" dT="2025-07-06T16:58:50.94" personId="{00000000-0000-0000-0000-000000000000}" id="{55B32921-B942-4FD4-BA36-9D730D4C406E}">
    <text>Thailand
Phoenix flights</text>
  </threadedComment>
  <threadedComment ref="L45" dT="2025-07-22T14:40:35.53" personId="{00000000-0000-0000-0000-000000000000}" id="{14827848-F8DC-4BA6-9529-216B63870146}" parentId="{55B32921-B942-4FD4-BA36-9D730D4C406E}">
    <text>Could potentially save 700 on hotel</text>
  </threadedComment>
  <threadedComment ref="G54" dT="2023-01-17T14:44:42.53" personId="{00000000-0000-0000-0000-000000000000}" id="{05D236B1-C38E-4ACC-9591-79F2274ECC8C}">
    <text>1 year anniversary</text>
  </threadedComment>
  <threadedComment ref="K54" dT="2023-01-17T14:45:11.02" personId="{00000000-0000-0000-0000-000000000000}" id="{55057CE3-CB83-4716-B96B-50DA38859B9D}">
    <text>Matt 30th</text>
  </threadedComment>
  <threadedComment ref="L54" dT="2023-01-17T14:44:58.63" personId="{00000000-0000-0000-0000-000000000000}" id="{5AEB7C2A-ACF7-451B-9EDF-AAB450EBD3EC}">
    <text>10 year anniversary</text>
  </threadedComment>
  <threadedComment ref="N54" dT="2023-01-17T14:45:20.33" personId="{00000000-0000-0000-0000-000000000000}" id="{5D2B45E8-9812-4BCC-8274-C4DC450B9347}">
    <text>Kris 30th</text>
  </threadedComment>
  <threadedComment ref="C55" dT="2026-02-02T17:31:44.80" personId="{00000000-0000-0000-0000-000000000000}" id="{4F41E719-86E1-4514-9AB2-50E9A4ADD18E}">
    <text>150 = kris scotland contribution</text>
  </threadedComment>
  <threadedComment ref="D55" dT="2026-01-13T22:11:41.88" personId="{00000000-0000-0000-0000-000000000000}" id="{34067F1B-E20A-44EA-B9CF-A6A923767093}">
    <text>2000 + 700 = bonus
640 = ebay sales (not gaurunteed)</text>
  </threadedComment>
  <threadedComment ref="E55" dT="2023-01-17T11:19:26.23" personId="{00000000-0000-0000-0000-000000000000}" id="{423592A4-DCC9-4DE9-9C26-B45F2EDADBA1}">
    <text>100 - matt extra FB for scotland
100 - kris extra FB for scotland
70 = food / fuel budget for scotland</text>
  </threadedComment>
  <threadedComment ref="F55" dT="2023-01-25T12:26:42.76" personId="{00000000-0000-0000-0000-000000000000}" id="{518D6C41-091B-404B-83A8-9F5DEF83CDCD}">
    <text>50 = quarterly incentive</text>
  </threadedComment>
  <threadedComment ref="I55" dT="2023-01-18T16:15:36.57" personId="{00000000-0000-0000-0000-000000000000}" id="{27379B02-38AB-4621-80C0-CF9EB93FCE7C}">
    <text>950 - bonus
50 - quarterly incentive</text>
  </threadedComment>
  <threadedComment ref="K55" dT="2023-01-18T16:15:53.48" personId="{00000000-0000-0000-0000-000000000000}" id="{8E9901B2-F3A3-4E7C-A72E-A166E408A4AA}">
    <text>90 - fitness</text>
  </threadedComment>
  <threadedComment ref="L55" dT="2023-01-18T16:16:01.37" personId="{00000000-0000-0000-0000-000000000000}" id="{AB145828-9E31-47F5-8AC7-2641BEB53B7E}">
    <text>500 - bonus
50 = quarterly incentive</text>
  </threadedComment>
  <threadedComment ref="N55" dT="2023-01-18T16:16:59.54" personId="{00000000-0000-0000-0000-000000000000}" id="{0DFFD671-B883-4297-9FDE-66F542658B6F}">
    <text>90 - fitness</text>
  </threadedComment>
  <threadedComment ref="D56" dT="2023-03-18T21:36:33.06" personId="{00000000-0000-0000-0000-000000000000}" id="{0CA74709-6264-4A80-A91F-E30546714954}">
    <text>+90 cash
+78.65 = balance</text>
  </threadedComment>
  <threadedComment ref="H57" dT="2026-01-03T17:43:07.28" personId="{00000000-0000-0000-0000-000000000000}" id="{E291E865-6995-2848-941F-99CD2BF03E5D}">
    <text>BMW Service + MOT</text>
  </threadedComment>
  <threadedComment ref="I57" dT="2023-03-06T19:15:15.83" personId="{00000000-0000-0000-0000-000000000000}" id="{073E39C1-CA6E-4415-A4D4-EE4B6BBAC6DF}">
    <text>BMW MOT + Service</text>
  </threadedComment>
  <threadedComment ref="L57" dT="2023-03-06T19:15:24.28" personId="{00000000-0000-0000-0000-000000000000}" id="{BE8EFE52-041A-4DD1-B52C-5FFAD80395FC}">
    <text>Audi MOT + Service</text>
  </threadedComment>
  <threadedComment ref="C61" dT="2023-01-18T15:41:52.66" personId="{00000000-0000-0000-0000-000000000000}" id="{4559E558-F152-464A-9FE2-07A5E551B2B8}">
    <text>Valentines day
180 = mothers day booking early</text>
  </threadedComment>
  <threadedComment ref="D61" dT="2023-01-18T15:42:06.23" personId="{00000000-0000-0000-0000-000000000000}" id="{88C7978E-62A3-4184-8E06-B6683B0F1205}">
    <text>Mothers day
National womens day
-180 = mothers day booking early</text>
  </threadedComment>
  <threadedComment ref="E61" dT="2023-01-18T15:42:31.55" personId="{00000000-0000-0000-0000-000000000000}" id="{CBF88476-3458-42C0-BB67-F349A85354AC}">
    <text>Mum anniversary</text>
  </threadedComment>
  <threadedComment ref="F61" dT="2026-05-15T16:21:17.28" personId="{00000000-0000-0000-0000-000000000000}" id="{84A0CAE3-75A6-4D80-9751-0091D0A90104}">
    <text>-100 = anniversary -&gt; italy</text>
  </threadedComment>
  <threadedComment ref="G61" dT="2023-01-18T15:43:13.00" personId="{00000000-0000-0000-0000-000000000000}" id="{CF60018A-D086-475E-870F-310873F20E15}">
    <text>-50 = citizenship -&gt; italy</text>
  </threadedComment>
  <threadedComment ref="H61" dT="2023-01-18T15:43:25.77" personId="{00000000-0000-0000-0000-000000000000}" id="{A0C0CCEC-9A22-4A89-9315-3E3B71A28ACC}">
    <text>-50 = Name day -&gt; italy</text>
  </threadedComment>
  <threadedComment ref="J61" dT="2026-01-11T13:12:46.81" personId="{00000000-0000-0000-0000-000000000000}" id="{B5F96C1E-4FC6-410F-A41B-D49F7EC14106}">
    <text>-150 = Matt bday going to LA</text>
  </threadedComment>
  <threadedComment ref="K61" dT="2023-01-18T15:43:33.96" personId="{00000000-0000-0000-0000-000000000000}" id="{B8758560-A323-46F7-9FFD-F93409FDFB95}">
    <text>Anniversary</text>
  </threadedComment>
  <threadedComment ref="M61" dT="2023-01-18T15:43:41.83" personId="{00000000-0000-0000-0000-000000000000}" id="{08DA14DB-2D71-4CF2-AC13-617B0DE9D019}">
    <text>Xmas
300 less for kris surgery jan</text>
  </threadedComment>
  <threadedComment ref="N61" dT="2023-01-18T15:43:41.83" personId="{00000000-0000-0000-0000-000000000000}" id="{C6BF438E-0087-41A4-959F-1636C06715AE}">
    <text>Xmas</text>
  </threadedComment>
  <threadedComment ref="C62" dT="2026-01-30T16:48:54.16" personId="{00000000-0000-0000-0000-000000000000}" id="{46A72634-4EA6-4059-AD94-7F151CCF82DB}">
    <text>Red squirrel</text>
  </threadedComment>
  <threadedComment ref="D63" dT="2025-03-30T13:05:01.68" personId="{00000000-0000-0000-0000-000000000000}" id="{2333DC0A-1E7E-4936-8611-0385276503F9}">
    <text>Vegas balancing</text>
  </threadedComment>
  <threadedComment ref="C64" dT="2026-01-27T21:25:38.46" personId="{00000000-0000-0000-0000-000000000000}" id="{EB304326-C4DA-466D-8344-9AFE71E4A41B}">
    <text>Antelope canyon</text>
  </threadedComment>
  <threadedComment ref="I64" dT="2026-05-27T22:17:22.04" personId="{00000000-0000-0000-0000-000000000000}" id="{A442ADD9-C7E5-4128-9E8E-785FE02F68E8}">
    <text>LA / Antelope refund</text>
  </threadedComment>
  <threadedComment ref="K65" dT="2023-03-21T10:33:51.46" personId="{00000000-0000-0000-0000-000000000000}" id="{AD92731B-8426-4153-AD6F-7A011C63BFC7}">
    <text>LA + Phoenix</text>
  </threadedComment>
  <threadedComment ref="F66" dT="2026-01-27T20:19:06.57" personId="{00000000-0000-0000-0000-000000000000}" id="{8290EBD7-FE0B-4DC7-B74D-B1F6107B67E3}">
    <text>latvia</text>
  </threadedComment>
  <threadedComment ref="G68" dT="2026-01-11T13:46:31.94" personId="{00000000-0000-0000-0000-000000000000}" id="{20AF780E-FA0A-4E8B-96A9-22DCFA4035BE}">
    <text>Kris - venice, will top up w/ bonuses to replace summer budget</text>
  </threadedComment>
  <threadedComment ref="C73" dT="2026-01-27T20:18:37.19" personId="{00000000-0000-0000-0000-000000000000}" id="{CEE72364-E1B9-425E-B84A-D416685B37C5}">
    <text>2 x bluecrest healthchecks</text>
  </threadedComment>
  <threadedComment ref="E80" dT="2026-04-01T22:09:25.76" personId="{00000000-0000-0000-0000-000000000000}" id="{133AB4F8-55AC-49D8-821E-772ED57F5358}">
    <text>13.99 = giraffe for vinny
20.25 = vinny gift
144.39 = b&amp;q
17.65 = easter things
28.7 = rob + sarah engagement</text>
  </threadedComment>
  <threadedComment ref="G80" dT="2026-06-16T22:20:28.35" personId="{D1728A67-EEB6-4960-84F3-C06015A3837D}" id="{2BF8F956-46D1-426C-A621-BBFB432D2FD0}">
    <text>30.93 = paula + luke baby gifts</text>
  </threadedComment>
  <threadedComment ref="G83" dT="2023-01-17T14:44:42.53" personId="{00000000-0000-0000-0000-000000000000}" id="{B383A1D2-54ED-47AA-8BFF-91E93A238AD5}">
    <text>1 year anniversary</text>
  </threadedComment>
  <threadedComment ref="K83" dT="2023-01-17T14:45:11.02" personId="{00000000-0000-0000-0000-000000000000}" id="{35CAB7CC-C5EB-4004-8F42-0FCA170EBADA}">
    <text>Matt 30th</text>
  </threadedComment>
  <threadedComment ref="L83" dT="2023-01-17T14:44:58.63" personId="{00000000-0000-0000-0000-000000000000}" id="{EACEB7CF-4F30-45C8-8DD0-BFA72DB88C5D}">
    <text>10 year anniversary</text>
  </threadedComment>
  <threadedComment ref="N83" dT="2023-01-17T14:45:20.33" personId="{00000000-0000-0000-0000-000000000000}" id="{56C5CFD4-8DC7-4B56-BC45-3027AF60784B}">
    <text>Kris 30th</text>
  </threadedComment>
  <threadedComment ref="C84" dT="2023-01-17T11:06:08.89" personId="{00000000-0000-0000-0000-000000000000}" id="{6CE83862-535A-42E3-8030-CCB0489A35EA}">
    <text>900 - kris balance for surgery
50 = quarterly incentive</text>
  </threadedComment>
  <threadedComment ref="D84" dT="2023-01-17T11:23:31.18" personId="{00000000-0000-0000-0000-000000000000}" id="{1335F1B5-FD99-4017-BE2E-5ADD6E36D250}">
    <text>75 - Matt fun for opera
325 - extra bonus</text>
  </threadedComment>
  <threadedComment ref="F84" dT="2023-01-25T12:26:42.76" personId="{00000000-0000-0000-0000-000000000000}" id="{EEAE09AB-7EB7-49CF-8BFA-DEEB5BA09C93}">
    <text>50 = quarterly incentive</text>
  </threadedComment>
  <threadedComment ref="H84" dT="2023-01-18T16:05:41.35" personId="{00000000-0000-0000-0000-000000000000}" id="{98A003D0-9E6F-4D7D-A678-739C702C17CB}">
    <text>90 - fitness
300 - amex cashback
1225 - remortgage excess</text>
  </threadedComment>
  <threadedComment ref="I84" dT="2023-01-18T16:15:36.57" personId="{00000000-0000-0000-0000-000000000000}" id="{91E86FBA-012B-4892-9DC6-A2A4EC4585DA}">
    <text>950 - bonus
50 = quarterly incentive</text>
  </threadedComment>
  <threadedComment ref="K84" dT="2023-01-18T16:15:53.48" personId="{00000000-0000-0000-0000-000000000000}" id="{68AE6DA9-09C9-4EF8-975F-424F7AE1E210}">
    <text>90 - fitness</text>
  </threadedComment>
  <threadedComment ref="L84" dT="2023-01-18T16:16:01.37" personId="{00000000-0000-0000-0000-000000000000}" id="{289A227A-5BCB-4BCC-B1D4-36CCF16153BD}">
    <text>500 - bonus
50 = quarterly incentive</text>
  </threadedComment>
  <threadedComment ref="N84" dT="2023-01-18T16:16:59.54" personId="{00000000-0000-0000-0000-000000000000}" id="{6F1E7241-7B47-4FD0-906A-E57C0F977ED1}">
    <text>90 - fitness</text>
  </threadedComment>
  <threadedComment ref="D85" dT="2023-03-18T21:36:33.06" personId="{00000000-0000-0000-0000-000000000000}" id="{2848A9F7-AEC5-487A-BB1C-BE7A5CBE5237}">
    <text>+90 cash</text>
  </threadedComment>
  <threadedComment ref="C86" dT="2024-01-30T20:37:08.73" personId="{00000000-0000-0000-0000-000000000000}" id="{682C684A-D713-4D6E-801B-762D89A1CF33}">
    <text>Rosita service + MOT</text>
  </threadedComment>
  <threadedComment ref="H86" dT="2026-01-03T17:43:07.28" personId="{00000000-0000-0000-0000-000000000000}" id="{0D421C41-9116-448E-BF11-88FA9CC17F33}">
    <text>BMW Service + MOT</text>
  </threadedComment>
  <threadedComment ref="I86" dT="2023-03-06T19:15:15.83" personId="{00000000-0000-0000-0000-000000000000}" id="{4424F4C2-916C-471E-AB3C-8ECD568E73C3}">
    <text>BMW MOT + Service</text>
  </threadedComment>
  <threadedComment ref="L86" dT="2023-03-06T19:15:24.28" personId="{00000000-0000-0000-0000-000000000000}" id="{90F49F7A-0832-41D8-B390-B9722B4B5B3B}">
    <text>Audi MOT + Service</text>
  </threadedComment>
  <threadedComment ref="N86" dT="2026-01-11T14:01:10.98" personId="{00000000-0000-0000-0000-000000000000}" id="{98DD6D00-1BA3-43DE-9A0A-A8424AA1AC25}">
    <text>Rosita MOT + Service</text>
  </threadedComment>
  <threadedComment ref="C90" dT="2023-01-18T15:41:52.66" personId="{00000000-0000-0000-0000-000000000000}" id="{3F5AB386-7F50-4F47-B922-20EE935AAFC0}">
    <text>Valentines day</text>
  </threadedComment>
  <threadedComment ref="D90" dT="2023-01-18T15:42:06.23" personId="{00000000-0000-0000-0000-000000000000}" id="{09CBB6B6-2888-49B9-9BA7-B9172A23577B}">
    <text>Mothers day
National womens day</text>
  </threadedComment>
  <threadedComment ref="E90" dT="2023-01-18T15:42:31.55" personId="{00000000-0000-0000-0000-000000000000}" id="{CB039603-1FC9-45C5-8989-59D6850549F6}">
    <text>Mum anniversary</text>
  </threadedComment>
  <threadedComment ref="G90" dT="2023-01-18T15:43:13.00" personId="{00000000-0000-0000-0000-000000000000}" id="{C8BC74A0-1625-4E59-B5F2-8164194C2BEF}">
    <text>-100 aniversary in bali</text>
  </threadedComment>
  <threadedComment ref="H90" dT="2023-01-18T15:43:25.77" personId="{00000000-0000-0000-0000-000000000000}" id="{B5240384-B578-4492-9C5E-2524C35F5FC6}">
    <text>Name day</text>
  </threadedComment>
  <threadedComment ref="J90" dT="2026-01-11T13:12:46.81" personId="{00000000-0000-0000-0000-000000000000}" id="{9D9515DA-9748-4974-9B0A-CF369812B933}">
    <text>-150 = Matt bday going to LA</text>
  </threadedComment>
  <threadedComment ref="K90" dT="2023-01-18T15:43:33.96" personId="{00000000-0000-0000-0000-000000000000}" id="{0ABFD1F8-80C4-4D8E-A18A-C126C5D00463}">
    <text>Anniversary</text>
  </threadedComment>
  <threadedComment ref="M90" dT="2023-01-18T15:43:41.83" personId="{00000000-0000-0000-0000-000000000000}" id="{2F886747-91BC-497E-8BF3-86336761C40B}">
    <text>Xmas</text>
  </threadedComment>
  <threadedComment ref="N90" dT="2023-01-18T15:43:41.83" personId="{00000000-0000-0000-0000-000000000000}" id="{54AD0B21-7A77-4014-849D-C260E98F03BA}">
    <text>Xmas</text>
  </threadedComment>
  <threadedComment ref="B91" dT="2024-06-23T13:24:03.02" personId="{00000000-0000-0000-0000-000000000000}" id="{76388C09-F162-4F55-9D9A-8E893938CE01}">
    <text>Increase this year</text>
  </threadedComment>
  <threadedComment ref="C91" dT="2025-03-30T13:05:01.68" personId="{00000000-0000-0000-0000-000000000000}" id="{8FF89B29-EE9F-40C1-B84C-F373EF8A22F3}">
    <text>Universal 26 park tickets</text>
  </threadedComment>
  <threadedComment ref="G91" dT="2025-07-25T09:30:31.36" personId="{00000000-0000-0000-0000-000000000000}" id="{A352D321-0292-482E-AFB9-3D402916C2B4}">
    <text>Dolomites</text>
  </threadedComment>
  <threadedComment ref="K91" dT="2023-03-21T10:33:51.46" personId="{00000000-0000-0000-0000-000000000000}" id="{D45D60ED-E361-4B60-80CE-AAD6B4D19957}">
    <text>Greece</text>
  </threadedComment>
  <threadedComment ref="C97" dT="2026-01-27T20:18:37.19" personId="{00000000-0000-0000-0000-000000000000}" id="{168199CE-6523-44E3-B1C0-270A281CE114}">
    <text>Matt dentist
2 x bluecrest healthchecks</text>
  </threadedComment>
  <threadedComment ref="H97" dT="2026-01-27T20:19:06.57" personId="{00000000-0000-0000-0000-000000000000}" id="{5E7929A1-25F7-4523-9F6A-0A71E9D182AC}">
    <text>latvia</text>
  </threadedComment>
  <threadedComment ref="G105" dT="2023-01-17T14:44:42.53" personId="{00000000-0000-0000-0000-000000000000}" id="{AED7AAE0-8880-4871-8E9A-FA918006230B}">
    <text>1 year anniversary</text>
  </threadedComment>
  <threadedComment ref="H105" dT="2025-06-22T13:43:41.66" personId="{00000000-0000-0000-0000-000000000000}" id="{DD0BDD77-64B4-4E3B-B98C-7E3D82045F8E}">
    <text>REMORTGAGING</text>
  </threadedComment>
  <threadedComment ref="K105" dT="2023-01-17T14:45:11.02" personId="{00000000-0000-0000-0000-000000000000}" id="{DF4F67C2-DC34-4536-BAD1-13178C2F9BA3}">
    <text>Matt 30th</text>
  </threadedComment>
  <threadedComment ref="L105" dT="2023-01-17T14:44:58.63" personId="{00000000-0000-0000-0000-000000000000}" id="{2D511D78-6265-41A0-A1B8-64F376A8E7B7}">
    <text>10 year anniversary</text>
  </threadedComment>
  <threadedComment ref="N105" dT="2023-01-17T14:45:20.33" personId="{00000000-0000-0000-0000-000000000000}" id="{6218F8A2-C50C-4FCD-9AD5-F1BE000B8C38}">
    <text>Kris 30th</text>
  </threadedComment>
  <threadedComment ref="C106" dT="2023-01-17T11:06:08.89" personId="{00000000-0000-0000-0000-000000000000}" id="{25E67008-91D8-46A3-87BE-247EF0C5ADA2}">
    <text>1578 - bonus
40 - earphone sale
40 - watch sale
30 - gift budget (honey voucher, amz voucher)
25 - dress return
30 - kris wage (lulu top)
120 - cash
36 - matt fun (van gogh)</text>
  </threadedComment>
  <threadedComment ref="D106" dT="2023-01-17T11:23:31.18" personId="{00000000-0000-0000-0000-000000000000}" id="{E17C3A15-8141-4998-99CE-F046D824F426}">
    <text>75 - Matt fun for opera
325 - extra bonus</text>
  </threadedComment>
  <threadedComment ref="E106" dT="2023-01-17T11:19:26.23" personId="{00000000-0000-0000-0000-000000000000}" id="{9E954C92-ED36-4040-9E37-0F8695E97784}">
    <text>100 - cashback claim
700 - sales
400 - pension rfd</text>
  </threadedComment>
  <threadedComment ref="F106" dT="2023-01-25T12:26:42.76" personId="{00000000-0000-0000-0000-000000000000}" id="{13017B96-A055-4DF3-89CB-E7B58C71066C}">
    <text>200 - matt fun
200 - kris fun</text>
  </threadedComment>
  <threadedComment ref="H106" dT="2023-01-18T16:05:41.35" personId="{00000000-0000-0000-0000-000000000000}" id="{6F142EC7-5671-4ECE-9203-C8A0BECDDE42}">
    <text>90 - fitness
300 - amex cashback
1225 - remortgage excess</text>
  </threadedComment>
  <threadedComment ref="I106" dT="2023-01-18T16:15:36.57" personId="{00000000-0000-0000-0000-000000000000}" id="{7BAD7D26-D244-4DC7-AD94-5966282C11ED}">
    <text>1000 - bonus</text>
  </threadedComment>
  <threadedComment ref="K106" dT="2023-01-18T16:15:53.48" personId="{00000000-0000-0000-0000-000000000000}" id="{1EC3814F-3DC1-42FC-9450-9DA9E88D8C6B}">
    <text>90 - fitness</text>
  </threadedComment>
  <threadedComment ref="L106" dT="2023-01-18T16:16:01.37" personId="{00000000-0000-0000-0000-000000000000}" id="{7BE9C83A-3308-4988-9EE5-D6649C4A0C47}">
    <text>800 - bonus</text>
  </threadedComment>
  <threadedComment ref="N106" dT="2023-01-18T16:16:59.54" personId="{00000000-0000-0000-0000-000000000000}" id="{919ABA47-008E-40AD-ABDC-7C5B59689926}">
    <text>90 - fitness</text>
  </threadedComment>
  <threadedComment ref="D107" dT="2023-03-18T21:36:33.06" personId="{00000000-0000-0000-0000-000000000000}" id="{9828DC44-2898-48A1-BFAC-015B9211A059}">
    <text>+90 cash</text>
  </threadedComment>
  <threadedComment ref="C108" dT="2024-01-30T20:37:08.73" personId="{00000000-0000-0000-0000-000000000000}" id="{8FF1949C-423A-457E-9405-3071DB2E3377}">
    <text>Rosita service + MOT</text>
  </threadedComment>
  <threadedComment ref="G108" dT="2024-07-03T11:48:35.77" personId="{00000000-0000-0000-0000-000000000000}" id="{47A41C94-F594-4C06-8D2D-39652FC57682}">
    <text>Rosita MOT</text>
  </threadedComment>
  <threadedComment ref="I108" dT="2023-03-06T19:15:15.83" personId="{00000000-0000-0000-0000-000000000000}" id="{6BA7EF9D-FC12-4126-AD41-22A30BFA1ACA}">
    <text>BMW MOT + Service</text>
  </threadedComment>
  <threadedComment ref="L108" dT="2023-03-06T19:15:24.28" personId="{00000000-0000-0000-0000-000000000000}" id="{4C73A93A-C625-42C0-B038-09C747871BE3}">
    <text>Audi MOT + Service</text>
  </threadedComment>
  <threadedComment ref="C111" dT="2023-01-18T15:41:52.66" personId="{00000000-0000-0000-0000-000000000000}" id="{A2A09946-035D-42DB-A870-ED3C3E3B7A20}">
    <text>Valentines day</text>
  </threadedComment>
  <threadedComment ref="D111" dT="2023-01-18T15:42:06.23" personId="{00000000-0000-0000-0000-000000000000}" id="{0A280931-290A-4CF6-A98C-1E427CE99D37}">
    <text>Mothers day
National womens day</text>
  </threadedComment>
  <threadedComment ref="E111" dT="2023-01-18T15:42:31.55" personId="{00000000-0000-0000-0000-000000000000}" id="{47A91C59-1B31-4CE9-B7F4-10AD26F54AC4}">
    <text>Mum anniversary</text>
  </threadedComment>
  <threadedComment ref="G111" dT="2023-01-18T15:43:13.00" personId="{00000000-0000-0000-0000-000000000000}" id="{A471778E-E0F5-4F52-B3F0-908DE7DC5F05}">
    <text>-100 aniversary in bali</text>
  </threadedComment>
  <threadedComment ref="H111" dT="2023-01-18T15:43:25.77" personId="{00000000-0000-0000-0000-000000000000}" id="{DD3361AB-4B14-4505-80F3-D74A51D70337}">
    <text>Name day</text>
  </threadedComment>
  <threadedComment ref="J111" dT="2026-01-11T13:12:46.81" personId="{00000000-0000-0000-0000-000000000000}" id="{15B961D2-396E-4D4E-A9E9-26A39CBAFC55}">
    <text>-150 = Matt bday going to LA</text>
  </threadedComment>
  <threadedComment ref="K111" dT="2023-01-18T15:43:33.96" personId="{00000000-0000-0000-0000-000000000000}" id="{FB7E3DB4-D3CE-4CB1-986F-7AB0BC51CC2B}">
    <text>Anniversary</text>
  </threadedComment>
  <threadedComment ref="M111" dT="2023-01-18T15:43:41.83" personId="{00000000-0000-0000-0000-000000000000}" id="{2D6638B4-4AE0-4E9F-93AA-12DD89B3A7E6}">
    <text>Xmas</text>
  </threadedComment>
  <threadedComment ref="N111" dT="2023-01-18T15:43:41.83" personId="{00000000-0000-0000-0000-000000000000}" id="{429D2230-EBEF-4EBD-835F-8FDC83B7D1B8}">
    <text>Xmas</text>
  </threadedComment>
  <threadedComment ref="K112" dT="2023-03-21T10:33:51.46" personId="{00000000-0000-0000-0000-000000000000}" id="{3AC9E84F-FA3D-4B14-93CA-0C2CDBE8CD87}">
    <text>Universal - hotel + spending</text>
  </threadedComment>
  <threadedComment ref="C113" dT="2025-03-30T13:05:01.68" personId="{00000000-0000-0000-0000-000000000000}" id="{F8C75D5D-87DC-4802-86D5-03342C021CED}">
    <text>Universal 26 park tickets</text>
  </threadedComment>
  <threadedComment ref="F113" dT="2024-06-23T13:53:32.83" personId="{00000000-0000-0000-0000-000000000000}" id="{C7EA5171-16C7-4F61-9546-AEADB1B6D793}">
    <text>Universal new park</text>
  </threadedComment>
  <threadedComment ref="C115" dT="2026-01-27T20:18:37.19" personId="{00000000-0000-0000-0000-000000000000}" id="{580DA63F-566C-493D-B639-4B1010E911F3}">
    <text>Matt dentist
2 x bluecrest healthchecks</text>
  </threadedComment>
  <threadedComment ref="H115" dT="2026-01-27T20:19:06.57" personId="{00000000-0000-0000-0000-000000000000}" id="{104AFCB5-CC77-45A8-B79D-CC029B5064E9}">
    <text>latvia</text>
  </threadedComment>
  <threadedComment ref="I199" dT="2024-12-13T12:44:11.50" personId="{00000000-0000-0000-0000-000000000000}" id="{35123EC1-8BAF-489A-BF4E-1C31CF181ECC}">
    <text>Petrol MHEV AWD insurance update</text>
  </threadedComment>
</ThreadedComments>
</file>

<file path=xl/threadedComments/threadedComment102.xml><?xml version="1.0" encoding="utf-8"?>
<ThreadedComments xmlns="http://schemas.microsoft.com/office/spreadsheetml/2018/threadedcomments" xmlns:x="http://schemas.openxmlformats.org/spreadsheetml/2006/main">
  <threadedComment ref="L2" dT="2025-06-22T13:53:55.40" personId="{00000000-0000-0000-0000-000000000000}" id="{1611BE6F-5257-4636-BB21-61BA3666C30C}">
    <text>10/12/25</text>
  </threadedComment>
  <threadedComment ref="K3" dT="2026-01-10T10:52:25.70" personId="{00000000-0000-0000-0000-000000000000}" id="{43A04163-AE69-422D-ACAD-F5C48B2090D1}">
    <text>Includes interest (I think)</text>
  </threadedComment>
  <threadedComment ref="L3" dT="2025-03-23T10:58:34.64" personId="{00000000-0000-0000-0000-000000000000}" id="{CC374EBF-22AF-4FC0-8885-E17B4095349A}">
    <text>Actual balance as of 20/03/2026</text>
  </threadedComment>
  <threadedComment ref="M3" dT="2025-10-10T11:00:23.94" personId="{00000000-0000-0000-0000-000000000000}" id="{83BB257F-7B45-4C76-8C00-2F87C7156669}">
    <text>13600 = guess</text>
  </threadedComment>
  <threadedComment ref="A4" dT="2025-08-26T23:03:33.31" personId="{00000000-0000-0000-0000-000000000000}" id="{9D7B8462-18B3-F24D-90DE-4BEAEDBD4F30}">
    <text>Watch</text>
  </threadedComment>
  <threadedComment ref="O6" dT="2026-03-23T17:07:35.10" personId="{00000000-0000-0000-0000-000000000000}" id="{7A41AC34-9CF0-4D88-AD9A-0E90A5223C3C}">
    <text>Switch deals - redeemable in AUG</text>
  </threadedComment>
  <threadedComment ref="A22" dT="2025-08-26T23:03:40.32" personId="{00000000-0000-0000-0000-000000000000}" id="{563FB99E-D7A0-4CDD-AA60-C1ECA0C71A78}">
    <text>Mattress</text>
  </threadedComment>
  <threadedComment ref="P28" dT="2026-03-20T19:41:16.26" personId="{00000000-0000-0000-0000-000000000000}" id="{168991CD-CB7F-4FD9-8EE6-572FD3B0D12C}">
    <text>+4 lounge passes</text>
  </threadedComment>
</ThreadedComments>
</file>

<file path=xl/threadedComments/threadedComment103.xml><?xml version="1.0" encoding="utf-8"?>
<ThreadedComments xmlns="http://schemas.microsoft.com/office/spreadsheetml/2018/threadedcomments" xmlns:x="http://schemas.openxmlformats.org/spreadsheetml/2006/main">
  <threadedComment ref="F21" dT="2024-06-30T22:06:36.96" personId="{00000000-0000-0000-0000-000000000000}" id="{ADD07DB1-B0BF-4459-A323-8B21C4890147}">
    <text>10.49 = Onedrive
Nationwide
Netflix
Printing
12 = barclays avios
15 = barclaycard premium</text>
  </threadedComment>
  <threadedComment ref="E25" dT="2023-07-24T16:36:14.82" personId="{00000000-0000-0000-0000-000000000000}" id="{CC417B82-7612-44CF-8A73-8EF3DC19D729}">
    <text>This is going towards CC</text>
  </threadedComment>
  <threadedComment ref="H31" dT="2025-08-24T19:26:41.51" personId="{00000000-0000-0000-0000-000000000000}" id="{482F50AF-00BD-410E-A1B9-A7BE472167DB}">
    <text>54.5 = returning</text>
  </threadedComment>
</ThreadedComments>
</file>

<file path=xl/threadedComments/threadedComment104.xml><?xml version="1.0" encoding="utf-8"?>
<ThreadedComments xmlns="http://schemas.microsoft.com/office/spreadsheetml/2018/threadedcomments" xmlns:x="http://schemas.openxmlformats.org/spreadsheetml/2006/main">
  <threadedComment ref="B2" dT="2026-01-11T12:15:01.75" personId="{00000000-0000-0000-0000-000000000000}" id="{E1CB7AF1-DA63-48DC-AC37-66EFE926911E}">
    <text>2 months w/ holiday savings</text>
  </threadedComment>
  <threadedComment ref="I8" dT="2026-06-27T17:55:15.83" personId="{D1728A67-EEB6-4960-84F3-C06015A3837D}" id="{9FBC4382-38DF-4369-99FE-AFEDF8ABB7DE}">
    <text>Took out for luna vets</text>
  </threadedComment>
  <threadedComment ref="F13" dT="2026-03-20T15:51:25.59" personId="{00000000-0000-0000-0000-000000000000}" id="{6B2F08E7-6C1D-4013-9DD1-57C08702FD6C}">
    <text>+50 paid off mattress</text>
  </threadedComment>
  <threadedComment ref="G13" dT="2026-01-27T21:15:44.43" personId="{00000000-0000-0000-0000-000000000000}" id="{7F8A7B9D-CDCE-4241-8540-AE46041CC15C}">
    <text>Paid off barclaycard</text>
  </threadedComment>
  <threadedComment ref="B17" dT="2026-03-20T15:49:12.71" personId="{00000000-0000-0000-0000-000000000000}" id="{11CD335A-78FE-4343-94B5-A8FAB056798E}">
    <text>Current - 4.13</text>
  </threadedComment>
</ThreadedComments>
</file>

<file path=xl/threadedComments/threadedComment105.xml><?xml version="1.0" encoding="utf-8"?>
<ThreadedComments xmlns="http://schemas.microsoft.com/office/spreadsheetml/2018/threadedcomments" xmlns:x="http://schemas.openxmlformats.org/spreadsheetml/2006/main">
  <threadedComment ref="C26" dT="2026-01-08T22:59:44.98" personId="{00000000-0000-0000-0000-000000000000}" id="{489478BD-448C-BC41-AEDF-57E6FC7EAD60}">
    <text>Lower than normal - missing about 1 week after new gas meter install</text>
  </threadedComment>
  <threadedComment ref="C27" dT="2026-01-08T22:46:47.13" personId="{00000000-0000-0000-0000-000000000000}" id="{A53C9D33-A45E-BD43-AF37-F1E9F5AAFE01}">
    <text>Guess bcos no data</text>
  </threadedComment>
</ThreadedComments>
</file>

<file path=xl/threadedComments/threadedComment106.xml><?xml version="1.0" encoding="utf-8"?>
<ThreadedComments xmlns="http://schemas.microsoft.com/office/spreadsheetml/2018/threadedcomments" xmlns:x="http://schemas.openxmlformats.org/spreadsheetml/2006/main">
  <threadedComment ref="N6" dT="2026-03-14T20:35:23.10" personId="{00000000-0000-0000-0000-000000000000}" id="{ABE20294-B0D9-4F93-BE3F-89C9B003D3B8}">
    <text>BMW full tank before crisis kicks in - take some from next month</text>
  </threadedComment>
  <threadedComment ref="F13" dT="2026-01-20T23:14:03.07" personId="{00000000-0000-0000-0000-000000000000}" id="{D69C2A17-C53A-474D-B8AB-C7989B7B615F}">
    <text>Renews May 2026</text>
  </threadedComment>
  <threadedComment ref="F15" dT="2025-12-27T19:40:06.20" personId="{00000000-0000-0000-0000-000000000000}" id="{939A143D-237C-4575-8117-331D9F7F3FF3}">
    <text>-5 for rewards</text>
  </threadedComment>
  <threadedComment ref="F16" dT="2026-01-20T22:57:20.11" personId="{00000000-0000-0000-0000-000000000000}" id="{A45684F7-DFCB-4755-8B37-B3BC23442A2A}">
    <text>Renewal: Aug 2026</text>
  </threadedComment>
  <threadedComment ref="F17" dT="2026-01-20T22:57:12.33" personId="{00000000-0000-0000-0000-000000000000}" id="{6C001F16-4C9C-4FA1-9BEE-039E50B8AF8E}">
    <text>Renewal: August 2026</text>
  </threadedComment>
  <threadedComment ref="F20" dT="2025-05-24T10:48:21.67" personId="{00000000-0000-0000-0000-000000000000}" id="{CE22478F-49D5-4B23-B760-E2E7C0433002}">
    <text>48 = mattress
137 = watch
170 = barclaycard</text>
  </threadedComment>
  <threadedComment ref="F21" dT="2025-11-24T22:50:31.53" personId="{00000000-0000-0000-0000-000000000000}" id="{AE88037E-70CF-4845-AC2E-96F21B110552}">
    <text>Going towards vegas</text>
  </threadedComment>
  <threadedComment ref="F23" dT="2026-01-27T10:17:13.23" personId="{00000000-0000-0000-0000-000000000000}" id="{9BDFB70C-143B-4303-83AC-B8BEA5604FA7}">
    <text>18 = haircut
100 = health insurance</text>
  </threadedComment>
  <threadedComment ref="G24" dT="2026-03-08T10:43:52.15" personId="{00000000-0000-0000-0000-000000000000}" id="{671AA859-3746-4480-A7AA-C6CE147E5292}">
    <text>podiatrist</text>
  </threadedComment>
  <threadedComment ref="F25" dT="2024-06-30T22:06:36.96" personId="{00000000-0000-0000-0000-000000000000}" id="{187BABDB-F714-41C2-8F9A-60A76D496E77}">
    <text>10.49 = Onedrive
18 = Nationwide
4.99 = Netflix
0.99 = Printing
12 = barclays avios
20 = barclaycard premium
13.95 = national trust</text>
  </threadedComment>
  <threadedComment ref="E29" dT="2023-07-24T16:36:14.82" personId="{00000000-0000-0000-0000-000000000000}" id="{6DD90285-5227-4A97-8A3D-36262E7D29CA}">
    <text>This is going towards CC</text>
  </threadedComment>
  <threadedComment ref="G36" dT="2026-02-28T11:03:19.61" personId="{00000000-0000-0000-0000-000000000000}" id="{A1BF99CE-5076-4A04-88B4-F1F1AB0EDCC2}">
    <text>Babu - kris sent 870 only</text>
  </threadedComment>
  <threadedComment ref="H36" dT="2026-02-27T20:30:54.33" personId="{00000000-0000-0000-0000-000000000000}" id="{B661D883-C28A-4693-AB24-E695D342B37D}">
    <text>Luna bed</text>
  </threadedComment>
  <threadedComment ref="P36" dT="2026-03-20T10:53:17.83" personId="{00000000-0000-0000-0000-000000000000}" id="{E07FDFBD-54A8-4964-8FD1-0978EF087629}">
    <text>Chinese - will reimburse from work</text>
  </threadedComment>
  <threadedComment ref="I42" dT="2026-02-28T10:52:33.88" personId="{00000000-0000-0000-0000-000000000000}" id="{FB3003E9-010B-4604-B82B-BA2A277E90A4}">
    <text>Fish + Chips</text>
  </threadedComment>
  <threadedComment ref="F46" dT="2025-11-27T17:12:34.89" personId="{00000000-0000-0000-0000-000000000000}" id="{FB80B1E9-9822-4F82-9FA5-9368B5C37A6D}">
    <text>64 = rosita insurance</text>
  </threadedComment>
  <threadedComment ref="F47" dT="2025-12-08T20:33:24.84" personId="{00000000-0000-0000-0000-000000000000}" id="{BD72028B-7ED7-4054-B46A-D9B4D939699D}">
    <text>50 = skin
118 = sin refunds</text>
  </threadedComment>
  <threadedComment ref="G50" dT="2025-11-25T11:29:58.97" personId="{00000000-0000-0000-0000-000000000000}" id="{5CACEFD5-3B96-46FB-924F-6CF7E3E3D93A}">
    <text>3579.86 = wage
5 = barclays cashback
20 = iphone drawdown
Rest = kris</text>
  </threadedComment>
  <threadedComment ref="D66" dT="2026-02-20T15:06:13.21" personId="{00000000-0000-0000-0000-000000000000}" id="{3D93F513-A2CE-4615-9C41-5BE8B2B5D1C2}">
    <text>% if pay bump is $</text>
  </threadedComment>
  <threadedComment ref="D67" dT="2026-02-20T15:06:41.81" personId="{00000000-0000-0000-0000-000000000000}" id="{7D063BB1-57E5-40BB-9D78-3B3B6E0F13A7}">
    <text>% if pay rise = £</text>
  </threadedComment>
</ThreadedComments>
</file>

<file path=xl/threadedComments/threadedComment107.xml><?xml version="1.0" encoding="utf-8"?>
<ThreadedComments xmlns="http://schemas.microsoft.com/office/spreadsheetml/2018/threadedcomments" xmlns:x="http://schemas.openxmlformats.org/spreadsheetml/2006/main">
  <threadedComment ref="F6" dT="2026-02-28T15:57:41.48" personId="{00000000-0000-0000-0000-000000000000}" id="{6315C7A3-05B8-4C08-9241-AC743DE71C8C}">
    <text>-20 for scotland</text>
  </threadedComment>
  <threadedComment ref="H6" dT="2026-03-23T17:29:52.05" personId="{00000000-0000-0000-0000-000000000000}" id="{BE060C13-C015-4D92-B7F9-415E429A40CC}">
    <text>Rollover from last month</text>
  </threadedComment>
  <threadedComment ref="F7" dT="2026-02-28T15:57:47.51" personId="{00000000-0000-0000-0000-000000000000}" id="{CF70CC39-715E-48FB-9DC3-6145BC6F6742}">
    <text>-50 for scotland</text>
  </threadedComment>
  <threadedComment ref="F13" dT="2026-01-20T23:14:03.07" personId="{00000000-0000-0000-0000-000000000000}" id="{A37072E0-F870-4611-974C-53CE0EB6C8CF}">
    <text>Renews May 2026</text>
  </threadedComment>
  <threadedComment ref="F13" dT="2026-03-23T14:21:17.98" personId="{00000000-0000-0000-0000-000000000000}" id="{483DA262-D00D-42DC-A00B-2FD64DB49BBA}" parentId="{A37072E0-F870-4611-974C-53CE0EB6C8CF}">
    <text>Bumped + 15 for tentbox cover</text>
  </threadedComment>
  <threadedComment ref="F15" dT="2025-12-27T19:40:06.20" personId="{00000000-0000-0000-0000-000000000000}" id="{A3D65AF9-F143-4A26-BE81-6BAF5D4CE2CA}">
    <text>-5 for rewards</text>
  </threadedComment>
  <threadedComment ref="F16" dT="2026-01-20T22:57:20.11" personId="{00000000-0000-0000-0000-000000000000}" id="{FDC11EB1-9276-4C7F-BA7A-98469DCDEEC9}">
    <text>Renewal: Aug 2026</text>
  </threadedComment>
  <threadedComment ref="F17" dT="2026-01-20T22:57:12.33" personId="{00000000-0000-0000-0000-000000000000}" id="{4D68BCE0-2207-431B-80EA-01056F8B340A}">
    <text>Renewal: August 2026</text>
  </threadedComment>
  <threadedComment ref="F20" dT="2025-05-24T10:48:21.67" personId="{00000000-0000-0000-0000-000000000000}" id="{9F624572-DC78-421A-BD09-633F7C5AFDC5}">
    <text>48 = mattress
137 = watch
170 = barclaycard</text>
  </threadedComment>
  <threadedComment ref="F23" dT="2026-01-27T10:17:13.23" personId="{00000000-0000-0000-0000-000000000000}" id="{18FEF5BF-E7B9-414F-8F65-A3BFEF6C185E}">
    <text>18 = haircut
39.52 = insurance</text>
  </threadedComment>
  <threadedComment ref="F24" dT="2024-06-30T22:06:36.96" personId="{00000000-0000-0000-0000-000000000000}" id="{9A3046A0-9F53-49B0-9EB7-05F960667397}">
    <text>10.49 = Onedrive
18 = Nationwide
4.99 = Netflix
0.99 = Printing
12 = barclays avios
20 = barclaycard premium
13.95 = national trust</text>
  </threadedComment>
  <threadedComment ref="E28" dT="2023-07-24T16:36:14.82" personId="{00000000-0000-0000-0000-000000000000}" id="{1B591461-B926-45E4-8A92-B7D15067D950}">
    <text>This is going towards CC</text>
  </threadedComment>
  <threadedComment ref="J29" dT="2026-04-06T20:36:01.29" personId="{00000000-0000-0000-0000-000000000000}" id="{1B8EFC0C-8A87-49DC-B4FA-9F6247D44004}">
    <text>73 = toe tabs</text>
  </threadedComment>
  <threadedComment ref="G33" dT="2026-04-07T11:29:33.89" personId="{00000000-0000-0000-0000-000000000000}" id="{B0C495A9-B697-4C9C-843B-F80A41F66529}">
    <text xml:space="preserve">5.64 = paypal
9.99 = nowtv
</text>
  </threadedComment>
  <threadedComment ref="H33" dT="2026-04-07T11:32:11.78" personId="{00000000-0000-0000-0000-000000000000}" id="{F351689A-5B73-4F19-9327-1FD90015D8F4}">
    <text>3.92 = coop
7.5 = coop
3.5 = coop
2.45 = coop
1.45 = coop
2.9 = coop
16.38 = asda
11.99 = aldi chair
2.42 = coop
9.99 = disney</text>
  </threadedComment>
  <threadedComment ref="F35" dT="2026-04-10T12:21:13.68" personId="{00000000-0000-0000-0000-000000000000}" id="{4AECF123-A725-46CE-9754-B3D219170483}">
    <text>-50 tanya bday move to kris budget</text>
  </threadedComment>
  <threadedComment ref="G35" dT="2026-03-30T22:50:10.65" personId="{00000000-0000-0000-0000-000000000000}" id="{1F673773-B61D-4F1A-B85E-AC6CAFCCC9A4}">
    <text>20 = hugo bday
80 - cash for scotland, unused, keeping in store</text>
  </threadedComment>
  <threadedComment ref="H35" dT="2026-04-01T22:09:25.76" personId="{00000000-0000-0000-0000-000000000000}" id="{63107838-93E7-4E29-AEF1-3EA14E6659D3}">
    <text>245 = latvia flights
32 = italy flights
16.15 = blind return postage</text>
  </threadedComment>
  <threadedComment ref="H36" dT="2026-04-01T22:09:25.76" personId="{00000000-0000-0000-0000-000000000000}" id="{B31BBAFD-2289-43E9-9786-422A52AED6DB}">
    <text>13.99 = giraffe for vinny
20.25 = vinny gift
144.39 = b&amp;q
17.65 = easter things
28.7 = milners engagement</text>
  </threadedComment>
  <threadedComment ref="F41" dT="2025-11-27T17:12:34.89" personId="{00000000-0000-0000-0000-000000000000}" id="{47DA0D69-FF31-4C84-AA33-5927745A1132}">
    <text>64 = rosita insurance</text>
  </threadedComment>
  <threadedComment ref="H42" dT="2026-04-10T16:49:19.92" personId="{00000000-0000-0000-0000-000000000000}" id="{A024F0C8-17E9-4229-A683-4B3DDC31B68B}">
    <text>-78 = gym shark refunds</text>
  </threadedComment>
  <threadedComment ref="G44" dT="2025-11-25T11:29:58.97" personId="{00000000-0000-0000-0000-000000000000}" id="{022DCEB6-1C2C-406B-B18C-C7B947FA6119}">
    <text>3579.86 = wage
107 = payrise
20 = iphone drawdown
Rest = kris</text>
  </threadedComment>
</ThreadedComments>
</file>

<file path=xl/threadedComments/threadedComment108.xml><?xml version="1.0" encoding="utf-8"?>
<ThreadedComments xmlns="http://schemas.microsoft.com/office/spreadsheetml/2018/threadedcomments" xmlns:x="http://schemas.openxmlformats.org/spreadsheetml/2006/main">
  <threadedComment ref="F6" dT="2026-02-28T15:57:41.48" personId="{00000000-0000-0000-0000-000000000000}" id="{E095FB2B-1C00-41D0-8F23-418236BD64EE}">
    <text>-20 for scotland</text>
  </threadedComment>
  <threadedComment ref="F7" dT="2026-02-28T15:57:47.51" personId="{00000000-0000-0000-0000-000000000000}" id="{8CC62BEC-5BB9-4074-A90D-996F77433854}">
    <text>-50 for scotland</text>
  </threadedComment>
  <threadedComment ref="F13" dT="2026-01-20T23:14:03.07" personId="{00000000-0000-0000-0000-000000000000}" id="{617B6C3F-0EB4-41B9-B79C-254441AB6714}">
    <text>Renews May 2026</text>
  </threadedComment>
  <threadedComment ref="F13" dT="2026-03-23T14:21:17.98" personId="{00000000-0000-0000-0000-000000000000}" id="{0B667EE2-8CC8-4C5C-8129-15BB0724DD85}" parentId="{617B6C3F-0EB4-41B9-B79C-254441AB6714}">
    <text>Bumped + 15 for tentbox cover</text>
  </threadedComment>
  <threadedComment ref="F15" dT="2025-12-27T19:40:06.20" personId="{00000000-0000-0000-0000-000000000000}" id="{BE22041B-84A9-4994-A0FB-D40B850D07E6}">
    <text>-5 for rewards</text>
  </threadedComment>
  <threadedComment ref="F16" dT="2026-01-20T22:57:20.11" personId="{00000000-0000-0000-0000-000000000000}" id="{4ED65D31-4438-4943-8D8D-E5E5B0EBBEB0}">
    <text>Renewal: Aug 2026</text>
  </threadedComment>
  <threadedComment ref="F17" dT="2026-01-20T22:57:12.33" personId="{00000000-0000-0000-0000-000000000000}" id="{46DC9BB4-13D9-4251-90C1-E6099B8033A6}">
    <text>Renewal: August 2026</text>
  </threadedComment>
  <threadedComment ref="F20" dT="2025-05-24T10:48:21.67" personId="{00000000-0000-0000-0000-000000000000}" id="{BA907BFC-0A04-4472-B216-EB6D865108DD}">
    <text>48 = mattress
137 = watch
170 = barclaycard</text>
  </threadedComment>
  <threadedComment ref="F23" dT="2026-01-27T10:17:13.23" personId="{00000000-0000-0000-0000-000000000000}" id="{A1477B0D-18CB-441C-BB21-F3A6467CDD63}">
    <text>50 = ?
17 = haircut</text>
  </threadedComment>
  <threadedComment ref="F24" dT="2024-06-30T22:06:36.96" personId="{00000000-0000-0000-0000-000000000000}" id="{D203E6C9-0A18-4C88-8B60-17D66599ED7C}">
    <text>10.49 = Onedrive
18 = Nationwide
4.99 = Netflix
0.99 = Printing
12 = barclays avios
20 = barclaycard premium
13.95 = national trust</text>
  </threadedComment>
  <threadedComment ref="E28" dT="2023-07-24T16:36:14.82" personId="{00000000-0000-0000-0000-000000000000}" id="{5C1B73AD-5676-42CC-8A89-87DF6BDD223E}">
    <text>This is going towards CC</text>
  </threadedComment>
  <threadedComment ref="H29" dT="2026-04-25T10:02:07.48" personId="{00000000-0000-0000-0000-000000000000}" id="{3C3ED470-7D8A-41E1-9993-DE6FB4E50C7C}">
    <text>41 = liver test
11 = coolant + screenwash</text>
  </threadedComment>
  <threadedComment ref="E36" dT="2026-04-25T14:08:28.10" personId="{00000000-0000-0000-0000-000000000000}" id="{7B0DD963-368B-4695-B301-426333862621}">
    <text>87 moved to cont
-1045 from work expenses</text>
  </threadedComment>
  <threadedComment ref="H39" dT="2026-05-03T12:58:38.11" personId="{00000000-0000-0000-0000-000000000000}" id="{F16339B8-0DC3-4119-8AAC-A15815F75D20}">
    <text>23.25 = target
9.18 = squarespace
19.55 = walmart exerderin
12.23 = petes
4.59 = petes
120.05 = walmart
5.32 = foxtail
5.01 = foxtail</text>
  </threadedComment>
  <threadedComment ref="J39" dT="2026-05-03T17:07:07.86" personId="{00000000-0000-0000-0000-000000000000}" id="{BABCF14F-132E-4954-9969-D1AD7293BA9F}">
    <text>5.58 = coffee</text>
  </threadedComment>
  <threadedComment ref="F40" dT="2025-11-27T17:12:34.89" personId="{00000000-0000-0000-0000-000000000000}" id="{F6FD8C25-1912-4272-B665-167AF16A3449}">
    <text>64 = rosita insurance</text>
  </threadedComment>
  <threadedComment ref="H41" dT="2026-05-03T09:24:31.11" personId="{00000000-0000-0000-0000-000000000000}" id="{F459BD9A-79C6-4D97-9F4E-22A14B503EDA}">
    <text>25/04
11.08 = esim
13.89 = daves chicken (dinner)
19.06 = dublin airport (lunch)
26/04
42.79 = mission bbq (dinner)
29.85 = whiskey cake (lunch)
46.71 = hopdoddy (dinner)
27/04
28.34 = european street café (lunch)
28/04
68.85 = BJs
29/04
151.4 = sizemores
30/04
38.39 = v pizza
30.58 = v pizza</text>
  </threadedComment>
  <threadedComment ref="G44" dT="2025-11-25T11:29:58.97" personId="{00000000-0000-0000-0000-000000000000}" id="{DF2BFF5A-5D96-46D1-B8CB-D5CC1B13223D}">
    <text>3579.86 = wage
107 = payrise
20 = iphone drawdown
Rest = kris</text>
  </threadedComment>
  <threadedComment ref="L55" dT="2026-05-03T14:24:33.70" personId="{00000000-0000-0000-0000-000000000000}" id="{DE04BC8C-874A-4D0D-97BC-A1EBDE0E4EE0}">
    <text>Maybe refund from zara? -36</text>
  </threadedComment>
</ThreadedComments>
</file>

<file path=xl/threadedComments/threadedComment109.xml><?xml version="1.0" encoding="utf-8"?>
<ThreadedComments xmlns="http://schemas.microsoft.com/office/spreadsheetml/2018/threadedcomments" xmlns:x="http://schemas.openxmlformats.org/spreadsheetml/2006/main">
  <threadedComment ref="C21" dT="2026-05-06T16:18:28.91" personId="{00000000-0000-0000-0000-000000000000}" id="{A17B943C-3FE5-41E0-BF59-7837068008F1}">
    <text>100 euro for stay</text>
  </threadedComment>
</ThreadedComments>
</file>

<file path=xl/threadedComments/threadedComment110.xml><?xml version="1.0" encoding="utf-8"?>
<ThreadedComments xmlns="http://schemas.microsoft.com/office/spreadsheetml/2018/threadedcomments" xmlns:x="http://schemas.openxmlformats.org/spreadsheetml/2006/main">
  <threadedComment ref="F6" dT="2026-02-28T15:57:41.48" personId="{00000000-0000-0000-0000-000000000000}" id="{5A8AAFA4-861A-4B20-84B3-1532295324EF}">
    <text>-20 for scotland</text>
  </threadedComment>
  <threadedComment ref="H6" dT="2026-03-23T17:29:52.05" personId="{00000000-0000-0000-0000-000000000000}" id="{E5CDE2B9-F08B-4231-B54F-D6E659BF4559}">
    <text>Rollover from last month</text>
  </threadedComment>
  <threadedComment ref="F7" dT="2026-02-28T15:57:47.51" personId="{00000000-0000-0000-0000-000000000000}" id="{8F03C012-3DFA-4CA3-BFC1-8233FBDEDAFE}">
    <text>-50 for scotland</text>
  </threadedComment>
  <threadedComment ref="F10" dT="2026-05-29T09:13:37.63" personId="{00000000-0000-0000-0000-000000000000}" id="{A0FE62DC-05C0-4DB9-A75D-C52C7265F760}">
    <text>Moved to sink</text>
  </threadedComment>
  <threadedComment ref="F15" dT="2026-01-20T23:14:03.07" personId="{00000000-0000-0000-0000-000000000000}" id="{574C4540-E12E-4722-AC23-5FCB416ED39C}">
    <text>Renews May 2026</text>
  </threadedComment>
  <threadedComment ref="F15" dT="2026-03-23T14:21:17.98" personId="{00000000-0000-0000-0000-000000000000}" id="{1F7CBFAD-41E1-4350-88A0-0CBB302CCF86}" parentId="{574C4540-E12E-4722-AC23-5FCB416ED39C}">
    <text>Bumped + 15 for tentbox cover</text>
  </threadedComment>
  <threadedComment ref="F17" dT="2025-12-27T19:40:06.20" personId="{00000000-0000-0000-0000-000000000000}" id="{FB6E7A79-B8B1-40CA-8ABD-4FF4D8643655}">
    <text>-5 for rewards</text>
  </threadedComment>
  <threadedComment ref="F18" dT="2026-01-20T22:57:20.11" personId="{00000000-0000-0000-0000-000000000000}" id="{7357EB32-7685-4D73-8D8C-D3FC75EB86B3}">
    <text>Renewal: Aug 2026</text>
  </threadedComment>
  <threadedComment ref="F19" dT="2026-01-20T22:57:12.33" personId="{00000000-0000-0000-0000-000000000000}" id="{56F37EB8-DAF4-4BCB-9C2F-D8FACC4A8D3D}">
    <text>Renewal: August 2026</text>
  </threadedComment>
  <threadedComment ref="F22" dT="2025-05-24T10:48:21.67" personId="{00000000-0000-0000-0000-000000000000}" id="{51932C0C-D6D7-41A8-A358-B7682EE5FD7F}">
    <text>48 = mattress
170 = barclaycard</text>
  </threadedComment>
  <threadedComment ref="F24" dT="2026-01-27T10:17:13.23" personId="{00000000-0000-0000-0000-000000000000}" id="{610AAF51-4FA2-4DA9-85C7-3352E304262E}">
    <text>18 = hair
100 = health ins</text>
  </threadedComment>
  <threadedComment ref="F25" dT="2024-06-30T22:06:36.96" personId="{00000000-0000-0000-0000-000000000000}" id="{3B59C386-419D-4FC7-A1D0-9D37379E4675}">
    <text>10.49 = Onedrive
18 = Nationwide
4.99 = Netflix
0.99 = Printing
12 = barclays avios
20 = barclaycard premium
13.95 = national trust</text>
  </threadedComment>
  <threadedComment ref="E29" dT="2023-07-24T16:36:14.82" personId="{00000000-0000-0000-0000-000000000000}" id="{A35C2871-7D7A-4980-86C8-BF78591E02C7}">
    <text>This is going towards CC</text>
  </threadedComment>
  <threadedComment ref="H39" dT="2026-06-21T18:17:15.76" personId="{D1728A67-EEB6-4960-84F3-C06015A3837D}" id="{06AAFE51-490D-BA4D-B473-A75938E44F04}">
    <text>+15 = fruit for ste + em</text>
  </threadedComment>
  <threadedComment ref="H40" dT="2026-06-16T22:15:24.99" personId="{D1728A67-EEB6-4960-84F3-C06015A3837D}" id="{A188AAEE-24CF-454A-A65D-74F09CF98B0D}">
    <text>Paula + Luke baby stuff</text>
  </threadedComment>
  <threadedComment ref="G41" dT="2026-06-16T22:15:53.00" personId="{D1728A67-EEB6-4960-84F3-C06015A3837D}" id="{CC4F066F-BEAE-4C2F-B4DC-5CD8BF33BEF4}">
    <text>50 = leo + jasmine</text>
  </threadedComment>
  <threadedComment ref="H41" dT="2026-06-21T18:16:27.85" personId="{D1728A67-EEB6-4960-84F3-C06015A3837D}" id="{A7344533-0BE4-3F43-A4C9-8F6F71E838C0}">
    <text>20 = dad fday brunch
28.5 = dad fday</text>
  </threadedComment>
  <threadedComment ref="J43" dT="2026-06-19T14:29:03.96" personId="{D1728A67-EEB6-4960-84F3-C06015A3837D}" id="{197C96AA-F5D1-43A3-A8E4-86AC97622D79}">
    <text>352 = vietjet</text>
  </threadedComment>
  <threadedComment ref="F45" dT="2025-11-27T17:12:34.89" personId="{00000000-0000-0000-0000-000000000000}" id="{9DD309BC-8CF2-4576-A96D-ED58CD299A26}">
    <text>64 = rosita insurance</text>
  </threadedComment>
  <threadedComment ref="H46" dT="2026-06-03T20:35:01.72" personId="{00000000-0000-0000-0000-000000000000}" id="{4929870D-820B-49C5-A311-682ED64CF3AB}">
    <text>=48 refund pending
83.89 + 233.89 = shoes, kris pay later, mostly refunded</text>
  </threadedComment>
  <threadedComment ref="L46" dT="2026-05-31T20:02:22.09" personId="{00000000-0000-0000-0000-000000000000}" id="{7787AFD6-589C-4520-9F2F-83C4C49FA683}">
    <text>Kris return H&amp;M stuff</text>
  </threadedComment>
  <threadedComment ref="G48" dT="2025-11-25T11:29:58.97" personId="{00000000-0000-0000-0000-000000000000}" id="{47E14DBE-3E80-4FFA-A365-13CA1C571897}">
    <text>3579.86 = wage
107 = payrise
20 = iphone drawdown
Rest = kris</text>
  </threadedComment>
</ThreadedComments>
</file>

<file path=xl/threadedComments/threadedComment111.xml><?xml version="1.0" encoding="utf-8"?>
<ThreadedComments xmlns="http://schemas.microsoft.com/office/spreadsheetml/2018/threadedcomments" xmlns:x="http://schemas.openxmlformats.org/spreadsheetml/2006/main">
  <threadedComment ref="F6" dT="2026-02-28T15:57:41.48" personId="{00000000-0000-0000-0000-000000000000}" id="{DF0704DB-5100-124B-A3A2-35A75839F400}">
    <text>-20 for scotland</text>
  </threadedComment>
  <threadedComment ref="F7" dT="2026-02-28T15:57:47.51" personId="{00000000-0000-0000-0000-000000000000}" id="{C30863BC-DA79-5142-B0ED-75829B3A4649}">
    <text>-50 for scotland</text>
  </threadedComment>
  <threadedComment ref="H8" dT="2026-06-27T17:59:49.92" personId="{D1728A67-EEB6-4960-84F3-C06015A3837D}" id="{59EB138B-266F-4622-A42C-C5636581A8CB}">
    <text>9.71 = poop bags</text>
  </threadedComment>
  <threadedComment ref="F10" dT="2026-05-29T09:13:37.63" personId="{00000000-0000-0000-0000-000000000000}" id="{0322369B-69ED-634F-9A84-3C3D99C09009}">
    <text>Moved to sink</text>
  </threadedComment>
  <threadedComment ref="F15" dT="2026-01-20T23:14:03.07" personId="{00000000-0000-0000-0000-000000000000}" id="{01F22DE9-C7AB-D34A-8657-3930A2544E5C}">
    <text>Renews May 2026</text>
  </threadedComment>
  <threadedComment ref="F15" dT="2026-03-23T14:21:17.98" personId="{00000000-0000-0000-0000-000000000000}" id="{09AE9E46-8C6E-C840-AC31-82F59D10A700}" parentId="{01F22DE9-C7AB-D34A-8657-3930A2544E5C}">
    <text>Bumped + 15 for tentbox cover</text>
  </threadedComment>
  <threadedComment ref="F17" dT="2025-12-27T19:40:06.20" personId="{00000000-0000-0000-0000-000000000000}" id="{A9967460-B9D7-5944-9EB4-DFF113065361}">
    <text>-5 for rewards</text>
  </threadedComment>
  <threadedComment ref="F18" dT="2026-01-20T22:57:20.11" personId="{00000000-0000-0000-0000-000000000000}" id="{30BA3B42-8AF9-5F4E-ADD4-898766E96019}">
    <text>Renewal: Aug 2026</text>
  </threadedComment>
  <threadedComment ref="F19" dT="2026-01-20T22:57:12.33" personId="{00000000-0000-0000-0000-000000000000}" id="{74782060-E40A-054C-AD99-7D0F8370CAE5}">
    <text>Renewal: August 2026</text>
  </threadedComment>
  <threadedComment ref="F20" dT="2026-06-21T22:01:22.35" personId="{D1728A67-EEB6-4960-84F3-C06015A3837D}" id="{1BBABBBD-25E7-B945-AB3F-0573F574350F}">
    <text>BMW insurance (aviva) = 04/11/2026
EVQ insurance (the aa) = 27/01/2027</text>
  </threadedComment>
  <threadedComment ref="F22" dT="2025-05-24T10:48:21.67" personId="{00000000-0000-0000-0000-000000000000}" id="{0DBB30FA-C6DC-6E4C-89C3-D0FD285250DB}">
    <text>48 = mattress
137 = watch
25 = barclaycard</text>
  </threadedComment>
  <threadedComment ref="F24" dT="2026-01-27T10:17:13.23" personId="{00000000-0000-0000-0000-000000000000}" id="{064BA650-F913-FA4A-A9B1-E1DFBFCC1238}">
    <text>18 = hair
100 = health ins</text>
  </threadedComment>
  <threadedComment ref="F25" dT="2024-06-30T22:06:36.96" personId="{00000000-0000-0000-0000-000000000000}" id="{D4AC4CF3-097A-3E40-8571-16C9BCA3ED1C}">
    <text>10.49 = Onedrive
18 = Nationwide
4.99 = Netflix
0.99 = Printing
12 = barclays avios
20 = barclaycard premium
13.95 = national trust</text>
  </threadedComment>
  <threadedComment ref="E29" dT="2023-07-24T16:36:14.82" personId="{00000000-0000-0000-0000-000000000000}" id="{3ADBC4E4-B25B-D14D-BBC6-844C9E8EC355}">
    <text>This is going towards CC</text>
  </threadedComment>
  <threadedComment ref="H30" dT="2026-07-24T07:55:21.48" personId="{D1728A67-EEB6-4960-84F3-C06015A3837D}" id="{CCE60ECB-48C3-4C53-9C91-B9D6119633E6}">
    <text>41 = liver test
79 = bupa
45 = chiropodist</text>
  </threadedComment>
  <threadedComment ref="J30" dT="2026-07-24T07:53:53.84" personId="{D1728A67-EEB6-4960-84F3-C06015A3837D}" id="{EA8C8A54-1133-4D9F-96C8-891B6F415D9D}">
    <text>BMW</text>
  </threadedComment>
  <threadedComment ref="M30" dT="2026-07-24T07:53:45.71" personId="{D1728A67-EEB6-4960-84F3-C06015A3837D}" id="{79FC3D6C-771B-41C5-8D70-CE5EC7F06E8E}">
    <text>Toe Tablets</text>
  </threadedComment>
  <threadedComment ref="E35" dT="2026-06-27T18:36:15.40" personId="{D1728A67-EEB6-4960-84F3-C06015A3837D}" id="{B8F870D1-DE49-4787-8A6A-E72992AA3A12}">
    <text xml:space="preserve">=2507.65
</text>
  </threadedComment>
  <threadedComment ref="M37" dT="2026-07-17T21:10:06.71" personId="{D1728A67-EEB6-4960-84F3-C06015A3837D}" id="{2E90C0EE-7F53-4397-9342-3952BAD9C1B4}">
    <text>xbox</text>
  </threadedComment>
  <threadedComment ref="G38" dT="2026-07-12T21:35:15.71" personId="{D1728A67-EEB6-4960-84F3-C06015A3837D}" id="{6BA0234A-5733-8047-AD84-489F9721ECE7}">
    <text>20 = kierans 18th</text>
  </threadedComment>
  <threadedComment ref="J38" dT="2026-07-17T21:31:13.98" personId="{D1728A67-EEB6-4960-84F3-C06015A3837D}" id="{4D5E09AA-FC3D-4522-86E4-1BBD8063D8DE}">
    <text>House of cb</text>
  </threadedComment>
  <threadedComment ref="H42" dT="2026-07-04T18:51:16.71" personId="{D1728A67-EEB6-4960-84F3-C06015A3837D}" id="{1351E00A-FA69-F246-BB5B-1F1D1B8CFE5C}">
    <text>Still pending 290 for rental car</text>
  </threadedComment>
  <threadedComment ref="F43" dT="2025-11-27T17:12:34.89" personId="{00000000-0000-0000-0000-000000000000}" id="{AECFB6C9-2110-F448-8B83-EC47C4FD9025}">
    <text>64 = rosita insurance</text>
  </threadedComment>
  <threadedComment ref="E44" dT="2026-06-27T17:49:52.51" personId="{D1728A67-EEB6-4960-84F3-C06015A3837D}" id="{4124BDDE-1AE0-4979-BBAA-873C4D3BAD7C}">
    <text>Running shoe rollover - 2 pairs will be refunded, 1 paid for now</text>
  </threadedComment>
  <threadedComment ref="L44" dT="2026-05-31T20:02:22.09" personId="{00000000-0000-0000-0000-000000000000}" id="{3DFC7A4B-7C6D-E84A-BA28-635C83B7AEC1}">
    <text>Kris return H&amp;M stuff</text>
  </threadedComment>
  <threadedComment ref="H45" dT="2026-07-12T21:46:49.60" personId="{D1728A67-EEB6-4960-84F3-C06015A3837D}" id="{A0E68EE8-0996-244E-8B96-DA535CDFF0B6}">
    <text>121 = sports clothes
75 = zara
(Also 110 for shoes)</text>
  </threadedComment>
  <threadedComment ref="G47" dT="2025-11-25T11:29:58.97" personId="{00000000-0000-0000-0000-000000000000}" id="{68B50FC3-7334-1E4F-8FBE-D49ADD68ECE4}">
    <text>3579.86 = wage
107 = payrise
20 = iphone drawdown
Rest = kris</text>
  </threadedComment>
  <threadedComment ref="E64" dT="2026-06-27T18:17:01.79" personId="{D1728A67-EEB6-4960-84F3-C06015A3837D}" id="{DF0EE147-F2FC-4E7B-BE6E-16C77F1C1F1F}">
    <text>Kris owes 116.05 for shoes coming from July wage</text>
  </threadedComment>
</ThreadedComments>
</file>

<file path=xl/threadedComments/threadedComment112.xml><?xml version="1.0" encoding="utf-8"?>
<ThreadedComments xmlns="http://schemas.microsoft.com/office/spreadsheetml/2018/threadedcomments" xmlns:x="http://schemas.openxmlformats.org/spreadsheetml/2006/main">
  <threadedComment ref="F6" dT="2026-02-28T15:57:41.48" personId="{00000000-0000-0000-0000-000000000000}" id="{DFDBB79D-11CF-4681-A75A-FF7C4C6ECC13}">
    <text>-20 for scotland</text>
  </threadedComment>
  <threadedComment ref="F7" dT="2026-02-28T15:57:47.51" personId="{00000000-0000-0000-0000-000000000000}" id="{172D54F9-A8E2-4AED-9110-41B1FFD1C984}">
    <text>-50 for scotland</text>
  </threadedComment>
  <threadedComment ref="F10" dT="2026-05-29T09:13:37.63" personId="{00000000-0000-0000-0000-000000000000}" id="{643BFA74-97A7-42A6-B17C-BB768B0FEC45}">
    <text>Moved to sink</text>
  </threadedComment>
  <threadedComment ref="F15" dT="2026-01-20T23:14:03.07" personId="{00000000-0000-0000-0000-000000000000}" id="{8A7FEBD6-F012-44E0-9358-1CF4D759F6EB}">
    <text>Renews May 2026</text>
  </threadedComment>
  <threadedComment ref="F15" dT="2026-03-23T14:21:17.98" personId="{00000000-0000-0000-0000-000000000000}" id="{8198C418-8D75-49E6-AD9D-476CA3AAD2E4}" parentId="{8A7FEBD6-F012-44E0-9358-1CF4D759F6EB}">
    <text>Bumped + 15 for tentbox cover</text>
  </threadedComment>
  <threadedComment ref="F17" dT="2025-12-27T19:40:06.20" personId="{00000000-0000-0000-0000-000000000000}" id="{325A8014-9DEE-4FE2-A3BB-05C13124F695}">
    <text>-5 for rewards</text>
  </threadedComment>
  <threadedComment ref="F18" dT="2026-01-20T22:57:20.11" personId="{00000000-0000-0000-0000-000000000000}" id="{3C296C19-FF3D-4FBE-A438-1128DD37D887}">
    <text>Renewal: Aug 2026</text>
  </threadedComment>
  <threadedComment ref="F19" dT="2026-01-20T22:57:12.33" personId="{00000000-0000-0000-0000-000000000000}" id="{68877AC4-03C2-4C29-A112-D061B65D0811}">
    <text>Renewal: August 2026</text>
  </threadedComment>
  <threadedComment ref="F20" dT="2026-06-21T22:01:22.35" personId="{D1728A67-EEB6-4960-84F3-C06015A3837D}" id="{B954CA6A-F50A-4695-BC46-50038F1E289D}">
    <text>BMW insurance (aviva) = 04/11/2026
EVQ insurance (the aa) = 27/01/2027</text>
  </threadedComment>
  <threadedComment ref="F22" dT="2025-05-24T10:48:21.67" personId="{00000000-0000-0000-0000-000000000000}" id="{E934A1B1-46EE-4830-A1E4-7ECC7336980A}">
    <text>48 = mattress
137 = watch
25 = barclaycard</text>
  </threadedComment>
  <threadedComment ref="F24" dT="2026-01-27T10:17:13.23" personId="{00000000-0000-0000-0000-000000000000}" id="{50409752-D3EB-4259-886A-45FB06D163A6}">
    <text>18 = hair
100 = health ins</text>
  </threadedComment>
  <threadedComment ref="F25" dT="2024-06-30T22:06:36.96" personId="{00000000-0000-0000-0000-000000000000}" id="{C92275B1-FB20-47F3-8DA2-B26A140AC16C}">
    <text>10.49 = Onedrive
18 = Nationwide
4.99 = Netflix
0.99 = Printing
12 = barclays avios
20 = barclaycard premium
13.95 = national trust</text>
  </threadedComment>
  <threadedComment ref="E29" dT="2023-07-24T16:36:14.82" personId="{00000000-0000-0000-0000-000000000000}" id="{04EAEF75-25ED-4EDD-A55D-E1F548B6D6CA}">
    <text>This is going towards CC</text>
  </threadedComment>
  <threadedComment ref="H38" dT="2026-08-05T14:07:50.08" personId="{D1728A67-EEB6-4960-84F3-C06015A3837D}" id="{33C62B67-FE2C-4614-8020-1C3A3C27A3BB}">
    <text>Pizza w milners</text>
  </threadedComment>
  <threadedComment ref="G40" dT="2026-08-17T09:38:01.84" personId="{D1728A67-EEB6-4960-84F3-C06015A3837D}" id="{46570073-6138-4C52-A1F5-E5FA77AC2173}">
    <text>TV license</text>
  </threadedComment>
  <threadedComment ref="J41" dT="2026-08-10T21:28:20.67" personId="{D1728A67-EEB6-4960-84F3-C06015A3837D}" id="{92E6B9C7-3566-4D43-9553-39E7FF6CF292}">
    <text>jack bday</text>
  </threadedComment>
  <threadedComment ref="F47" dT="2025-11-27T17:12:34.89" personId="{00000000-0000-0000-0000-000000000000}" id="{21F3A53C-CC35-4982-B441-2F25CE491018}">
    <text>1062 = emergency fund balance
675 = bonus
400 = matt FB overage + kris house of db dress</text>
  </threadedComment>
  <threadedComment ref="L48" dT="2026-05-31T20:02:22.09" personId="{00000000-0000-0000-0000-000000000000}" id="{5096B9EF-87C1-44E6-A75D-94745859DB98}">
    <text>Kris return H&amp;M stuff</text>
  </threadedComment>
  <threadedComment ref="G51" dT="2025-11-25T11:29:58.97" personId="{00000000-0000-0000-0000-000000000000}" id="{C6E8A030-6CE8-4616-9185-2F5B2AFD8C4C}">
    <text>3579.86 = wage
107 = payrise
20 = iphone drawdown
Rest = kris</text>
  </threadedComment>
  <threadedComment ref="E77" dT="2026-06-27T18:17:01.79" personId="{D1728A67-EEB6-4960-84F3-C06015A3837D}" id="{E248727B-64BB-4CB6-92B1-58930303D60B}">
    <text>Kris owes 116.05 for shoes coming from July wage</text>
  </threadedComment>
</ThreadedComments>
</file>

<file path=xl/threadedComments/threadedComment113.xml><?xml version="1.0" encoding="utf-8"?>
<ThreadedComments xmlns="http://schemas.microsoft.com/office/spreadsheetml/2018/threadedcomments" xmlns:x="http://schemas.openxmlformats.org/spreadsheetml/2006/main">
  <threadedComment ref="B8" dT="2026-02-28T11:18:58.50" personId="{00000000-0000-0000-0000-000000000000}" id="{70FB27E7-1B43-483F-B11E-896A5CB0F32B}">
    <text>Only need outbound - kris going to vietnam</text>
  </threadedComment>
  <threadedComment ref="B10" dT="2026-02-28T11:20:31.77" personId="{00000000-0000-0000-0000-000000000000}" id="{44C4B6ED-0180-4ECE-8B6B-51D6B90A6AAB}">
    <text>Could cut by getting taxi / train</text>
  </threadedComment>
  <threadedComment ref="B20" dT="2026-04-21T10:59:40.32" personId="{00000000-0000-0000-0000-000000000000}" id="{BC776E6C-3134-4EBE-8753-1C46BB0723BB}">
    <text>100 contribution from matt</text>
  </threadedComment>
</ThreadedComments>
</file>

<file path=xl/threadedComments/threadedComment114.xml><?xml version="1.0" encoding="utf-8"?>
<ThreadedComments xmlns="http://schemas.microsoft.com/office/spreadsheetml/2018/threadedcomments" xmlns:x="http://schemas.openxmlformats.org/spreadsheetml/2006/main">
  <threadedComment ref="F6" dT="2026-02-28T15:57:41.48" personId="{00000000-0000-0000-0000-000000000000}" id="{D99556D3-9DC9-4E06-9CD3-259C18AC0422}">
    <text>-20 for scotland</text>
  </threadedComment>
  <threadedComment ref="F7" dT="2026-02-28T15:57:47.51" personId="{00000000-0000-0000-0000-000000000000}" id="{A5A9BAEC-DB11-4C21-A7D4-51D0E639F3E8}">
    <text>-50 for scotland</text>
  </threadedComment>
  <threadedComment ref="F10" dT="2026-05-29T09:13:37.63" personId="{00000000-0000-0000-0000-000000000000}" id="{4452D6DC-A49C-424C-B46D-D38054031866}">
    <text>Moved to sink</text>
  </threadedComment>
  <threadedComment ref="F15" dT="2026-01-20T23:14:03.07" personId="{00000000-0000-0000-0000-000000000000}" id="{D4003995-ED2C-404C-842C-C1DCE7E076C5}">
    <text>Renews May 2026</text>
  </threadedComment>
  <threadedComment ref="F15" dT="2026-03-23T14:21:17.98" personId="{00000000-0000-0000-0000-000000000000}" id="{BC9E163A-F463-496C-9066-3EB732C0F101}" parentId="{D4003995-ED2C-404C-842C-C1DCE7E076C5}">
    <text>Bumped + 15 for tentbox cover</text>
  </threadedComment>
  <threadedComment ref="F17" dT="2025-12-27T19:40:06.20" personId="{00000000-0000-0000-0000-000000000000}" id="{B292BBFD-29D9-4901-8CF7-7B62E41C9C5F}">
    <text>-5 for rewards</text>
  </threadedComment>
  <threadedComment ref="F18" dT="2026-01-20T22:57:20.11" personId="{00000000-0000-0000-0000-000000000000}" id="{D63FE88A-0FFD-4D5C-8D85-DBEC475B1038}">
    <text>Renewal: Aug 2026</text>
  </threadedComment>
  <threadedComment ref="F19" dT="2026-01-20T22:57:12.33" personId="{00000000-0000-0000-0000-000000000000}" id="{C9CFD55A-4667-4025-81E1-0C683B01641C}">
    <text>Renewal: August 2026</text>
  </threadedComment>
  <threadedComment ref="F20" dT="2026-06-21T22:01:22.35" personId="{D1728A67-EEB6-4960-84F3-C06015A3837D}" id="{8F5E716B-4C4F-49B7-9EE6-B7BF0E10144C}">
    <text>BMW insurance (aviva) = 04/11/2026
EVQ insurance (the aa) = 27/01/2027</text>
  </threadedComment>
  <threadedComment ref="F22" dT="2025-05-24T10:48:21.67" personId="{00000000-0000-0000-0000-000000000000}" id="{0A1458C9-5960-4FA0-9E44-4E0D10F043A6}">
    <text>48 = mattress
137 = watch
25 = barclaycard</text>
  </threadedComment>
  <threadedComment ref="F24" dT="2026-01-27T10:17:13.23" personId="{00000000-0000-0000-0000-000000000000}" id="{5889284B-6C35-4395-80F8-4E191D9E2B2C}">
    <text>18 = hair
100 = health ins</text>
  </threadedComment>
  <threadedComment ref="F25" dT="2024-06-30T22:06:36.96" personId="{00000000-0000-0000-0000-000000000000}" id="{37C0F408-2186-4379-9DDB-C2072767E38D}">
    <text>10.49 = Onedrive
18 = Nationwide
4.99 = Netflix
0.99 = Printing
12 = barclays avios
20 = barclaycard premium
13.95 = national trust</text>
  </threadedComment>
  <threadedComment ref="E29" dT="2023-07-24T16:36:14.82" personId="{00000000-0000-0000-0000-000000000000}" id="{14B79660-B5B1-4B75-83D6-598F1662BCBE}">
    <text>This is going towards CC</text>
  </threadedComment>
  <threadedComment ref="F38" dT="2026-08-10T23:04:19.81" personId="{D1728A67-EEB6-4960-84F3-C06015A3837D}" id="{B0C6B22B-26BE-7B47-9043-1598F8EB6F5A}">
    <text>+100 to balance bdos</text>
  </threadedComment>
  <threadedComment ref="F45" dT="2025-11-27T17:12:34.89" personId="{00000000-0000-0000-0000-000000000000}" id="{9C84E3EA-7948-40CA-AFD8-54726914A2A0}">
    <text>1062 = emergency fund balance
675 = bonus
400 = matt FB overage + kris house of db dress</text>
  </threadedComment>
  <threadedComment ref="L46" dT="2026-05-31T20:02:22.09" personId="{00000000-0000-0000-0000-000000000000}" id="{E71E3DDC-1D29-4792-BDAD-60471E5AF3DD}">
    <text>Kris return H&amp;M stuff</text>
  </threadedComment>
  <threadedComment ref="G48" dT="2025-11-25T11:29:58.97" personId="{00000000-0000-0000-0000-000000000000}" id="{2E20DF10-D822-48AA-BC59-7F6F121CD148}">
    <text>3579.86 = wage
107 = payrise
20 = iphone drawdown
Rest = kris</text>
  </threadedComment>
  <threadedComment ref="E64" dT="2026-06-27T18:17:01.79" personId="{D1728A67-EEB6-4960-84F3-C06015A3837D}" id="{B3558A09-4CA3-43CE-8F7C-EF033F419F78}">
    <text>Kris owes 116.05 for shoes coming from July wage</text>
  </threadedComment>
</ThreadedComments>
</file>

<file path=xl/threadedComments/threadedComment115.xml><?xml version="1.0" encoding="utf-8"?>
<ThreadedComments xmlns="http://schemas.microsoft.com/office/spreadsheetml/2018/threadedcomments" xmlns:x="http://schemas.openxmlformats.org/spreadsheetml/2006/main">
  <threadedComment ref="F6" dT="2026-02-28T15:57:41.48" personId="{00000000-0000-0000-0000-000000000000}" id="{F03E10F6-FB9E-49DB-B1BF-8A9DA576606D}">
    <text>-20 for scotland</text>
  </threadedComment>
  <threadedComment ref="F7" dT="2026-02-28T15:57:47.51" personId="{00000000-0000-0000-0000-000000000000}" id="{59E0412D-BB4B-4E27-A8DB-D35B91BD4F88}">
    <text>-50 for scotland</text>
  </threadedComment>
  <threadedComment ref="F10" dT="2026-05-29T09:13:37.63" personId="{00000000-0000-0000-0000-000000000000}" id="{075D9CA1-CD12-44B8-AB89-00A584A65FEC}">
    <text>Moved to sink</text>
  </threadedComment>
  <threadedComment ref="F15" dT="2026-01-20T23:14:03.07" personId="{00000000-0000-0000-0000-000000000000}" id="{0EDE608A-06A6-436C-9488-FA90D2A427BA}">
    <text>Renews May 2026</text>
  </threadedComment>
  <threadedComment ref="F15" dT="2026-03-23T14:21:17.98" personId="{00000000-0000-0000-0000-000000000000}" id="{27BE684C-918F-4D28-97A3-F1446792F051}" parentId="{0EDE608A-06A6-436C-9488-FA90D2A427BA}">
    <text>Bumped + 15 for tentbox cover</text>
  </threadedComment>
  <threadedComment ref="F17" dT="2025-12-27T19:40:06.20" personId="{00000000-0000-0000-0000-000000000000}" id="{53794E21-101A-4BFE-B835-414ECA63C9A8}">
    <text>-5 for rewards</text>
  </threadedComment>
  <threadedComment ref="F18" dT="2026-01-20T22:57:20.11" personId="{00000000-0000-0000-0000-000000000000}" id="{194CCBF6-5B35-43B8-A590-779FD1E75B47}">
    <text>Renewal: Aug 2026</text>
  </threadedComment>
  <threadedComment ref="F19" dT="2026-01-20T22:57:12.33" personId="{00000000-0000-0000-0000-000000000000}" id="{82216EF6-300C-4EE5-84C9-3800BD0B056F}">
    <text>Renewal: August 2026</text>
  </threadedComment>
  <threadedComment ref="F20" dT="2026-06-21T22:01:22.35" personId="{D1728A67-EEB6-4960-84F3-C06015A3837D}" id="{23AA02EF-083F-43A8-96C6-2BB73E5E1069}">
    <text>BMW insurance (aviva) = 04/11/2026
EVQ insurance (the aa) = 27/01/2027</text>
  </threadedComment>
  <threadedComment ref="F22" dT="2025-05-24T10:48:21.67" personId="{00000000-0000-0000-0000-000000000000}" id="{C4194EA1-904E-4D8C-AD2B-51FAF4B674C5}">
    <text>48 = mattress
137 = watch
25 = barclaycard</text>
  </threadedComment>
  <threadedComment ref="F24" dT="2026-01-27T10:17:13.23" personId="{00000000-0000-0000-0000-000000000000}" id="{221F3299-EA6D-4006-BC36-D15C7D3C70DC}">
    <text>18 = hair
100 = health ins</text>
  </threadedComment>
  <threadedComment ref="F25" dT="2024-06-30T22:06:36.96" personId="{00000000-0000-0000-0000-000000000000}" id="{E65219A0-8577-406D-BFD5-86FE22746C97}">
    <text>10.49 = Onedrive
18 = Nationwide
4.99 = Netflix
0.99 = Printing
12 = barclays avios
20 = barclaycard premium
13.95 = national trust</text>
  </threadedComment>
  <threadedComment ref="E29" dT="2023-07-24T16:36:14.82" personId="{00000000-0000-0000-0000-000000000000}" id="{2841D7A2-D722-441D-9A68-FD95142756CD}">
    <text>This is going towards CC</text>
  </threadedComment>
  <threadedComment ref="F43" dT="2025-11-27T17:12:34.89" personId="{00000000-0000-0000-0000-000000000000}" id="{7CEE0FC8-5170-470A-A6BC-F046D3A50447}">
    <text>1062 = emergency fund balance
675 = bonus
400 = matt FB overage + kris house of db dress</text>
  </threadedComment>
  <threadedComment ref="L44" dT="2026-05-31T20:02:22.09" personId="{00000000-0000-0000-0000-000000000000}" id="{5A747AFA-C5E3-4EA8-9037-8D0C4D094018}">
    <text>Kris return H&amp;M stuff</text>
  </threadedComment>
  <threadedComment ref="G46" dT="2025-11-25T11:29:58.97" personId="{00000000-0000-0000-0000-000000000000}" id="{8D604837-C9D6-46EE-9345-588A4FAA5DDA}">
    <text>3579.86 = wage
107 = payrise
20 = iphone drawdown
Rest = kris</text>
  </threadedComment>
  <threadedComment ref="E62" dT="2026-06-27T18:17:01.79" personId="{D1728A67-EEB6-4960-84F3-C06015A3837D}" id="{AA338227-2BC1-4429-90C4-9D2A7E247E2A}">
    <text>Kris owes 116.05 for shoes coming from July wage</text>
  </threadedComment>
</ThreadedComments>
</file>

<file path=xl/threadedComments/threadedComment116.xml><?xml version="1.0" encoding="utf-8"?>
<ThreadedComments xmlns="http://schemas.microsoft.com/office/spreadsheetml/2018/threadedcomments" xmlns:x="http://schemas.openxmlformats.org/spreadsheetml/2006/main">
  <threadedComment ref="F6" dT="2026-02-28T15:57:41.48" personId="{00000000-0000-0000-0000-000000000000}" id="{230BA829-D761-F948-8CE5-5B6C1A153CC8}">
    <text>-20 for scotland</text>
  </threadedComment>
  <threadedComment ref="F7" dT="2026-02-28T15:57:47.51" personId="{00000000-0000-0000-0000-000000000000}" id="{00740C49-0288-C44E-B693-3D2D99E52E48}">
    <text>-50 for scotland</text>
  </threadedComment>
  <threadedComment ref="F10" dT="2026-05-29T09:13:37.63" personId="{00000000-0000-0000-0000-000000000000}" id="{18759EC8-9B5D-E14F-BB6D-B20E5C9EF655}">
    <text>Moved to sink</text>
  </threadedComment>
  <threadedComment ref="F15" dT="2026-01-20T23:14:03.07" personId="{00000000-0000-0000-0000-000000000000}" id="{DF7C7141-BE15-C947-B312-BF33E5EC95CD}">
    <text>Renews May 2026</text>
  </threadedComment>
  <threadedComment ref="F15" dT="2026-03-23T14:21:17.98" personId="{00000000-0000-0000-0000-000000000000}" id="{0F6EDBE1-CD49-0147-B8E1-DEB41E7CD8E6}" parentId="{DF7C7141-BE15-C947-B312-BF33E5EC95CD}">
    <text>Bumped + 15 for tentbox cover</text>
  </threadedComment>
  <threadedComment ref="F17" dT="2025-12-27T19:40:06.20" personId="{00000000-0000-0000-0000-000000000000}" id="{B0082011-2EFE-7743-8850-AFEBBEFD9F52}">
    <text>-5 for rewards</text>
  </threadedComment>
  <threadedComment ref="F18" dT="2026-01-20T22:57:20.11" personId="{00000000-0000-0000-0000-000000000000}" id="{5C271162-8C7C-ED40-9219-58E23089A3BB}">
    <text>Renewal: Aug 2026</text>
  </threadedComment>
  <threadedComment ref="F19" dT="2026-01-20T22:57:12.33" personId="{00000000-0000-0000-0000-000000000000}" id="{917E1A95-F35D-D44B-8C0B-355E11EB0841}">
    <text>Renewal: August 2026</text>
  </threadedComment>
  <threadedComment ref="F20" dT="2026-06-21T22:01:22.35" personId="{D1728A67-EEB6-4960-84F3-C06015A3837D}" id="{3E5F3541-6E8B-9145-9E7A-90F028B0B5B4}">
    <text>BMW insurance (aviva) = 04/11/2026
EVQ insurance (the aa) = 27/01/2027</text>
  </threadedComment>
  <threadedComment ref="F22" dT="2025-05-24T10:48:21.67" personId="{00000000-0000-0000-0000-000000000000}" id="{4A30DBC0-DE14-8E45-872C-634AA7207322}">
    <text>48 = mattress
137 = watch
25 = barclaycard</text>
  </threadedComment>
  <threadedComment ref="F24" dT="2026-01-27T10:17:13.23" personId="{00000000-0000-0000-0000-000000000000}" id="{7A3D9382-EB87-294C-B744-985843428E9A}">
    <text>18 = hair
100 = health ins</text>
  </threadedComment>
  <threadedComment ref="F25" dT="2024-06-30T22:06:36.96" personId="{00000000-0000-0000-0000-000000000000}" id="{19D437FB-81DD-C946-B5F7-3880C8242A14}">
    <text>10.49 = Onedrive
18 = Nationwide
4.99 = Netflix
0.99 = Printing
12 = barclays avios
20 = barclaycard premium
13.95 = national trust</text>
  </threadedComment>
  <threadedComment ref="E29" dT="2023-07-24T16:36:14.82" personId="{00000000-0000-0000-0000-000000000000}" id="{9E4FDB0C-2E0D-E547-B570-0DE57F3F3B10}">
    <text>This is going towards CC</text>
  </threadedComment>
  <threadedComment ref="F43" dT="2025-11-27T17:12:34.89" personId="{00000000-0000-0000-0000-000000000000}" id="{B0398DE7-87AA-6046-8D5E-37CEF7699E33}">
    <text>1062 = emergency fund balance
675 = bonus
400 = matt FB overage + kris house of db dress</text>
  </threadedComment>
  <threadedComment ref="L44" dT="2026-05-31T20:02:22.09" personId="{00000000-0000-0000-0000-000000000000}" id="{1A1B1308-A543-844C-945C-E41FC5B49149}">
    <text>Kris return H&amp;M stuff</text>
  </threadedComment>
  <threadedComment ref="G46" dT="2025-11-25T11:29:58.97" personId="{00000000-0000-0000-0000-000000000000}" id="{916CA156-F196-F046-8D91-398C4E5BC8D5}">
    <text>3579.86 = wage
107 = payrise
20 = iphone drawdown
Rest = kris</text>
  </threadedComment>
  <threadedComment ref="E62" dT="2026-06-27T18:17:01.79" personId="{D1728A67-EEB6-4960-84F3-C06015A3837D}" id="{F5074141-1192-454E-84E6-A2851A2881F0}">
    <text>Kris owes 116.05 for shoes coming from July wage</text>
  </threadedComment>
</ThreadedComments>
</file>

<file path=xl/threadedComments/threadedComment117.xml><?xml version="1.0" encoding="utf-8"?>
<ThreadedComments xmlns="http://schemas.microsoft.com/office/spreadsheetml/2018/threadedcomments" xmlns:x="http://schemas.openxmlformats.org/spreadsheetml/2006/main">
  <threadedComment ref="B8" dT="2026-02-28T11:18:58.50" personId="{00000000-0000-0000-0000-000000000000}" id="{C3F61ED4-C81E-4761-9A26-CD341E3BC68A}">
    <text>Only need outbound - kris going to vietnam</text>
  </threadedComment>
  <threadedComment ref="B10" dT="2026-02-28T11:20:31.77" personId="{00000000-0000-0000-0000-000000000000}" id="{8FBE08D0-8EC9-42C0-9A04-B9527EF476B3}">
    <text>Could cut by getting taxi / train</text>
  </threadedComment>
  <threadedComment ref="B27" dT="2026-06-16T21:34:10.32" personId="{D1728A67-EEB6-4960-84F3-C06015A3837D}" id="{C3AA39DE-A135-4A51-BA28-6C6E71F4F6BA}">
    <text>200 from Matt Aug wage
100 from Matt Sep wage
200 from Kris aug wage
100 from Kris sep wage</text>
  </threadedComment>
</ThreadedComments>
</file>

<file path=xl/threadedComments/threadedComment118.xml><?xml version="1.0" encoding="utf-8"?>
<ThreadedComments xmlns="http://schemas.microsoft.com/office/spreadsheetml/2018/threadedcomments" xmlns:x="http://schemas.openxmlformats.org/spreadsheetml/2006/main">
  <threadedComment ref="B10" dT="2026-02-28T11:18:58.50" personId="{00000000-0000-0000-0000-000000000000}" id="{B3FC2E3D-A539-4371-9594-4F6441BB2731}">
    <text>Only need outbound - kris going to vietnam</text>
  </threadedComment>
  <threadedComment ref="B13" dT="2026-02-28T11:20:31.77" personId="{00000000-0000-0000-0000-000000000000}" id="{5686D691-976C-4B58-BBBD-C1F8920A2FBD}">
    <text>Could cut by getting taxi / train</text>
  </threadedComment>
  <threadedComment ref="B20" dT="2026-06-16T21:34:10.32" personId="{D1728A67-EEB6-4960-84F3-C06015A3837D}" id="{F52C4BBE-0796-46E8-8AD4-223BFAC67797}">
    <text>200 from Matt Aug wage
100 from Matt Sep wage
200 from Kris aug wage
100 from Kris sep wage</text>
  </threadedComment>
</ThreadedComments>
</file>

<file path=xl/threadedComments/threadedComment119.xml><?xml version="1.0" encoding="utf-8"?>
<ThreadedComments xmlns="http://schemas.microsoft.com/office/spreadsheetml/2018/threadedcomments" xmlns:x="http://schemas.openxmlformats.org/spreadsheetml/2006/main">
  <threadedComment ref="B8" dT="2026-02-28T11:18:58.50" personId="{00000000-0000-0000-0000-000000000000}" id="{D1E1D916-8B54-E849-A2F7-2C0583FD37CC}">
    <text>Only need outbound - kris going to vietnam</text>
  </threadedComment>
  <threadedComment ref="B14" dT="2026-06-16T21:34:10.32" personId="{D1728A67-EEB6-4960-84F3-C06015A3837D}" id="{77CBF3B9-683F-5540-9532-32FDA58A259A}">
    <text>200 from Matt Aug wage
100 from Matt Sep wage
200 from Kris aug wage
100 from Kris sep wage</text>
  </threadedComment>
</ThreadedComments>
</file>

<file path=xl/threadedComments/threadedComment120.xml><?xml version="1.0" encoding="utf-8"?>
<ThreadedComments xmlns="http://schemas.microsoft.com/office/spreadsheetml/2018/threadedcomments" xmlns:x="http://schemas.openxmlformats.org/spreadsheetml/2006/main">
  <threadedComment ref="B8" dT="2026-02-28T11:18:58.50" personId="{00000000-0000-0000-0000-000000000000}" id="{BE69CECC-B333-1B46-B1A8-8EE4C85A4DFC}">
    <text>Only need outbound - kris going to vietnam</text>
  </threadedComment>
  <threadedComment ref="B14" dT="2026-06-16T21:34:10.32" personId="{D1728A67-EEB6-4960-84F3-C06015A3837D}" id="{9F4BC156-1868-0748-B8F4-C2A298B7BB67}">
    <text>200 from Matt Aug wage
100 from Matt Sep wage
200 from Kris aug wage
100 from Kris sep wage</text>
  </threadedComment>
</ThreadedComments>
</file>

<file path=xl/threadedComments/threadedComment121.xml><?xml version="1.0" encoding="utf-8"?>
<ThreadedComments xmlns="http://schemas.microsoft.com/office/spreadsheetml/2018/threadedcomments" xmlns:x="http://schemas.openxmlformats.org/spreadsheetml/2006/main">
  <threadedComment ref="B7" dT="2026-02-28T11:18:58.50" personId="{00000000-0000-0000-0000-000000000000}" id="{6F0E0FBA-3C9B-4416-A08B-D2FF00033656}">
    <text>Only need outbound - kris going to vietnam</text>
  </threadedComment>
  <threadedComment ref="B9" dT="2026-02-28T11:20:31.77" personId="{00000000-0000-0000-0000-000000000000}" id="{17BB8571-F573-4950-8FB1-30D800EDF3EE}">
    <text>Could cut by getting taxi / train</text>
  </threadedComment>
  <threadedComment ref="B19" dT="2026-06-16T21:34:10.32" personId="{D1728A67-EEB6-4960-84F3-C06015A3837D}" id="{5C8E2CBD-F313-45B0-8C7B-DD27121584E7}">
    <text>200 from Matt Aug wage
100 from Matt Sep wage
200 from Kris aug wage
100 from Kris sep wage</text>
  </threadedComment>
</ThreadedComments>
</file>

<file path=xl/threadedComments/threadedComment122.xml><?xml version="1.0" encoding="utf-8"?>
<ThreadedComments xmlns="http://schemas.microsoft.com/office/spreadsheetml/2018/threadedcomments" xmlns:x="http://schemas.openxmlformats.org/spreadsheetml/2006/main">
  <threadedComment ref="B8" dT="2026-02-28T11:18:58.50" personId="{00000000-0000-0000-0000-000000000000}" id="{F0165034-5053-4337-9AC1-87A3001D3A3C}">
    <text>Only need outbound - kris going to vietnam</text>
  </threadedComment>
  <threadedComment ref="B10" dT="2026-02-28T11:20:31.77" personId="{00000000-0000-0000-0000-000000000000}" id="{4C64ECA6-2F59-4838-8E0C-110434C52A4F}">
    <text>Could cut by getting taxi / train</text>
  </threadedComment>
  <threadedComment ref="B20" dT="2026-04-21T10:59:40.32" personId="{00000000-0000-0000-0000-000000000000}" id="{C2A3B628-068F-471E-BF32-53E418E2EF66}">
    <text>100 contribution from matt</text>
  </threadedComment>
</ThreadedComments>
</file>

<file path=xl/threadedComments/threadedComment123.xml><?xml version="1.0" encoding="utf-8"?>
<ThreadedComments xmlns="http://schemas.microsoft.com/office/spreadsheetml/2018/threadedcomments" xmlns:x="http://schemas.openxmlformats.org/spreadsheetml/2006/main">
  <threadedComment ref="B4" dT="2026-01-03T13:24:08.75" personId="{00000000-0000-0000-0000-000000000000}" id="{AB31F0E0-8E0B-5C43-A407-A0800B29BCC7}">
    <text>Luna will be dropped at home on the Friday</text>
  </threadedComment>
  <threadedComment ref="E8" dT="2026-04-21T16:26:02.27" personId="{00000000-0000-0000-0000-000000000000}" id="{5EF91354-4751-4128-AC30-9AD08EE93BA6}">
    <text>Avios hotel rate</text>
  </threadedComment>
  <threadedComment ref="E10" dT="2026-04-21T16:26:12.29" personId="{00000000-0000-0000-0000-000000000000}" id="{60BF283A-1312-4FA0-B321-54BAA0667384}">
    <text>Aph rate</text>
  </threadedComment>
  <threadedComment ref="E12" dT="2026-04-21T16:26:18.71" personId="{00000000-0000-0000-0000-000000000000}" id="{D1E426ED-C53D-4D11-9437-30FA20792D30}">
    <text>Avis rate</text>
  </threadedComment>
  <threadedComment ref="B13" dT="2026-01-03T13:51:20.62" personId="{00000000-0000-0000-0000-000000000000}" id="{3CD19DD8-B3C5-544F-A14F-28BC19BD388B}">
    <text>Over estimated: 1350 miles @ 20mpg @ $3.80/gal = approx $300 / £222</text>
  </threadedComment>
  <threadedComment ref="B13" dT="2026-01-03T13:53:21.96" personId="{00000000-0000-0000-0000-000000000000}" id="{2D4AC0B8-594E-BC40-AAF8-D1F742ACD6BC}" parentId="{3CD19DD8-B3C5-544F-A14F-28BC19BD388B}">
    <text>See ChatGPT chat for deets</text>
  </threadedComment>
  <threadedComment ref="B16" dT="2026-01-03T13:41:04.88" personId="{00000000-0000-0000-0000-000000000000}" id="{A56AC6FF-678E-1741-96B6-772A42BA7AA5}">
    <text>Bryce</text>
  </threadedComment>
</ThreadedComments>
</file>

<file path=xl/threadedComments/threadedComment124.xml><?xml version="1.0" encoding="utf-8"?>
<ThreadedComments xmlns="http://schemas.microsoft.com/office/spreadsheetml/2018/threadedcomments" xmlns:x="http://schemas.openxmlformats.org/spreadsheetml/2006/main">
  <threadedComment ref="B4" dT="2026-01-03T13:24:08.75" personId="{00000000-0000-0000-0000-000000000000}" id="{2CE64ED5-5458-44DB-B6F3-08BE08DF4518}">
    <text>Luna will be dropped at home on the Friday</text>
  </threadedComment>
  <threadedComment ref="E8" dT="2026-04-21T16:26:02.27" personId="{00000000-0000-0000-0000-000000000000}" id="{68F1B71A-E34C-4806-8173-A78037EB91DB}">
    <text>Avios hotel rate</text>
  </threadedComment>
  <threadedComment ref="E10" dT="2026-04-21T16:26:12.29" personId="{00000000-0000-0000-0000-000000000000}" id="{14F587E4-A5E1-4A04-B9BE-13FEB08EBB15}">
    <text>Aph rate</text>
  </threadedComment>
  <threadedComment ref="E12" dT="2026-04-21T16:26:18.71" personId="{00000000-0000-0000-0000-000000000000}" id="{AD2A98C0-3F0C-4AC3-A03D-3FDA5884499C}">
    <text>Avis rate</text>
  </threadedComment>
  <threadedComment ref="B13" dT="2026-01-03T13:51:20.62" personId="{00000000-0000-0000-0000-000000000000}" id="{E6FA034A-46BB-49D6-8852-03F509196869}">
    <text>Over estimated: 1350 miles @ 20mpg @ $3.80/gal = approx $300 / £222</text>
  </threadedComment>
  <threadedComment ref="B13" dT="2026-01-03T13:53:21.96" personId="{00000000-0000-0000-0000-000000000000}" id="{83F5AC4B-BFA3-4D94-9939-1BBBF8140801}" parentId="{E6FA034A-46BB-49D6-8852-03F509196869}">
    <text>See ChatGPT chat for deets</text>
  </threadedComment>
  <threadedComment ref="B16" dT="2026-01-03T13:41:04.88" personId="{00000000-0000-0000-0000-000000000000}" id="{61C6B19F-56DF-4F1D-94B2-80CE0FD38185}">
    <text>Bryce</text>
  </threadedComment>
</ThreadedComments>
</file>

<file path=xl/threadedComments/threadedComment125.xml><?xml version="1.0" encoding="utf-8"?>
<ThreadedComments xmlns="http://schemas.microsoft.com/office/spreadsheetml/2018/threadedcomments" xmlns:x="http://schemas.openxmlformats.org/spreadsheetml/2006/main">
  <threadedComment ref="G1" dT="2025-06-23T14:22:46.67" personId="{00000000-0000-0000-0000-000000000000}" id="{2B8F2689-EE8B-4C99-9605-72FDD6D33FD4}">
    <text>UPDATED: 23/06/2025</text>
  </threadedComment>
  <threadedComment ref="P1" dT="2022-08-12T23:48:27.50" personId="{00000000-0000-0000-0000-000000000000}" id="{DC92D114-C09B-445B-8F74-274D79F1F074}">
    <text>Cost of finance less car sale at 1500</text>
  </threadedComment>
  <threadedComment ref="A11" dT="2025-06-23T15:51:39.18" personId="{00000000-0000-0000-0000-000000000000}" id="{C6D3826C-1DA1-4EF1-93E3-222E4FA415BC}">
    <text>23/06/2025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P@H" TargetMode="External"/><Relationship Id="rId1" Type="http://schemas.openxmlformats.org/officeDocument/2006/relationships/hyperlink" Target="mailto:P@H" TargetMode="External"/><Relationship Id="rId6" Type="http://schemas.microsoft.com/office/2017/10/relationships/threadedComment" Target="../threadedComments/threadedComment3.xml"/><Relationship Id="rId5" Type="http://schemas.openxmlformats.org/officeDocument/2006/relationships/comments" Target="../comments21.xml"/><Relationship Id="rId4" Type="http://schemas.openxmlformats.org/officeDocument/2006/relationships/vmlDrawing" Target="../drawings/vmlDrawing21.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59.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1.xml.rels><?xml version="1.0" encoding="UTF-8" standalone="yes"?>
<Relationships xmlns="http://schemas.openxmlformats.org/package/2006/relationships"><Relationship Id="rId8" Type="http://schemas.openxmlformats.org/officeDocument/2006/relationships/comments" Target="../comments24.xml"/><Relationship Id="rId3" Type="http://schemas.openxmlformats.org/officeDocument/2006/relationships/hyperlink" Target="https://www.shopping.ba.com/retailers/lululemon-uk" TargetMode="External"/><Relationship Id="rId7" Type="http://schemas.openxmlformats.org/officeDocument/2006/relationships/vmlDrawing" Target="../drawings/vmlDrawing24.vml"/><Relationship Id="rId2" Type="http://schemas.openxmlformats.org/officeDocument/2006/relationships/hyperlink" Target="https://www.britishairways.com/en-gb/executive-club/collecting-avios/personalbanking/cabin-upgrade-terms" TargetMode="External"/><Relationship Id="rId1" Type="http://schemas.openxmlformats.org/officeDocument/2006/relationships/hyperlink" Target="https://www.britishairways.com/content/executive-club/offers/terms-and-conditions/amex-companion" TargetMode="External"/><Relationship Id="rId6" Type="http://schemas.openxmlformats.org/officeDocument/2006/relationships/hyperlink" Target="https://www.britishairways.com/travel/redeem/execclub/_gf/en_gb?eId=106019&amp;tab_selected=redeem&amp;redemption_type=STD_RED" TargetMode="External"/><Relationship Id="rId5" Type="http://schemas.openxmlformats.org/officeDocument/2006/relationships/hyperlink" Target="https://rewards.ba.com/en-GB?tab=hotels" TargetMode="External"/><Relationship Id="rId4" Type="http://schemas.openxmlformats.org/officeDocument/2006/relationships/hyperlink" Target="https://pgt.shopping.ba.com/booster" TargetMode="External"/><Relationship Id="rId9" Type="http://schemas.microsoft.com/office/2017/10/relationships/threadedComment" Target="../threadedComments/threadedComment6.xml"/></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3.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11.bin"/><Relationship Id="rId4" Type="http://schemas.microsoft.com/office/2017/10/relationships/threadedComment" Target="../threadedComments/threadedComment8.xml"/></Relationships>
</file>

<file path=xl/worksheets/_rels/sheet65.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12.bin"/><Relationship Id="rId4" Type="http://schemas.microsoft.com/office/2017/10/relationships/threadedComment" Target="../threadedComments/threadedComment9.xml"/></Relationships>
</file>

<file path=xl/worksheets/_rels/sheet66.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13.bin"/><Relationship Id="rId4" Type="http://schemas.microsoft.com/office/2017/10/relationships/threadedComment" Target="../threadedComments/threadedComment10.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14.bin"/><Relationship Id="rId4" Type="http://schemas.microsoft.com/office/2017/10/relationships/threadedComment" Target="../threadedComments/threadedComment11.xml"/></Relationships>
</file>

<file path=xl/worksheets/_rels/sheet68.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15.bin"/><Relationship Id="rId4" Type="http://schemas.microsoft.com/office/2017/10/relationships/threadedComment" Target="../threadedComments/threadedComment12.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tudent-loan-calculator.co.uk/" TargetMode="External"/></Relationships>
</file>

<file path=xl/worksheets/_rels/sheet70.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16.bin"/><Relationship Id="rId4" Type="http://schemas.microsoft.com/office/2017/10/relationships/threadedComment" Target="../threadedComments/threadedComment13.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17.bin"/><Relationship Id="rId4" Type="http://schemas.microsoft.com/office/2017/10/relationships/threadedComment" Target="../threadedComments/threadedComment14.xml"/></Relationships>
</file>

<file path=xl/worksheets/_rels/sheet72.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18.bin"/><Relationship Id="rId4" Type="http://schemas.microsoft.com/office/2017/10/relationships/threadedComment" Target="../threadedComments/threadedComment15.xml"/></Relationships>
</file>

<file path=xl/worksheets/_rels/sheet73.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19.bin"/><Relationship Id="rId4" Type="http://schemas.microsoft.com/office/2017/10/relationships/threadedComment" Target="../threadedComments/threadedComment16.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20.bin"/><Relationship Id="rId4" Type="http://schemas.microsoft.com/office/2017/10/relationships/threadedComment" Target="../threadedComments/threadedComment17.xml"/></Relationships>
</file>

<file path=xl/worksheets/_rels/sheet75.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21.bin"/><Relationship Id="rId4" Type="http://schemas.microsoft.com/office/2017/10/relationships/threadedComment" Target="../threadedComments/threadedComment18.xml"/></Relationships>
</file>

<file path=xl/worksheets/_rels/sheet76.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22.bin"/><Relationship Id="rId4" Type="http://schemas.microsoft.com/office/2017/10/relationships/threadedComment" Target="../threadedComments/threadedComment19.xml"/></Relationships>
</file>

<file path=xl/worksheets/_rels/sheet77.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23.bin"/><Relationship Id="rId4" Type="http://schemas.microsoft.com/office/2017/10/relationships/threadedComment" Target="../threadedComments/threadedComment20.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24.bin"/><Relationship Id="rId4" Type="http://schemas.microsoft.com/office/2017/10/relationships/threadedComment" Target="../threadedComments/threadedComment21.xml"/></Relationships>
</file>

<file path=xl/worksheets/_rels/sheet79.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25.bin"/><Relationship Id="rId4" Type="http://schemas.microsoft.com/office/2017/10/relationships/threadedComment" Target="../threadedComments/threadedComment22.xml"/></Relationships>
</file>

<file path=xl/worksheets/_rels/sheet80.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26.bin"/><Relationship Id="rId4" Type="http://schemas.microsoft.com/office/2017/10/relationships/threadedComment" Target="../threadedComments/threadedComment23.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27.bin"/><Relationship Id="rId4" Type="http://schemas.microsoft.com/office/2017/10/relationships/threadedComment" Target="../threadedComments/threadedComment24.xml"/></Relationships>
</file>

<file path=xl/worksheets/_rels/sheet82.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28.bin"/><Relationship Id="rId4" Type="http://schemas.microsoft.com/office/2017/10/relationships/threadedComment" Target="../threadedComments/threadedComment25.xml"/></Relationships>
</file>

<file path=xl/worksheets/_rels/sheet83.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29.bin"/><Relationship Id="rId4" Type="http://schemas.microsoft.com/office/2017/10/relationships/threadedComment" Target="../threadedComments/threadedComment26.xml"/></Relationships>
</file>

<file path=xl/worksheets/_rels/sheet84.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30.bin"/><Relationship Id="rId4" Type="http://schemas.microsoft.com/office/2017/10/relationships/threadedComment" Target="../threadedComments/threadedComment27.xml"/></Relationships>
</file>

<file path=xl/worksheets/_rels/sheet85.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31.bin"/><Relationship Id="rId4" Type="http://schemas.microsoft.com/office/2017/10/relationships/threadedComment" Target="../threadedComments/threadedComment28.xml"/></Relationships>
</file>

<file path=xl/worksheets/_rels/sheet86.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32.bin"/><Relationship Id="rId4" Type="http://schemas.microsoft.com/office/2017/10/relationships/threadedComment" Target="../threadedComments/threadedComment29.xml"/></Relationships>
</file>

<file path=xl/worksheets/_rels/sheet87.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33.bin"/><Relationship Id="rId4" Type="http://schemas.microsoft.com/office/2017/10/relationships/threadedComment" Target="../threadedComments/threadedComment30.xml"/></Relationships>
</file>

<file path=xl/worksheets/_rels/sheet88.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34.bin"/><Relationship Id="rId4" Type="http://schemas.microsoft.com/office/2017/10/relationships/threadedComment" Target="../threadedComments/threadedComment31.xml"/></Relationships>
</file>

<file path=xl/worksheets/_rels/sheet89.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35.bin"/><Relationship Id="rId4" Type="http://schemas.microsoft.com/office/2017/10/relationships/threadedComment" Target="../threadedComments/threadedComment32.xml"/></Relationships>
</file>

<file path=xl/worksheets/_rels/sheet90.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36.bin"/><Relationship Id="rId4" Type="http://schemas.microsoft.com/office/2017/10/relationships/threadedComment" Target="../threadedComments/threadedComment33.xml"/></Relationships>
</file>

<file path=xl/worksheets/_rels/sheet91.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37.bin"/><Relationship Id="rId4" Type="http://schemas.microsoft.com/office/2017/10/relationships/threadedComment" Target="../threadedComments/threadedComment34.xml"/></Relationships>
</file>

<file path=xl/worksheets/_rels/sheet92.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38.bin"/><Relationship Id="rId4" Type="http://schemas.microsoft.com/office/2017/10/relationships/threadedComment" Target="../threadedComments/threadedComment35.xml"/></Relationships>
</file>

<file path=xl/worksheets/_rels/sheet93.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39.bin"/><Relationship Id="rId4" Type="http://schemas.microsoft.com/office/2017/10/relationships/threadedComment" Target="../threadedComments/threadedComment36.xml"/></Relationships>
</file>

<file path=xl/worksheets/_rels/sheet94.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40.bin"/><Relationship Id="rId4" Type="http://schemas.microsoft.com/office/2017/10/relationships/threadedComment" Target="../threadedComments/threadedComment37.xml"/></Relationships>
</file>

<file path=xl/worksheets/_rels/sheet95.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41.bin"/><Relationship Id="rId4" Type="http://schemas.microsoft.com/office/2017/10/relationships/threadedComment" Target="../threadedComments/threadedComment38.xml"/></Relationships>
</file>

<file path=xl/worksheets/_rels/sheet96.xml.rels><?xml version="1.0" encoding="UTF-8" standalone="yes"?>
<Relationships xmlns="http://schemas.openxmlformats.org/package/2006/relationships"><Relationship Id="rId3" Type="http://schemas.openxmlformats.org/officeDocument/2006/relationships/vmlDrawing" Target="../drawings/vmlDrawing57.vml"/><Relationship Id="rId2" Type="http://schemas.openxmlformats.org/officeDocument/2006/relationships/printerSettings" Target="../printerSettings/printerSettings42.bin"/><Relationship Id="rId1" Type="http://schemas.openxmlformats.org/officeDocument/2006/relationships/hyperlink" Target="https://www.moneysavingexpert.com/latesttip/?anchor=virgin" TargetMode="External"/><Relationship Id="rId5" Type="http://schemas.microsoft.com/office/2017/10/relationships/threadedComment" Target="../threadedComments/threadedComment39.xml"/><Relationship Id="rId4" Type="http://schemas.openxmlformats.org/officeDocument/2006/relationships/comments" Target="../comments57.xml"/></Relationships>
</file>

<file path=xl/worksheets/_rels/sheet97.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printerSettings" Target="../printerSettings/printerSettings43.bin"/><Relationship Id="rId4" Type="http://schemas.microsoft.com/office/2017/10/relationships/threadedComment" Target="../threadedComments/threadedComment40.xml"/></Relationships>
</file>

<file path=xl/worksheets/_rels/sheet98.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44.bin"/><Relationship Id="rId4" Type="http://schemas.microsoft.com/office/2017/10/relationships/threadedComment" Target="../threadedComments/threadedComment41.xml"/></Relationships>
</file>

<file path=xl/worksheets/_rels/sheet100.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printerSettings" Target="../printerSettings/printerSettings45.bin"/><Relationship Id="rId4" Type="http://schemas.microsoft.com/office/2017/10/relationships/threadedComment" Target="../threadedComments/threadedComment42.xml"/></Relationships>
</file>

<file path=xl/worksheets/_rels/sheet101.xml.rels><?xml version="1.0" encoding="UTF-8" standalone="yes"?>
<Relationships xmlns="http://schemas.openxmlformats.org/package/2006/relationships"><Relationship Id="rId3" Type="http://schemas.openxmlformats.org/officeDocument/2006/relationships/comments" Target="../comments61.xml"/><Relationship Id="rId2" Type="http://schemas.openxmlformats.org/officeDocument/2006/relationships/vmlDrawing" Target="../drawings/vmlDrawing61.vml"/><Relationship Id="rId1" Type="http://schemas.openxmlformats.org/officeDocument/2006/relationships/printerSettings" Target="../printerSettings/printerSettings46.bin"/><Relationship Id="rId4" Type="http://schemas.microsoft.com/office/2017/10/relationships/threadedComment" Target="../threadedComments/threadedComment43.xml"/></Relationships>
</file>

<file path=xl/worksheets/_rels/sheet103.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printerSettings" Target="../printerSettings/printerSettings47.bin"/><Relationship Id="rId4" Type="http://schemas.microsoft.com/office/2017/10/relationships/threadedComment" Target="../threadedComments/threadedComment44.xml"/></Relationships>
</file>

<file path=xl/worksheets/_rels/sheet104.xml.rels><?xml version="1.0" encoding="UTF-8" standalone="yes"?>
<Relationships xmlns="http://schemas.openxmlformats.org/package/2006/relationships"><Relationship Id="rId8" Type="http://schemas.openxmlformats.org/officeDocument/2006/relationships/hyperlink" Target="https://www.thesalarycalculator.co.uk/salary.php" TargetMode="External"/><Relationship Id="rId13" Type="http://schemas.openxmlformats.org/officeDocument/2006/relationships/hyperlink" Target="https://www.thesalarycalculator.co.uk/salary.php" TargetMode="External"/><Relationship Id="rId18" Type="http://schemas.microsoft.com/office/2017/10/relationships/threadedComment" Target="../threadedComments/threadedComment45.xml"/><Relationship Id="rId3" Type="http://schemas.openxmlformats.org/officeDocument/2006/relationships/hyperlink" Target="https://www.thesalarycalculator.co.uk/salary.php" TargetMode="External"/><Relationship Id="rId7" Type="http://schemas.openxmlformats.org/officeDocument/2006/relationships/hyperlink" Target="https://www.thesalarycalculator.co.uk/salary.php" TargetMode="External"/><Relationship Id="rId12" Type="http://schemas.openxmlformats.org/officeDocument/2006/relationships/hyperlink" Target="https://www.thesalarycalculator.co.uk/salary.php" TargetMode="External"/><Relationship Id="rId17" Type="http://schemas.openxmlformats.org/officeDocument/2006/relationships/comments" Target="../comments63.xml"/><Relationship Id="rId2" Type="http://schemas.openxmlformats.org/officeDocument/2006/relationships/hyperlink" Target="https://www.thesalarycalculator.co.uk/salary.php" TargetMode="External"/><Relationship Id="rId16" Type="http://schemas.openxmlformats.org/officeDocument/2006/relationships/vmlDrawing" Target="../drawings/vmlDrawing63.vml"/><Relationship Id="rId1" Type="http://schemas.openxmlformats.org/officeDocument/2006/relationships/hyperlink" Target="https://www.thesalarycalculator.co.uk/salary.php" TargetMode="External"/><Relationship Id="rId6" Type="http://schemas.openxmlformats.org/officeDocument/2006/relationships/hyperlink" Target="https://www.thesalarycalculator.co.uk/salary.php" TargetMode="External"/><Relationship Id="rId11" Type="http://schemas.openxmlformats.org/officeDocument/2006/relationships/hyperlink" Target="https://www.thesalarycalculator.co.uk/salary.php" TargetMode="External"/><Relationship Id="rId5" Type="http://schemas.openxmlformats.org/officeDocument/2006/relationships/hyperlink" Target="https://www.thesalarycalculator.co.uk/salary.php" TargetMode="External"/><Relationship Id="rId15" Type="http://schemas.openxmlformats.org/officeDocument/2006/relationships/printerSettings" Target="../printerSettings/printerSettings48.bin"/><Relationship Id="rId10" Type="http://schemas.openxmlformats.org/officeDocument/2006/relationships/hyperlink" Target="https://www.thesalarycalculator.co.uk/salary.php" TargetMode="External"/><Relationship Id="rId4" Type="http://schemas.openxmlformats.org/officeDocument/2006/relationships/hyperlink" Target="https://www.thesalarycalculator.co.uk/salary.php" TargetMode="External"/><Relationship Id="rId9" Type="http://schemas.openxmlformats.org/officeDocument/2006/relationships/hyperlink" Target="https://www.thesalarycalculator.co.uk/salary.php" TargetMode="External"/><Relationship Id="rId14" Type="http://schemas.openxmlformats.org/officeDocument/2006/relationships/hyperlink" Target="https://www.thesalarycalculator.co.uk/salary.php" TargetMode="External"/></Relationships>
</file>

<file path=xl/worksheets/_rels/sheet105.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printerSettings" Target="../printerSettings/printerSettings49.bin"/><Relationship Id="rId4" Type="http://schemas.microsoft.com/office/2017/10/relationships/threadedComment" Target="../threadedComments/threadedComment46.xml"/></Relationships>
</file>

<file path=xl/worksheets/_rels/sheet106.xml.rels><?xml version="1.0" encoding="UTF-8" standalone="yes"?>
<Relationships xmlns="http://schemas.openxmlformats.org/package/2006/relationships"><Relationship Id="rId3" Type="http://schemas.openxmlformats.org/officeDocument/2006/relationships/comments" Target="../comments65.xml"/><Relationship Id="rId2" Type="http://schemas.openxmlformats.org/officeDocument/2006/relationships/vmlDrawing" Target="../drawings/vmlDrawing65.vml"/><Relationship Id="rId1" Type="http://schemas.openxmlformats.org/officeDocument/2006/relationships/printerSettings" Target="../printerSettings/printerSettings50.bin"/><Relationship Id="rId4" Type="http://schemas.microsoft.com/office/2017/10/relationships/threadedComment" Target="../threadedComments/threadedComment47.xml"/></Relationships>
</file>

<file path=xl/worksheets/_rels/sheet107.xml.rels><?xml version="1.0" encoding="UTF-8" standalone="yes"?>
<Relationships xmlns="http://schemas.openxmlformats.org/package/2006/relationships"><Relationship Id="rId3" Type="http://schemas.openxmlformats.org/officeDocument/2006/relationships/comments" Target="../comments66.xml"/><Relationship Id="rId2" Type="http://schemas.openxmlformats.org/officeDocument/2006/relationships/vmlDrawing" Target="../drawings/vmlDrawing66.vml"/><Relationship Id="rId1" Type="http://schemas.openxmlformats.org/officeDocument/2006/relationships/printerSettings" Target="../printerSettings/printerSettings51.bin"/><Relationship Id="rId4" Type="http://schemas.microsoft.com/office/2017/10/relationships/threadedComment" Target="../threadedComments/threadedComment48.xml"/></Relationships>
</file>

<file path=xl/worksheets/_rels/sheet108.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printerSettings" Target="../printerSettings/printerSettings52.bin"/><Relationship Id="rId4" Type="http://schemas.microsoft.com/office/2017/10/relationships/threadedComment" Target="../threadedComments/threadedComment49.xml"/></Relationships>
</file>

<file path=xl/worksheets/_rels/sheet109.xml.rels><?xml version="1.0" encoding="UTF-8" standalone="yes"?>
<Relationships xmlns="http://schemas.openxmlformats.org/package/2006/relationships"><Relationship Id="rId3" Type="http://schemas.openxmlformats.org/officeDocument/2006/relationships/comments" Target="../comments68.xml"/><Relationship Id="rId2" Type="http://schemas.openxmlformats.org/officeDocument/2006/relationships/vmlDrawing" Target="../drawings/vmlDrawing68.vml"/><Relationship Id="rId1" Type="http://schemas.openxmlformats.org/officeDocument/2006/relationships/printerSettings" Target="../printerSettings/printerSettings53.bin"/><Relationship Id="rId4" Type="http://schemas.microsoft.com/office/2017/10/relationships/threadedComment" Target="../threadedComments/threadedComment50.xml"/></Relationships>
</file>

<file path=xl/worksheets/_rels/sheet110.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printerSettings" Target="../printerSettings/printerSettings54.bin"/><Relationship Id="rId4" Type="http://schemas.microsoft.com/office/2017/10/relationships/threadedComment" Target="../threadedComments/threadedComment51.xml"/></Relationships>
</file>

<file path=xl/worksheets/_rels/sheet111.xml.rels><?xml version="1.0" encoding="UTF-8" standalone="yes"?>
<Relationships xmlns="http://schemas.openxmlformats.org/package/2006/relationships"><Relationship Id="rId3" Type="http://schemas.microsoft.com/office/2017/10/relationships/threadedComment" Target="../threadedComments/threadedComment52.xml"/><Relationship Id="rId2" Type="http://schemas.openxmlformats.org/officeDocument/2006/relationships/comments" Target="../comments70.xml"/><Relationship Id="rId1" Type="http://schemas.openxmlformats.org/officeDocument/2006/relationships/vmlDrawing" Target="../drawings/vmlDrawing70.vml"/></Relationships>
</file>

<file path=xl/worksheets/_rels/sheet112.xml.rels><?xml version="1.0" encoding="UTF-8" standalone="yes"?>
<Relationships xmlns="http://schemas.openxmlformats.org/package/2006/relationships"><Relationship Id="rId3" Type="http://schemas.microsoft.com/office/2017/10/relationships/threadedComment" Target="../threadedComments/threadedComment53.xml"/><Relationship Id="rId2" Type="http://schemas.openxmlformats.org/officeDocument/2006/relationships/comments" Target="../comments71.xml"/><Relationship Id="rId1" Type="http://schemas.openxmlformats.org/officeDocument/2006/relationships/vmlDrawing" Target="../drawings/vmlDrawing71.vml"/></Relationships>
</file>

<file path=xl/worksheets/_rels/sheet114.xml.rels><?xml version="1.0" encoding="UTF-8" standalone="yes"?>
<Relationships xmlns="http://schemas.openxmlformats.org/package/2006/relationships"><Relationship Id="rId3" Type="http://schemas.microsoft.com/office/2017/10/relationships/threadedComment" Target="../threadedComments/threadedComment54.xml"/><Relationship Id="rId2" Type="http://schemas.openxmlformats.org/officeDocument/2006/relationships/comments" Target="../comments72.xml"/><Relationship Id="rId1" Type="http://schemas.openxmlformats.org/officeDocument/2006/relationships/vmlDrawing" Target="../drawings/vmlDrawing72.vml"/></Relationships>
</file>

<file path=xl/worksheets/_rels/sheet115.xml.rels><?xml version="1.0" encoding="UTF-8" standalone="yes"?>
<Relationships xmlns="http://schemas.openxmlformats.org/package/2006/relationships"><Relationship Id="rId3" Type="http://schemas.openxmlformats.org/officeDocument/2006/relationships/hyperlink" Target="https://www.ebay.co.uk/itm/335287400160" TargetMode="External"/><Relationship Id="rId2" Type="http://schemas.openxmlformats.org/officeDocument/2006/relationships/hyperlink" Target="https://www.ebay.co.uk/itm/165002805902" TargetMode="External"/><Relationship Id="rId1" Type="http://schemas.openxmlformats.org/officeDocument/2006/relationships/hyperlink" Target="https://www.ebay.co.uk/itm/116362748524" TargetMode="External"/><Relationship Id="rId4" Type="http://schemas.openxmlformats.org/officeDocument/2006/relationships/hyperlink" Target="https://www.ebay.co.uk/itm/135295895949" TargetMode="External"/></Relationships>
</file>

<file path=xl/worksheets/_rels/sheet116.xml.rels><?xml version="1.0" encoding="UTF-8" standalone="yes"?>
<Relationships xmlns="http://schemas.openxmlformats.org/package/2006/relationships"><Relationship Id="rId3" Type="http://schemas.openxmlformats.org/officeDocument/2006/relationships/comments" Target="../comments73.xml"/><Relationship Id="rId2" Type="http://schemas.openxmlformats.org/officeDocument/2006/relationships/vmlDrawing" Target="../drawings/vmlDrawing73.vml"/><Relationship Id="rId1" Type="http://schemas.openxmlformats.org/officeDocument/2006/relationships/printerSettings" Target="../printerSettings/printerSettings55.bin"/><Relationship Id="rId4" Type="http://schemas.microsoft.com/office/2017/10/relationships/threadedComment" Target="../threadedComments/threadedComment55.xml"/></Relationships>
</file>

<file path=xl/worksheets/_rels/sheet117.xml.rels><?xml version="1.0" encoding="UTF-8" standalone="yes"?>
<Relationships xmlns="http://schemas.openxmlformats.org/package/2006/relationships"><Relationship Id="rId3" Type="http://schemas.openxmlformats.org/officeDocument/2006/relationships/comments" Target="../comments74.xml"/><Relationship Id="rId2" Type="http://schemas.openxmlformats.org/officeDocument/2006/relationships/vmlDrawing" Target="../drawings/vmlDrawing74.vml"/><Relationship Id="rId1" Type="http://schemas.openxmlformats.org/officeDocument/2006/relationships/printerSettings" Target="../printerSettings/printerSettings56.bin"/><Relationship Id="rId4" Type="http://schemas.microsoft.com/office/2017/10/relationships/threadedComment" Target="../threadedComments/threadedComment56.xml"/></Relationships>
</file>

<file path=xl/worksheets/_rels/sheet118.xml.rels><?xml version="1.0" encoding="UTF-8" standalone="yes"?>
<Relationships xmlns="http://schemas.openxmlformats.org/package/2006/relationships"><Relationship Id="rId3" Type="http://schemas.openxmlformats.org/officeDocument/2006/relationships/comments" Target="../comments75.xml"/><Relationship Id="rId2" Type="http://schemas.openxmlformats.org/officeDocument/2006/relationships/vmlDrawing" Target="../drawings/vmlDrawing75.vml"/><Relationship Id="rId1" Type="http://schemas.openxmlformats.org/officeDocument/2006/relationships/printerSettings" Target="../printerSettings/printerSettings57.bin"/><Relationship Id="rId4" Type="http://schemas.microsoft.com/office/2017/10/relationships/threadedComment" Target="../threadedComments/threadedComment57.xml"/></Relationships>
</file>

<file path=xl/worksheets/_rels/sheet119.xml.rels><?xml version="1.0" encoding="UTF-8" standalone="yes"?>
<Relationships xmlns="http://schemas.openxmlformats.org/package/2006/relationships"><Relationship Id="rId3" Type="http://schemas.openxmlformats.org/officeDocument/2006/relationships/comments" Target="../comments76.xml"/><Relationship Id="rId2" Type="http://schemas.openxmlformats.org/officeDocument/2006/relationships/vmlDrawing" Target="../drawings/vmlDrawing76.vml"/><Relationship Id="rId1" Type="http://schemas.openxmlformats.org/officeDocument/2006/relationships/printerSettings" Target="../printerSettings/printerSettings58.bin"/><Relationship Id="rId4" Type="http://schemas.microsoft.com/office/2017/10/relationships/threadedComment" Target="../threadedComments/threadedComment58.xml"/></Relationships>
</file>

<file path=xl/worksheets/_rels/sheet120.xml.rels><?xml version="1.0" encoding="UTF-8" standalone="yes"?>
<Relationships xmlns="http://schemas.openxmlformats.org/package/2006/relationships"><Relationship Id="rId3" Type="http://schemas.openxmlformats.org/officeDocument/2006/relationships/comments" Target="../comments77.xml"/><Relationship Id="rId2" Type="http://schemas.openxmlformats.org/officeDocument/2006/relationships/vmlDrawing" Target="../drawings/vmlDrawing77.vml"/><Relationship Id="rId1" Type="http://schemas.openxmlformats.org/officeDocument/2006/relationships/printerSettings" Target="../printerSettings/printerSettings59.bin"/><Relationship Id="rId4" Type="http://schemas.microsoft.com/office/2017/10/relationships/threadedComment" Target="../threadedComments/threadedComment59.xml"/></Relationships>
</file>

<file path=xl/worksheets/_rels/sheet121.xml.rels><?xml version="1.0" encoding="UTF-8" standalone="yes"?>
<Relationships xmlns="http://schemas.openxmlformats.org/package/2006/relationships"><Relationship Id="rId3" Type="http://schemas.openxmlformats.org/officeDocument/2006/relationships/comments" Target="../comments78.xml"/><Relationship Id="rId2" Type="http://schemas.openxmlformats.org/officeDocument/2006/relationships/vmlDrawing" Target="../drawings/vmlDrawing78.vml"/><Relationship Id="rId1" Type="http://schemas.openxmlformats.org/officeDocument/2006/relationships/printerSettings" Target="../printerSettings/printerSettings60.bin"/><Relationship Id="rId4" Type="http://schemas.microsoft.com/office/2017/10/relationships/threadedComment" Target="../threadedComments/threadedComment60.xml"/></Relationships>
</file>

<file path=xl/worksheets/_rels/sheet122.xml.rels><?xml version="1.0" encoding="UTF-8" standalone="yes"?>
<Relationships xmlns="http://schemas.openxmlformats.org/package/2006/relationships"><Relationship Id="rId3" Type="http://schemas.openxmlformats.org/officeDocument/2006/relationships/comments" Target="../comments79.xml"/><Relationship Id="rId2" Type="http://schemas.openxmlformats.org/officeDocument/2006/relationships/vmlDrawing" Target="../drawings/vmlDrawing79.vml"/><Relationship Id="rId1" Type="http://schemas.openxmlformats.org/officeDocument/2006/relationships/printerSettings" Target="../printerSettings/printerSettings61.bin"/><Relationship Id="rId4" Type="http://schemas.microsoft.com/office/2017/10/relationships/threadedComment" Target="../threadedComments/threadedComment61.xml"/></Relationships>
</file>

<file path=xl/worksheets/_rels/sheet123.xml.rels><?xml version="1.0" encoding="UTF-8" standalone="yes"?>
<Relationships xmlns="http://schemas.openxmlformats.org/package/2006/relationships"><Relationship Id="rId3" Type="http://schemas.openxmlformats.org/officeDocument/2006/relationships/comments" Target="../comments80.xml"/><Relationship Id="rId2" Type="http://schemas.openxmlformats.org/officeDocument/2006/relationships/vmlDrawing" Target="../drawings/vmlDrawing80.vml"/><Relationship Id="rId1" Type="http://schemas.openxmlformats.org/officeDocument/2006/relationships/printerSettings" Target="../printerSettings/printerSettings62.bin"/><Relationship Id="rId4" Type="http://schemas.microsoft.com/office/2017/10/relationships/threadedComment" Target="../threadedComments/threadedComment62.xml"/></Relationships>
</file>

<file path=xl/worksheets/_rels/sheet124.xml.rels><?xml version="1.0" encoding="UTF-8" standalone="yes"?>
<Relationships xmlns="http://schemas.openxmlformats.org/package/2006/relationships"><Relationship Id="rId3" Type="http://schemas.openxmlformats.org/officeDocument/2006/relationships/comments" Target="../comments81.xml"/><Relationship Id="rId2" Type="http://schemas.openxmlformats.org/officeDocument/2006/relationships/vmlDrawing" Target="../drawings/vmlDrawing81.vml"/><Relationship Id="rId1" Type="http://schemas.openxmlformats.org/officeDocument/2006/relationships/printerSettings" Target="../printerSettings/printerSettings63.bin"/><Relationship Id="rId4" Type="http://schemas.microsoft.com/office/2017/10/relationships/threadedComment" Target="../threadedComments/threadedComment63.xml"/></Relationships>
</file>

<file path=xl/worksheets/_rels/sheet125.xml.rels><?xml version="1.0" encoding="UTF-8" standalone="yes"?>
<Relationships xmlns="http://schemas.openxmlformats.org/package/2006/relationships"><Relationship Id="rId3" Type="http://schemas.openxmlformats.org/officeDocument/2006/relationships/comments" Target="../comments82.xml"/><Relationship Id="rId2" Type="http://schemas.openxmlformats.org/officeDocument/2006/relationships/vmlDrawing" Target="../drawings/vmlDrawing82.vml"/><Relationship Id="rId1" Type="http://schemas.openxmlformats.org/officeDocument/2006/relationships/printerSettings" Target="../printerSettings/printerSettings64.bin"/><Relationship Id="rId4" Type="http://schemas.microsoft.com/office/2017/10/relationships/threadedComment" Target="../threadedComments/threadedComment64.xml"/></Relationships>
</file>

<file path=xl/worksheets/_rels/sheet126.xml.rels><?xml version="1.0" encoding="UTF-8" standalone="yes"?>
<Relationships xmlns="http://schemas.openxmlformats.org/package/2006/relationships"><Relationship Id="rId3" Type="http://schemas.openxmlformats.org/officeDocument/2006/relationships/comments" Target="../comments83.xml"/><Relationship Id="rId2" Type="http://schemas.openxmlformats.org/officeDocument/2006/relationships/vmlDrawing" Target="../drawings/vmlDrawing83.vml"/><Relationship Id="rId1" Type="http://schemas.openxmlformats.org/officeDocument/2006/relationships/printerSettings" Target="../printerSettings/printerSettings65.bin"/><Relationship Id="rId4" Type="http://schemas.microsoft.com/office/2017/10/relationships/threadedComment" Target="../threadedComments/threadedComment65.xml"/></Relationships>
</file>

<file path=xl/worksheets/_rels/sheet127.xml.rels><?xml version="1.0" encoding="UTF-8" standalone="yes"?>
<Relationships xmlns="http://schemas.openxmlformats.org/package/2006/relationships"><Relationship Id="rId3" Type="http://schemas.openxmlformats.org/officeDocument/2006/relationships/comments" Target="../comments84.xml"/><Relationship Id="rId2" Type="http://schemas.openxmlformats.org/officeDocument/2006/relationships/vmlDrawing" Target="../drawings/vmlDrawing84.vml"/><Relationship Id="rId1" Type="http://schemas.openxmlformats.org/officeDocument/2006/relationships/printerSettings" Target="../printerSettings/printerSettings66.bin"/><Relationship Id="rId4" Type="http://schemas.microsoft.com/office/2017/10/relationships/threadedComment" Target="../threadedComments/threadedComment66.xml"/></Relationships>
</file>

<file path=xl/worksheets/_rels/sheet128.xml.rels><?xml version="1.0" encoding="UTF-8" standalone="yes"?>
<Relationships xmlns="http://schemas.openxmlformats.org/package/2006/relationships"><Relationship Id="rId3" Type="http://schemas.openxmlformats.org/officeDocument/2006/relationships/comments" Target="../comments85.xml"/><Relationship Id="rId2" Type="http://schemas.openxmlformats.org/officeDocument/2006/relationships/vmlDrawing" Target="../drawings/vmlDrawing85.vml"/><Relationship Id="rId1" Type="http://schemas.openxmlformats.org/officeDocument/2006/relationships/printerSettings" Target="../printerSettings/printerSettings67.bin"/><Relationship Id="rId4" Type="http://schemas.microsoft.com/office/2017/10/relationships/threadedComment" Target="../threadedComments/threadedComment67.xml"/></Relationships>
</file>

<file path=xl/worksheets/_rels/sheet129.xml.rels><?xml version="1.0" encoding="UTF-8" standalone="yes"?>
<Relationships xmlns="http://schemas.openxmlformats.org/package/2006/relationships"><Relationship Id="rId3" Type="http://schemas.openxmlformats.org/officeDocument/2006/relationships/comments" Target="../comments86.xml"/><Relationship Id="rId2" Type="http://schemas.openxmlformats.org/officeDocument/2006/relationships/vmlDrawing" Target="../drawings/vmlDrawing86.vml"/><Relationship Id="rId1" Type="http://schemas.openxmlformats.org/officeDocument/2006/relationships/printerSettings" Target="../printerSettings/printerSettings68.bin"/><Relationship Id="rId4" Type="http://schemas.microsoft.com/office/2017/10/relationships/threadedComment" Target="../threadedComments/threadedComment68.xml"/></Relationships>
</file>

<file path=xl/worksheets/_rels/sheet130.xml.rels><?xml version="1.0" encoding="UTF-8" standalone="yes"?>
<Relationships xmlns="http://schemas.openxmlformats.org/package/2006/relationships"><Relationship Id="rId3" Type="http://schemas.openxmlformats.org/officeDocument/2006/relationships/comments" Target="../comments87.xml"/><Relationship Id="rId2" Type="http://schemas.openxmlformats.org/officeDocument/2006/relationships/vmlDrawing" Target="../drawings/vmlDrawing87.vml"/><Relationship Id="rId1" Type="http://schemas.openxmlformats.org/officeDocument/2006/relationships/printerSettings" Target="../printerSettings/printerSettings69.bin"/><Relationship Id="rId4" Type="http://schemas.microsoft.com/office/2017/10/relationships/threadedComment" Target="../threadedComments/threadedComment69.xml"/></Relationships>
</file>

<file path=xl/worksheets/_rels/sheet131.xml.rels><?xml version="1.0" encoding="UTF-8" standalone="yes"?>
<Relationships xmlns="http://schemas.openxmlformats.org/package/2006/relationships"><Relationship Id="rId3" Type="http://schemas.openxmlformats.org/officeDocument/2006/relationships/comments" Target="../comments88.xml"/><Relationship Id="rId2" Type="http://schemas.openxmlformats.org/officeDocument/2006/relationships/vmlDrawing" Target="../drawings/vmlDrawing88.vml"/><Relationship Id="rId1" Type="http://schemas.openxmlformats.org/officeDocument/2006/relationships/printerSettings" Target="../printerSettings/printerSettings70.bin"/><Relationship Id="rId4" Type="http://schemas.microsoft.com/office/2017/10/relationships/threadedComment" Target="../threadedComments/threadedComment70.xml"/></Relationships>
</file>

<file path=xl/worksheets/_rels/sheet132.xml.rels><?xml version="1.0" encoding="UTF-8" standalone="yes"?>
<Relationships xmlns="http://schemas.openxmlformats.org/package/2006/relationships"><Relationship Id="rId3" Type="http://schemas.openxmlformats.org/officeDocument/2006/relationships/comments" Target="../comments89.xml"/><Relationship Id="rId2" Type="http://schemas.openxmlformats.org/officeDocument/2006/relationships/vmlDrawing" Target="../drawings/vmlDrawing89.vml"/><Relationship Id="rId1" Type="http://schemas.openxmlformats.org/officeDocument/2006/relationships/printerSettings" Target="../printerSettings/printerSettings71.bin"/><Relationship Id="rId4" Type="http://schemas.microsoft.com/office/2017/10/relationships/threadedComment" Target="../threadedComments/threadedComment71.xml"/></Relationships>
</file>

<file path=xl/worksheets/_rels/sheet133.xml.rels><?xml version="1.0" encoding="UTF-8" standalone="yes"?>
<Relationships xmlns="http://schemas.openxmlformats.org/package/2006/relationships"><Relationship Id="rId3" Type="http://schemas.openxmlformats.org/officeDocument/2006/relationships/comments" Target="../comments90.xml"/><Relationship Id="rId2" Type="http://schemas.openxmlformats.org/officeDocument/2006/relationships/vmlDrawing" Target="../drawings/vmlDrawing90.vml"/><Relationship Id="rId1" Type="http://schemas.openxmlformats.org/officeDocument/2006/relationships/printerSettings" Target="../printerSettings/printerSettings72.bin"/><Relationship Id="rId4" Type="http://schemas.microsoft.com/office/2017/10/relationships/threadedComment" Target="../threadedComments/threadedComment72.xml"/></Relationships>
</file>

<file path=xl/worksheets/_rels/sheet134.xml.rels><?xml version="1.0" encoding="UTF-8" standalone="yes"?>
<Relationships xmlns="http://schemas.openxmlformats.org/package/2006/relationships"><Relationship Id="rId3" Type="http://schemas.openxmlformats.org/officeDocument/2006/relationships/vmlDrawing" Target="../drawings/vmlDrawing91.vml"/><Relationship Id="rId2" Type="http://schemas.openxmlformats.org/officeDocument/2006/relationships/printerSettings" Target="../printerSettings/printerSettings73.bin"/><Relationship Id="rId1" Type="http://schemas.openxmlformats.org/officeDocument/2006/relationships/hyperlink" Target="mailto:riverview6@outlook.com" TargetMode="External"/><Relationship Id="rId5" Type="http://schemas.microsoft.com/office/2017/10/relationships/threadedComment" Target="../threadedComments/threadedComment73.xml"/><Relationship Id="rId4" Type="http://schemas.openxmlformats.org/officeDocument/2006/relationships/comments" Target="../comments91.xml"/></Relationships>
</file>

<file path=xl/worksheets/_rels/sheet135.xml.rels><?xml version="1.0" encoding="UTF-8" standalone="yes"?>
<Relationships xmlns="http://schemas.openxmlformats.org/package/2006/relationships"><Relationship Id="rId3" Type="http://schemas.openxmlformats.org/officeDocument/2006/relationships/comments" Target="../comments92.xml"/><Relationship Id="rId2" Type="http://schemas.openxmlformats.org/officeDocument/2006/relationships/vmlDrawing" Target="../drawings/vmlDrawing92.vml"/><Relationship Id="rId1" Type="http://schemas.openxmlformats.org/officeDocument/2006/relationships/printerSettings" Target="../printerSettings/printerSettings74.bin"/><Relationship Id="rId4" Type="http://schemas.microsoft.com/office/2017/10/relationships/threadedComment" Target="../threadedComments/threadedComment74.xml"/></Relationships>
</file>

<file path=xl/worksheets/_rels/sheet136.xml.rels><?xml version="1.0" encoding="UTF-8" standalone="yes"?>
<Relationships xmlns="http://schemas.openxmlformats.org/package/2006/relationships"><Relationship Id="rId3" Type="http://schemas.openxmlformats.org/officeDocument/2006/relationships/comments" Target="../comments93.xml"/><Relationship Id="rId2" Type="http://schemas.openxmlformats.org/officeDocument/2006/relationships/vmlDrawing" Target="../drawings/vmlDrawing93.vml"/><Relationship Id="rId1" Type="http://schemas.openxmlformats.org/officeDocument/2006/relationships/printerSettings" Target="../printerSettings/printerSettings75.bin"/><Relationship Id="rId4" Type="http://schemas.microsoft.com/office/2017/10/relationships/threadedComment" Target="../threadedComments/threadedComment75.xml"/></Relationships>
</file>

<file path=xl/worksheets/_rels/sheet137.xml.rels><?xml version="1.0" encoding="UTF-8" standalone="yes"?>
<Relationships xmlns="http://schemas.openxmlformats.org/package/2006/relationships"><Relationship Id="rId3" Type="http://schemas.openxmlformats.org/officeDocument/2006/relationships/comments" Target="../comments94.xml"/><Relationship Id="rId2" Type="http://schemas.openxmlformats.org/officeDocument/2006/relationships/vmlDrawing" Target="../drawings/vmlDrawing94.vml"/><Relationship Id="rId1" Type="http://schemas.openxmlformats.org/officeDocument/2006/relationships/printerSettings" Target="../printerSettings/printerSettings76.bin"/><Relationship Id="rId4" Type="http://schemas.microsoft.com/office/2017/10/relationships/threadedComment" Target="../threadedComments/threadedComment76.xml"/></Relationships>
</file>

<file path=xl/worksheets/_rels/sheet138.xml.rels><?xml version="1.0" encoding="UTF-8" standalone="yes"?>
<Relationships xmlns="http://schemas.openxmlformats.org/package/2006/relationships"><Relationship Id="rId3" Type="http://schemas.openxmlformats.org/officeDocument/2006/relationships/comments" Target="../comments95.xml"/><Relationship Id="rId2" Type="http://schemas.openxmlformats.org/officeDocument/2006/relationships/vmlDrawing" Target="../drawings/vmlDrawing95.vml"/><Relationship Id="rId1" Type="http://schemas.openxmlformats.org/officeDocument/2006/relationships/printerSettings" Target="../printerSettings/printerSettings77.bin"/><Relationship Id="rId4" Type="http://schemas.microsoft.com/office/2017/10/relationships/threadedComment" Target="../threadedComments/threadedComment77.xml"/></Relationships>
</file>

<file path=xl/worksheets/_rels/sheet139.xml.rels><?xml version="1.0" encoding="UTF-8" standalone="yes"?>
<Relationships xmlns="http://schemas.openxmlformats.org/package/2006/relationships"><Relationship Id="rId3" Type="http://schemas.openxmlformats.org/officeDocument/2006/relationships/comments" Target="../comments96.xml"/><Relationship Id="rId2" Type="http://schemas.openxmlformats.org/officeDocument/2006/relationships/vmlDrawing" Target="../drawings/vmlDrawing96.vml"/><Relationship Id="rId1" Type="http://schemas.openxmlformats.org/officeDocument/2006/relationships/printerSettings" Target="../printerSettings/printerSettings78.bin"/><Relationship Id="rId4" Type="http://schemas.microsoft.com/office/2017/10/relationships/threadedComment" Target="../threadedComments/threadedComment78.xml"/></Relationships>
</file>

<file path=xl/worksheets/_rels/sheet140.xml.rels><?xml version="1.0" encoding="UTF-8" standalone="yes"?>
<Relationships xmlns="http://schemas.openxmlformats.org/package/2006/relationships"><Relationship Id="rId3" Type="http://schemas.openxmlformats.org/officeDocument/2006/relationships/comments" Target="../comments97.xml"/><Relationship Id="rId2" Type="http://schemas.openxmlformats.org/officeDocument/2006/relationships/vmlDrawing" Target="../drawings/vmlDrawing97.vml"/><Relationship Id="rId1" Type="http://schemas.openxmlformats.org/officeDocument/2006/relationships/printerSettings" Target="../printerSettings/printerSettings79.bin"/><Relationship Id="rId4" Type="http://schemas.microsoft.com/office/2017/10/relationships/threadedComment" Target="../threadedComments/threadedComment79.xml"/></Relationships>
</file>

<file path=xl/worksheets/_rels/sheet141.xml.rels><?xml version="1.0" encoding="UTF-8" standalone="yes"?>
<Relationships xmlns="http://schemas.openxmlformats.org/package/2006/relationships"><Relationship Id="rId3" Type="http://schemas.openxmlformats.org/officeDocument/2006/relationships/comments" Target="../comments98.xml"/><Relationship Id="rId2" Type="http://schemas.openxmlformats.org/officeDocument/2006/relationships/vmlDrawing" Target="../drawings/vmlDrawing98.vml"/><Relationship Id="rId1" Type="http://schemas.openxmlformats.org/officeDocument/2006/relationships/printerSettings" Target="../printerSettings/printerSettings80.bin"/><Relationship Id="rId4" Type="http://schemas.microsoft.com/office/2017/10/relationships/threadedComment" Target="../threadedComments/threadedComment80.xml"/></Relationships>
</file>

<file path=xl/worksheets/_rels/sheet142.xml.rels><?xml version="1.0" encoding="UTF-8" standalone="yes"?>
<Relationships xmlns="http://schemas.openxmlformats.org/package/2006/relationships"><Relationship Id="rId3" Type="http://schemas.openxmlformats.org/officeDocument/2006/relationships/comments" Target="../comments99.xml"/><Relationship Id="rId2" Type="http://schemas.openxmlformats.org/officeDocument/2006/relationships/vmlDrawing" Target="../drawings/vmlDrawing99.vml"/><Relationship Id="rId1" Type="http://schemas.openxmlformats.org/officeDocument/2006/relationships/printerSettings" Target="../printerSettings/printerSettings81.bin"/><Relationship Id="rId4" Type="http://schemas.microsoft.com/office/2017/10/relationships/threadedComment" Target="../threadedComments/threadedComment81.xml"/></Relationships>
</file>

<file path=xl/worksheets/_rels/sheet143.xml.rels><?xml version="1.0" encoding="UTF-8" standalone="yes"?>
<Relationships xmlns="http://schemas.openxmlformats.org/package/2006/relationships"><Relationship Id="rId3" Type="http://schemas.openxmlformats.org/officeDocument/2006/relationships/comments" Target="../comments100.xml"/><Relationship Id="rId2" Type="http://schemas.openxmlformats.org/officeDocument/2006/relationships/vmlDrawing" Target="../drawings/vmlDrawing100.vml"/><Relationship Id="rId1" Type="http://schemas.openxmlformats.org/officeDocument/2006/relationships/printerSettings" Target="../printerSettings/printerSettings82.bin"/><Relationship Id="rId4" Type="http://schemas.microsoft.com/office/2017/10/relationships/threadedComment" Target="../threadedComments/threadedComment82.xml"/></Relationships>
</file>

<file path=xl/worksheets/_rels/sheet144.xml.rels><?xml version="1.0" encoding="UTF-8" standalone="yes"?>
<Relationships xmlns="http://schemas.openxmlformats.org/package/2006/relationships"><Relationship Id="rId3" Type="http://schemas.openxmlformats.org/officeDocument/2006/relationships/comments" Target="../comments101.xml"/><Relationship Id="rId2" Type="http://schemas.openxmlformats.org/officeDocument/2006/relationships/vmlDrawing" Target="../drawings/vmlDrawing101.vml"/><Relationship Id="rId1" Type="http://schemas.openxmlformats.org/officeDocument/2006/relationships/printerSettings" Target="../printerSettings/printerSettings83.bin"/><Relationship Id="rId4" Type="http://schemas.microsoft.com/office/2017/10/relationships/threadedComment" Target="../threadedComments/threadedComment83.xml"/></Relationships>
</file>

<file path=xl/worksheets/_rels/sheet145.xml.rels><?xml version="1.0" encoding="UTF-8" standalone="yes"?>
<Relationships xmlns="http://schemas.openxmlformats.org/package/2006/relationships"><Relationship Id="rId3" Type="http://schemas.openxmlformats.org/officeDocument/2006/relationships/comments" Target="../comments102.xml"/><Relationship Id="rId2" Type="http://schemas.openxmlformats.org/officeDocument/2006/relationships/vmlDrawing" Target="../drawings/vmlDrawing102.vml"/><Relationship Id="rId1" Type="http://schemas.openxmlformats.org/officeDocument/2006/relationships/printerSettings" Target="../printerSettings/printerSettings84.bin"/><Relationship Id="rId4" Type="http://schemas.microsoft.com/office/2017/10/relationships/threadedComment" Target="../threadedComments/threadedComment84.xml"/></Relationships>
</file>

<file path=xl/worksheets/_rels/sheet146.xml.rels><?xml version="1.0" encoding="UTF-8" standalone="yes"?>
<Relationships xmlns="http://schemas.openxmlformats.org/package/2006/relationships"><Relationship Id="rId3" Type="http://schemas.openxmlformats.org/officeDocument/2006/relationships/comments" Target="../comments103.xml"/><Relationship Id="rId2" Type="http://schemas.openxmlformats.org/officeDocument/2006/relationships/vmlDrawing" Target="../drawings/vmlDrawing103.vml"/><Relationship Id="rId1" Type="http://schemas.openxmlformats.org/officeDocument/2006/relationships/printerSettings" Target="../printerSettings/printerSettings85.bin"/><Relationship Id="rId4" Type="http://schemas.microsoft.com/office/2017/10/relationships/threadedComment" Target="../threadedComments/threadedComment85.xml"/></Relationships>
</file>

<file path=xl/worksheets/_rels/sheet147.xml.rels><?xml version="1.0" encoding="UTF-8" standalone="yes"?>
<Relationships xmlns="http://schemas.openxmlformats.org/package/2006/relationships"><Relationship Id="rId3" Type="http://schemas.openxmlformats.org/officeDocument/2006/relationships/comments" Target="../comments104.xml"/><Relationship Id="rId2" Type="http://schemas.openxmlformats.org/officeDocument/2006/relationships/vmlDrawing" Target="../drawings/vmlDrawing104.vml"/><Relationship Id="rId1" Type="http://schemas.openxmlformats.org/officeDocument/2006/relationships/printerSettings" Target="../printerSettings/printerSettings86.bin"/><Relationship Id="rId4" Type="http://schemas.microsoft.com/office/2017/10/relationships/threadedComment" Target="../threadedComments/threadedComment86.xml"/></Relationships>
</file>

<file path=xl/worksheets/_rels/sheet148.xml.rels><?xml version="1.0" encoding="UTF-8" standalone="yes"?>
<Relationships xmlns="http://schemas.openxmlformats.org/package/2006/relationships"><Relationship Id="rId3" Type="http://schemas.openxmlformats.org/officeDocument/2006/relationships/comments" Target="../comments105.xml"/><Relationship Id="rId2" Type="http://schemas.openxmlformats.org/officeDocument/2006/relationships/vmlDrawing" Target="../drawings/vmlDrawing105.vml"/><Relationship Id="rId1" Type="http://schemas.openxmlformats.org/officeDocument/2006/relationships/printerSettings" Target="../printerSettings/printerSettings87.bin"/><Relationship Id="rId4" Type="http://schemas.microsoft.com/office/2017/10/relationships/threadedComment" Target="../threadedComments/threadedComment87.xml"/></Relationships>
</file>

<file path=xl/worksheets/_rels/sheet149.xml.rels><?xml version="1.0" encoding="UTF-8" standalone="yes"?>
<Relationships xmlns="http://schemas.openxmlformats.org/package/2006/relationships"><Relationship Id="rId3" Type="http://schemas.microsoft.com/office/2017/10/relationships/threadedComment" Target="../threadedComments/threadedComment88.xml"/><Relationship Id="rId2" Type="http://schemas.openxmlformats.org/officeDocument/2006/relationships/comments" Target="../comments106.xml"/><Relationship Id="rId1" Type="http://schemas.openxmlformats.org/officeDocument/2006/relationships/vmlDrawing" Target="../drawings/vmlDrawing106.vml"/></Relationships>
</file>

<file path=xl/worksheets/_rels/sheet150.xml.rels><?xml version="1.0" encoding="UTF-8" standalone="yes"?>
<Relationships xmlns="http://schemas.openxmlformats.org/package/2006/relationships"><Relationship Id="rId3" Type="http://schemas.microsoft.com/office/2017/10/relationships/threadedComment" Target="../threadedComments/threadedComment89.xml"/><Relationship Id="rId2" Type="http://schemas.openxmlformats.org/officeDocument/2006/relationships/comments" Target="../comments107.xml"/><Relationship Id="rId1" Type="http://schemas.openxmlformats.org/officeDocument/2006/relationships/vmlDrawing" Target="../drawings/vmlDrawing107.vml"/></Relationships>
</file>

<file path=xl/worksheets/_rels/sheet151.xml.rels><?xml version="1.0" encoding="UTF-8" standalone="yes"?>
<Relationships xmlns="http://schemas.openxmlformats.org/package/2006/relationships"><Relationship Id="rId3" Type="http://schemas.openxmlformats.org/officeDocument/2006/relationships/comments" Target="../comments108.xml"/><Relationship Id="rId2" Type="http://schemas.openxmlformats.org/officeDocument/2006/relationships/vmlDrawing" Target="../drawings/vmlDrawing108.vml"/><Relationship Id="rId1" Type="http://schemas.openxmlformats.org/officeDocument/2006/relationships/printerSettings" Target="../printerSettings/printerSettings88.bin"/><Relationship Id="rId4" Type="http://schemas.microsoft.com/office/2017/10/relationships/threadedComment" Target="../threadedComments/threadedComment90.xml"/></Relationships>
</file>

<file path=xl/worksheets/_rels/sheet15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3.xml.rels><?xml version="1.0" encoding="UTF-8" standalone="yes"?>
<Relationships xmlns="http://schemas.openxmlformats.org/package/2006/relationships"><Relationship Id="rId3" Type="http://schemas.microsoft.com/office/2017/10/relationships/threadedComment" Target="../threadedComments/threadedComment91.xml"/><Relationship Id="rId2" Type="http://schemas.openxmlformats.org/officeDocument/2006/relationships/comments" Target="../comments109.xml"/><Relationship Id="rId1" Type="http://schemas.openxmlformats.org/officeDocument/2006/relationships/vmlDrawing" Target="../drawings/vmlDrawing109.vml"/></Relationships>
</file>

<file path=xl/worksheets/_rels/sheet154.xml.rels><?xml version="1.0" encoding="UTF-8" standalone="yes"?>
<Relationships xmlns="http://schemas.openxmlformats.org/package/2006/relationships"><Relationship Id="rId3" Type="http://schemas.openxmlformats.org/officeDocument/2006/relationships/comments" Target="../comments110.xml"/><Relationship Id="rId2" Type="http://schemas.openxmlformats.org/officeDocument/2006/relationships/vmlDrawing" Target="../drawings/vmlDrawing110.vml"/><Relationship Id="rId1" Type="http://schemas.openxmlformats.org/officeDocument/2006/relationships/printerSettings" Target="../printerSettings/printerSettings89.bin"/><Relationship Id="rId4" Type="http://schemas.microsoft.com/office/2017/10/relationships/threadedComment" Target="../threadedComments/threadedComment92.xml"/></Relationships>
</file>

<file path=xl/worksheets/_rels/sheet155.xml.rels><?xml version="1.0" encoding="UTF-8" standalone="yes"?>
<Relationships xmlns="http://schemas.openxmlformats.org/package/2006/relationships"><Relationship Id="rId3" Type="http://schemas.openxmlformats.org/officeDocument/2006/relationships/comments" Target="../comments111.xml"/><Relationship Id="rId2" Type="http://schemas.openxmlformats.org/officeDocument/2006/relationships/vmlDrawing" Target="../drawings/vmlDrawing111.vml"/><Relationship Id="rId1" Type="http://schemas.openxmlformats.org/officeDocument/2006/relationships/printerSettings" Target="../printerSettings/printerSettings90.bin"/><Relationship Id="rId4" Type="http://schemas.microsoft.com/office/2017/10/relationships/threadedComment" Target="../threadedComments/threadedComment93.xml"/></Relationships>
</file>

<file path=xl/worksheets/_rels/sheet156.xml.rels><?xml version="1.0" encoding="UTF-8" standalone="yes"?>
<Relationships xmlns="http://schemas.openxmlformats.org/package/2006/relationships"><Relationship Id="rId3" Type="http://schemas.microsoft.com/office/2017/10/relationships/threadedComment" Target="../threadedComments/threadedComment94.xml"/><Relationship Id="rId2" Type="http://schemas.openxmlformats.org/officeDocument/2006/relationships/comments" Target="../comments112.xml"/><Relationship Id="rId1" Type="http://schemas.openxmlformats.org/officeDocument/2006/relationships/vmlDrawing" Target="../drawings/vmlDrawing112.vml"/></Relationships>
</file>

<file path=xl/worksheets/_rels/sheet157.xml.rels><?xml version="1.0" encoding="UTF-8" standalone="yes"?>
<Relationships xmlns="http://schemas.openxmlformats.org/package/2006/relationships"><Relationship Id="rId3" Type="http://schemas.openxmlformats.org/officeDocument/2006/relationships/comments" Target="../comments113.xml"/><Relationship Id="rId2" Type="http://schemas.openxmlformats.org/officeDocument/2006/relationships/vmlDrawing" Target="../drawings/vmlDrawing113.vml"/><Relationship Id="rId1" Type="http://schemas.openxmlformats.org/officeDocument/2006/relationships/printerSettings" Target="../printerSettings/printerSettings91.bin"/><Relationship Id="rId4" Type="http://schemas.microsoft.com/office/2017/10/relationships/threadedComment" Target="../threadedComments/threadedComment95.xml"/></Relationships>
</file>

<file path=xl/worksheets/_rels/sheet158.xml.rels><?xml version="1.0" encoding="UTF-8" standalone="yes"?>
<Relationships xmlns="http://schemas.openxmlformats.org/package/2006/relationships"><Relationship Id="rId3" Type="http://schemas.openxmlformats.org/officeDocument/2006/relationships/comments" Target="../comments114.xml"/><Relationship Id="rId2" Type="http://schemas.openxmlformats.org/officeDocument/2006/relationships/vmlDrawing" Target="../drawings/vmlDrawing114.vml"/><Relationship Id="rId1" Type="http://schemas.openxmlformats.org/officeDocument/2006/relationships/printerSettings" Target="../printerSettings/printerSettings92.bin"/><Relationship Id="rId4" Type="http://schemas.microsoft.com/office/2017/10/relationships/threadedComment" Target="../threadedComments/threadedComment96.xml"/></Relationships>
</file>

<file path=xl/worksheets/_rels/sheet160.xml.rels><?xml version="1.0" encoding="UTF-8" standalone="yes"?>
<Relationships xmlns="http://schemas.openxmlformats.org/package/2006/relationships"><Relationship Id="rId3" Type="http://schemas.openxmlformats.org/officeDocument/2006/relationships/comments" Target="../comments115.xml"/><Relationship Id="rId2" Type="http://schemas.openxmlformats.org/officeDocument/2006/relationships/vmlDrawing" Target="../drawings/vmlDrawing115.vml"/><Relationship Id="rId1" Type="http://schemas.openxmlformats.org/officeDocument/2006/relationships/printerSettings" Target="../printerSettings/printerSettings93.bin"/><Relationship Id="rId4" Type="http://schemas.microsoft.com/office/2017/10/relationships/threadedComment" Target="../threadedComments/threadedComment97.xml"/></Relationships>
</file>

<file path=xl/worksheets/_rels/sheet161.xml.rels><?xml version="1.0" encoding="UTF-8" standalone="yes"?>
<Relationships xmlns="http://schemas.openxmlformats.org/package/2006/relationships"><Relationship Id="rId3" Type="http://schemas.openxmlformats.org/officeDocument/2006/relationships/comments" Target="../comments116.xml"/><Relationship Id="rId2" Type="http://schemas.openxmlformats.org/officeDocument/2006/relationships/vmlDrawing" Target="../drawings/vmlDrawing116.vml"/><Relationship Id="rId1" Type="http://schemas.openxmlformats.org/officeDocument/2006/relationships/printerSettings" Target="../printerSettings/printerSettings94.bin"/><Relationship Id="rId4" Type="http://schemas.microsoft.com/office/2017/10/relationships/threadedComment" Target="../threadedComments/threadedComment98.xml"/></Relationships>
</file>

<file path=xl/worksheets/_rels/sheet162.xml.rels><?xml version="1.0" encoding="UTF-8" standalone="yes"?>
<Relationships xmlns="http://schemas.openxmlformats.org/package/2006/relationships"><Relationship Id="rId3" Type="http://schemas.microsoft.com/office/2017/10/relationships/threadedComment" Target="../threadedComments/threadedComment99.xml"/><Relationship Id="rId2" Type="http://schemas.openxmlformats.org/officeDocument/2006/relationships/comments" Target="../comments117.xml"/><Relationship Id="rId1" Type="http://schemas.openxmlformats.org/officeDocument/2006/relationships/vmlDrawing" Target="../drawings/vmlDrawing117.vml"/></Relationships>
</file>

<file path=xl/worksheets/_rels/sheet164.xml.rels><?xml version="1.0" encoding="UTF-8" standalone="yes"?>
<Relationships xmlns="http://schemas.openxmlformats.org/package/2006/relationships"><Relationship Id="rId3" Type="http://schemas.microsoft.com/office/2017/10/relationships/threadedComment" Target="../threadedComments/threadedComment100.xml"/><Relationship Id="rId2" Type="http://schemas.openxmlformats.org/officeDocument/2006/relationships/comments" Target="../comments118.xml"/><Relationship Id="rId1" Type="http://schemas.openxmlformats.org/officeDocument/2006/relationships/vmlDrawing" Target="../drawings/vmlDrawing118.vml"/></Relationships>
</file>

<file path=xl/worksheets/_rels/sheet166.xml.rels><?xml version="1.0" encoding="UTF-8" standalone="yes"?>
<Relationships xmlns="http://schemas.openxmlformats.org/package/2006/relationships"><Relationship Id="rId3" Type="http://schemas.openxmlformats.org/officeDocument/2006/relationships/comments" Target="../comments119.xml"/><Relationship Id="rId2" Type="http://schemas.openxmlformats.org/officeDocument/2006/relationships/vmlDrawing" Target="../drawings/vmlDrawing119.vml"/><Relationship Id="rId1" Type="http://schemas.openxmlformats.org/officeDocument/2006/relationships/printerSettings" Target="../printerSettings/printerSettings95.bin"/><Relationship Id="rId4" Type="http://schemas.microsoft.com/office/2017/10/relationships/threadedComment" Target="../threadedComments/threadedComment101.xml"/></Relationships>
</file>

<file path=xl/worksheets/_rels/sheet167.xml.rels><?xml version="1.0" encoding="UTF-8" standalone="yes"?>
<Relationships xmlns="http://schemas.openxmlformats.org/package/2006/relationships"><Relationship Id="rId3" Type="http://schemas.microsoft.com/office/2017/10/relationships/threadedComment" Target="../threadedComments/threadedComment102.xml"/><Relationship Id="rId2" Type="http://schemas.openxmlformats.org/officeDocument/2006/relationships/comments" Target="../comments120.xml"/><Relationship Id="rId1" Type="http://schemas.openxmlformats.org/officeDocument/2006/relationships/vmlDrawing" Target="../drawings/vmlDrawing120.vml"/></Relationships>
</file>

<file path=xl/worksheets/_rels/sheet168.xml.rels><?xml version="1.0" encoding="UTF-8" standalone="yes"?>
<Relationships xmlns="http://schemas.openxmlformats.org/package/2006/relationships"><Relationship Id="rId3" Type="http://schemas.openxmlformats.org/officeDocument/2006/relationships/comments" Target="../comments121.xml"/><Relationship Id="rId2" Type="http://schemas.openxmlformats.org/officeDocument/2006/relationships/vmlDrawing" Target="../drawings/vmlDrawing121.vml"/><Relationship Id="rId1" Type="http://schemas.openxmlformats.org/officeDocument/2006/relationships/printerSettings" Target="../printerSettings/printerSettings96.bin"/><Relationship Id="rId4" Type="http://schemas.microsoft.com/office/2017/10/relationships/threadedComment" Target="../threadedComments/threadedComment103.xml"/></Relationships>
</file>

<file path=xl/worksheets/_rels/sheet172.xml.rels><?xml version="1.0" encoding="UTF-8" standalone="yes"?>
<Relationships xmlns="http://schemas.openxmlformats.org/package/2006/relationships"><Relationship Id="rId3" Type="http://schemas.openxmlformats.org/officeDocument/2006/relationships/comments" Target="../comments122.xml"/><Relationship Id="rId2" Type="http://schemas.openxmlformats.org/officeDocument/2006/relationships/vmlDrawing" Target="../drawings/vmlDrawing122.vml"/><Relationship Id="rId1" Type="http://schemas.openxmlformats.org/officeDocument/2006/relationships/printerSettings" Target="../printerSettings/printerSettings97.bin"/><Relationship Id="rId4" Type="http://schemas.microsoft.com/office/2017/10/relationships/threadedComment" Target="../threadedComments/threadedComment104.xml"/></Relationships>
</file>

<file path=xl/worksheets/_rels/sheet174.xml.rels><?xml version="1.0" encoding="UTF-8" standalone="yes"?>
<Relationships xmlns="http://schemas.openxmlformats.org/package/2006/relationships"><Relationship Id="rId3" Type="http://schemas.microsoft.com/office/2017/10/relationships/threadedComment" Target="../threadedComments/threadedComment105.xml"/><Relationship Id="rId2" Type="http://schemas.openxmlformats.org/officeDocument/2006/relationships/comments" Target="../comments123.xml"/><Relationship Id="rId1" Type="http://schemas.openxmlformats.org/officeDocument/2006/relationships/vmlDrawing" Target="../drawings/vmlDrawing123.vml"/></Relationships>
</file>

<file path=xl/worksheets/_rels/sheet175.xml.rels><?xml version="1.0" encoding="UTF-8" standalone="yes"?>
<Relationships xmlns="http://schemas.openxmlformats.org/package/2006/relationships"><Relationship Id="rId3" Type="http://schemas.openxmlformats.org/officeDocument/2006/relationships/comments" Target="../comments124.xml"/><Relationship Id="rId2" Type="http://schemas.openxmlformats.org/officeDocument/2006/relationships/vmlDrawing" Target="../drawings/vmlDrawing124.vml"/><Relationship Id="rId1" Type="http://schemas.openxmlformats.org/officeDocument/2006/relationships/printerSettings" Target="../printerSettings/printerSettings98.bin"/><Relationship Id="rId4" Type="http://schemas.microsoft.com/office/2017/10/relationships/threadedComment" Target="../threadedComments/threadedComment106.xml"/></Relationships>
</file>

<file path=xl/worksheets/_rels/sheet176.xml.rels><?xml version="1.0" encoding="UTF-8" standalone="yes"?>
<Relationships xmlns="http://schemas.openxmlformats.org/package/2006/relationships"><Relationship Id="rId3" Type="http://schemas.openxmlformats.org/officeDocument/2006/relationships/comments" Target="../comments125.xml"/><Relationship Id="rId2" Type="http://schemas.openxmlformats.org/officeDocument/2006/relationships/vmlDrawing" Target="../drawings/vmlDrawing125.vml"/><Relationship Id="rId1" Type="http://schemas.openxmlformats.org/officeDocument/2006/relationships/printerSettings" Target="../printerSettings/printerSettings99.bin"/><Relationship Id="rId4" Type="http://schemas.microsoft.com/office/2017/10/relationships/threadedComment" Target="../threadedComments/threadedComment107.xml"/></Relationships>
</file>

<file path=xl/worksheets/_rels/sheet178.xml.rels><?xml version="1.0" encoding="UTF-8" standalone="yes"?>
<Relationships xmlns="http://schemas.openxmlformats.org/package/2006/relationships"><Relationship Id="rId3" Type="http://schemas.openxmlformats.org/officeDocument/2006/relationships/comments" Target="../comments126.xml"/><Relationship Id="rId2" Type="http://schemas.openxmlformats.org/officeDocument/2006/relationships/vmlDrawing" Target="../drawings/vmlDrawing126.vml"/><Relationship Id="rId1" Type="http://schemas.openxmlformats.org/officeDocument/2006/relationships/printerSettings" Target="../printerSettings/printerSettings100.bin"/><Relationship Id="rId4" Type="http://schemas.microsoft.com/office/2017/10/relationships/threadedComment" Target="../threadedComments/threadedComment108.xml"/></Relationships>
</file>

<file path=xl/worksheets/_rels/sheet179.xml.rels><?xml version="1.0" encoding="UTF-8" standalone="yes"?>
<Relationships xmlns="http://schemas.openxmlformats.org/package/2006/relationships"><Relationship Id="rId3" Type="http://schemas.microsoft.com/office/2017/10/relationships/threadedComment" Target="../threadedComments/threadedComment109.xml"/><Relationship Id="rId2" Type="http://schemas.openxmlformats.org/officeDocument/2006/relationships/comments" Target="../comments127.xml"/><Relationship Id="rId1" Type="http://schemas.openxmlformats.org/officeDocument/2006/relationships/vmlDrawing" Target="../drawings/vmlDrawing127.vml"/></Relationships>
</file>

<file path=xl/worksheets/_rels/sheet180.xml.rels><?xml version="1.0" encoding="UTF-8" standalone="yes"?>
<Relationships xmlns="http://schemas.openxmlformats.org/package/2006/relationships"><Relationship Id="rId3" Type="http://schemas.openxmlformats.org/officeDocument/2006/relationships/comments" Target="../comments128.xml"/><Relationship Id="rId2" Type="http://schemas.openxmlformats.org/officeDocument/2006/relationships/vmlDrawing" Target="../drawings/vmlDrawing128.vml"/><Relationship Id="rId1" Type="http://schemas.openxmlformats.org/officeDocument/2006/relationships/printerSettings" Target="../printerSettings/printerSettings101.bin"/><Relationship Id="rId4" Type="http://schemas.microsoft.com/office/2017/10/relationships/threadedComment" Target="../threadedComments/threadedComment110.xml"/></Relationships>
</file>

<file path=xl/worksheets/_rels/sheet181.xml.rels><?xml version="1.0" encoding="UTF-8" standalone="yes"?>
<Relationships xmlns="http://schemas.openxmlformats.org/package/2006/relationships"><Relationship Id="rId3" Type="http://schemas.openxmlformats.org/officeDocument/2006/relationships/comments" Target="../comments129.xml"/><Relationship Id="rId2" Type="http://schemas.openxmlformats.org/officeDocument/2006/relationships/vmlDrawing" Target="../drawings/vmlDrawing129.vml"/><Relationship Id="rId1" Type="http://schemas.openxmlformats.org/officeDocument/2006/relationships/printerSettings" Target="../printerSettings/printerSettings102.bin"/><Relationship Id="rId4" Type="http://schemas.microsoft.com/office/2017/10/relationships/threadedComment" Target="../threadedComments/threadedComment111.xml"/></Relationships>
</file>

<file path=xl/worksheets/_rels/sheet182.xml.rels><?xml version="1.0" encoding="UTF-8" standalone="yes"?>
<Relationships xmlns="http://schemas.openxmlformats.org/package/2006/relationships"><Relationship Id="rId3" Type="http://schemas.openxmlformats.org/officeDocument/2006/relationships/comments" Target="../comments130.xml"/><Relationship Id="rId2" Type="http://schemas.openxmlformats.org/officeDocument/2006/relationships/vmlDrawing" Target="../drawings/vmlDrawing130.vml"/><Relationship Id="rId1" Type="http://schemas.openxmlformats.org/officeDocument/2006/relationships/printerSettings" Target="../printerSettings/printerSettings103.bin"/><Relationship Id="rId4" Type="http://schemas.microsoft.com/office/2017/10/relationships/threadedComment" Target="../threadedComments/threadedComment112.xml"/></Relationships>
</file>

<file path=xl/worksheets/_rels/sheet183.xml.rels><?xml version="1.0" encoding="UTF-8" standalone="yes"?>
<Relationships xmlns="http://schemas.openxmlformats.org/package/2006/relationships"><Relationship Id="rId3" Type="http://schemas.openxmlformats.org/officeDocument/2006/relationships/comments" Target="../comments131.xml"/><Relationship Id="rId2" Type="http://schemas.openxmlformats.org/officeDocument/2006/relationships/vmlDrawing" Target="../drawings/vmlDrawing131.vml"/><Relationship Id="rId1" Type="http://schemas.openxmlformats.org/officeDocument/2006/relationships/printerSettings" Target="../printerSettings/printerSettings104.bin"/><Relationship Id="rId4" Type="http://schemas.microsoft.com/office/2017/10/relationships/threadedComment" Target="../threadedComments/threadedComment113.xml"/></Relationships>
</file>

<file path=xl/worksheets/_rels/sheet184.xml.rels><?xml version="1.0" encoding="UTF-8" standalone="yes"?>
<Relationships xmlns="http://schemas.openxmlformats.org/package/2006/relationships"><Relationship Id="rId3" Type="http://schemas.openxmlformats.org/officeDocument/2006/relationships/comments" Target="../comments132.xml"/><Relationship Id="rId2" Type="http://schemas.openxmlformats.org/officeDocument/2006/relationships/vmlDrawing" Target="../drawings/vmlDrawing132.vml"/><Relationship Id="rId1" Type="http://schemas.openxmlformats.org/officeDocument/2006/relationships/printerSettings" Target="../printerSettings/printerSettings105.bin"/><Relationship Id="rId4" Type="http://schemas.microsoft.com/office/2017/10/relationships/threadedComment" Target="../threadedComments/threadedComment114.xml"/></Relationships>
</file>

<file path=xl/worksheets/_rels/sheet185.xml.rels><?xml version="1.0" encoding="UTF-8" standalone="yes"?>
<Relationships xmlns="http://schemas.openxmlformats.org/package/2006/relationships"><Relationship Id="rId3" Type="http://schemas.openxmlformats.org/officeDocument/2006/relationships/comments" Target="../comments133.xml"/><Relationship Id="rId2" Type="http://schemas.openxmlformats.org/officeDocument/2006/relationships/vmlDrawing" Target="../drawings/vmlDrawing133.vml"/><Relationship Id="rId1" Type="http://schemas.openxmlformats.org/officeDocument/2006/relationships/printerSettings" Target="../printerSettings/printerSettings106.bin"/><Relationship Id="rId4" Type="http://schemas.microsoft.com/office/2017/10/relationships/threadedComment" Target="../threadedComments/threadedComment115.xml"/></Relationships>
</file>

<file path=xl/worksheets/_rels/sheet186.xml.rels><?xml version="1.0" encoding="UTF-8" standalone="yes"?>
<Relationships xmlns="http://schemas.openxmlformats.org/package/2006/relationships"><Relationship Id="rId3" Type="http://schemas.openxmlformats.org/officeDocument/2006/relationships/comments" Target="../comments134.xml"/><Relationship Id="rId2" Type="http://schemas.openxmlformats.org/officeDocument/2006/relationships/vmlDrawing" Target="../drawings/vmlDrawing134.vml"/><Relationship Id="rId1" Type="http://schemas.openxmlformats.org/officeDocument/2006/relationships/printerSettings" Target="../printerSettings/printerSettings107.bin"/><Relationship Id="rId4" Type="http://schemas.microsoft.com/office/2017/10/relationships/threadedComment" Target="../threadedComments/threadedComment116.xml"/></Relationships>
</file>

<file path=xl/worksheets/_rels/sheet187.xml.rels><?xml version="1.0" encoding="UTF-8" standalone="yes"?>
<Relationships xmlns="http://schemas.openxmlformats.org/package/2006/relationships"><Relationship Id="rId3" Type="http://schemas.openxmlformats.org/officeDocument/2006/relationships/comments" Target="../comments135.xml"/><Relationship Id="rId2" Type="http://schemas.openxmlformats.org/officeDocument/2006/relationships/vmlDrawing" Target="../drawings/vmlDrawing135.vml"/><Relationship Id="rId1" Type="http://schemas.openxmlformats.org/officeDocument/2006/relationships/printerSettings" Target="../printerSettings/printerSettings108.bin"/><Relationship Id="rId4" Type="http://schemas.microsoft.com/office/2017/10/relationships/threadedComment" Target="../threadedComments/threadedComment117.xml"/></Relationships>
</file>

<file path=xl/worksheets/_rels/sheet188.xml.rels><?xml version="1.0" encoding="UTF-8" standalone="yes"?>
<Relationships xmlns="http://schemas.openxmlformats.org/package/2006/relationships"><Relationship Id="rId3" Type="http://schemas.openxmlformats.org/officeDocument/2006/relationships/comments" Target="../comments136.xml"/><Relationship Id="rId2" Type="http://schemas.openxmlformats.org/officeDocument/2006/relationships/vmlDrawing" Target="../drawings/vmlDrawing136.vml"/><Relationship Id="rId1" Type="http://schemas.openxmlformats.org/officeDocument/2006/relationships/printerSettings" Target="../printerSettings/printerSettings109.bin"/><Relationship Id="rId4" Type="http://schemas.microsoft.com/office/2017/10/relationships/threadedComment" Target="../threadedComments/threadedComment118.xml"/></Relationships>
</file>

<file path=xl/worksheets/_rels/sheet189.xml.rels><?xml version="1.0" encoding="UTF-8" standalone="yes"?>
<Relationships xmlns="http://schemas.openxmlformats.org/package/2006/relationships"><Relationship Id="rId3" Type="http://schemas.openxmlformats.org/officeDocument/2006/relationships/comments" Target="../comments137.xml"/><Relationship Id="rId2" Type="http://schemas.openxmlformats.org/officeDocument/2006/relationships/vmlDrawing" Target="../drawings/vmlDrawing137.vml"/><Relationship Id="rId1" Type="http://schemas.openxmlformats.org/officeDocument/2006/relationships/printerSettings" Target="../printerSettings/printerSettings110.bin"/><Relationship Id="rId4" Type="http://schemas.microsoft.com/office/2017/10/relationships/threadedComment" Target="../threadedComments/threadedComment119.xml"/></Relationships>
</file>

<file path=xl/worksheets/_rels/sheet190.xml.rels><?xml version="1.0" encoding="UTF-8" standalone="yes"?>
<Relationships xmlns="http://schemas.openxmlformats.org/package/2006/relationships"><Relationship Id="rId3" Type="http://schemas.openxmlformats.org/officeDocument/2006/relationships/comments" Target="../comments138.xml"/><Relationship Id="rId2" Type="http://schemas.openxmlformats.org/officeDocument/2006/relationships/vmlDrawing" Target="../drawings/vmlDrawing138.vml"/><Relationship Id="rId1" Type="http://schemas.openxmlformats.org/officeDocument/2006/relationships/printerSettings" Target="../printerSettings/printerSettings111.bin"/><Relationship Id="rId4" Type="http://schemas.microsoft.com/office/2017/10/relationships/threadedComment" Target="../threadedComments/threadedComment120.xml"/></Relationships>
</file>

<file path=xl/worksheets/_rels/sheet191.xml.rels><?xml version="1.0" encoding="UTF-8" standalone="yes"?>
<Relationships xmlns="http://schemas.openxmlformats.org/package/2006/relationships"><Relationship Id="rId3" Type="http://schemas.openxmlformats.org/officeDocument/2006/relationships/comments" Target="../comments139.xml"/><Relationship Id="rId2" Type="http://schemas.openxmlformats.org/officeDocument/2006/relationships/vmlDrawing" Target="../drawings/vmlDrawing139.vml"/><Relationship Id="rId1" Type="http://schemas.openxmlformats.org/officeDocument/2006/relationships/printerSettings" Target="../printerSettings/printerSettings112.bin"/><Relationship Id="rId4" Type="http://schemas.microsoft.com/office/2017/10/relationships/threadedComment" Target="../threadedComments/threadedComment121.xml"/></Relationships>
</file>

<file path=xl/worksheets/_rels/sheet192.xml.rels><?xml version="1.0" encoding="UTF-8" standalone="yes"?>
<Relationships xmlns="http://schemas.openxmlformats.org/package/2006/relationships"><Relationship Id="rId3" Type="http://schemas.openxmlformats.org/officeDocument/2006/relationships/comments" Target="../comments140.xml"/><Relationship Id="rId2" Type="http://schemas.openxmlformats.org/officeDocument/2006/relationships/vmlDrawing" Target="../drawings/vmlDrawing140.vml"/><Relationship Id="rId1" Type="http://schemas.openxmlformats.org/officeDocument/2006/relationships/printerSettings" Target="../printerSettings/printerSettings113.bin"/><Relationship Id="rId4" Type="http://schemas.microsoft.com/office/2017/10/relationships/threadedComment" Target="../threadedComments/threadedComment122.xml"/></Relationships>
</file>

<file path=xl/worksheets/_rels/sheet194.xml.rels><?xml version="1.0" encoding="UTF-8" standalone="yes"?>
<Relationships xmlns="http://schemas.openxmlformats.org/package/2006/relationships"><Relationship Id="rId3" Type="http://schemas.openxmlformats.org/officeDocument/2006/relationships/comments" Target="../comments141.xml"/><Relationship Id="rId2" Type="http://schemas.openxmlformats.org/officeDocument/2006/relationships/vmlDrawing" Target="../drawings/vmlDrawing141.vml"/><Relationship Id="rId1" Type="http://schemas.openxmlformats.org/officeDocument/2006/relationships/printerSettings" Target="../printerSettings/printerSettings114.bin"/><Relationship Id="rId4" Type="http://schemas.microsoft.com/office/2017/10/relationships/threadedComment" Target="../threadedComments/threadedComment123.xml"/></Relationships>
</file>

<file path=xl/worksheets/_rels/sheet195.xml.rels><?xml version="1.0" encoding="UTF-8" standalone="yes"?>
<Relationships xmlns="http://schemas.openxmlformats.org/package/2006/relationships"><Relationship Id="rId3" Type="http://schemas.openxmlformats.org/officeDocument/2006/relationships/comments" Target="../comments142.xml"/><Relationship Id="rId2" Type="http://schemas.openxmlformats.org/officeDocument/2006/relationships/vmlDrawing" Target="../drawings/vmlDrawing142.vml"/><Relationship Id="rId1" Type="http://schemas.openxmlformats.org/officeDocument/2006/relationships/printerSettings" Target="../printerSettings/printerSettings115.bin"/><Relationship Id="rId4" Type="http://schemas.microsoft.com/office/2017/10/relationships/threadedComment" Target="../threadedComments/threadedComment124.xml"/></Relationships>
</file>

<file path=xl/worksheets/_rels/sheet197.xml.rels><?xml version="1.0" encoding="UTF-8" standalone="yes"?>
<Relationships xmlns="http://schemas.openxmlformats.org/package/2006/relationships"><Relationship Id="rId3" Type="http://schemas.openxmlformats.org/officeDocument/2006/relationships/comments" Target="../comments143.xml"/><Relationship Id="rId2" Type="http://schemas.openxmlformats.org/officeDocument/2006/relationships/vmlDrawing" Target="../drawings/vmlDrawing143.vml"/><Relationship Id="rId1" Type="http://schemas.openxmlformats.org/officeDocument/2006/relationships/hyperlink" Target="https://www.autotrader.co.uk/car-details/202207187906352?fromSavedAds=true&amp;advertising-location=at_cars" TargetMode="External"/><Relationship Id="rId4" Type="http://schemas.microsoft.com/office/2017/10/relationships/threadedComment" Target="../threadedComments/threadedComment1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0BCA-0F6B-134C-A1E6-C1023AFD0457}">
  <sheetPr codeName="Sheet3"/>
  <dimension ref="A1:U191"/>
  <sheetViews>
    <sheetView topLeftCell="B59" workbookViewId="0">
      <selection activeCell="R95" sqref="R95"/>
    </sheetView>
  </sheetViews>
  <sheetFormatPr defaultColWidth="11.33203125" defaultRowHeight="14.4" outlineLevelRow="1"/>
  <cols>
    <col min="1" max="1" width="25.44140625" customWidth="1"/>
    <col min="2" max="2" width="27.44140625" customWidth="1"/>
    <col min="3" max="3" width="17.44140625" hidden="1" customWidth="1"/>
    <col min="4" max="4" width="17.44140625" customWidth="1"/>
    <col min="5" max="5" width="17.44140625" style="7" customWidth="1"/>
    <col min="7" max="7" width="19.109375" customWidth="1"/>
    <col min="8" max="8" width="11.33203125" style="79"/>
    <col min="14" max="14" width="14.6640625" style="7" customWidth="1"/>
    <col min="16" max="16" width="16.6640625" style="324" customWidth="1"/>
    <col min="17" max="17" width="16.109375" customWidth="1"/>
  </cols>
  <sheetData>
    <row r="1" spans="1:21">
      <c r="A1" s="744" t="s">
        <v>0</v>
      </c>
      <c r="B1" s="744"/>
      <c r="C1" s="744"/>
      <c r="D1" s="744"/>
      <c r="E1" s="744"/>
      <c r="F1" s="744"/>
      <c r="G1" s="744"/>
      <c r="H1" s="744"/>
      <c r="I1" s="744"/>
      <c r="J1" s="744"/>
      <c r="K1" s="744"/>
      <c r="L1" s="744"/>
      <c r="M1" s="744"/>
      <c r="N1" s="744"/>
      <c r="P1" s="744" t="s">
        <v>1</v>
      </c>
      <c r="Q1" s="744"/>
      <c r="R1" s="744"/>
      <c r="S1" s="744"/>
      <c r="T1" s="744"/>
      <c r="U1" s="744"/>
    </row>
    <row r="2" spans="1:21">
      <c r="A2" s="60" t="s">
        <v>2</v>
      </c>
      <c r="B2" s="60" t="s">
        <v>3</v>
      </c>
      <c r="C2" s="60"/>
      <c r="D2" s="60" t="s">
        <v>4</v>
      </c>
      <c r="E2" s="60" t="s">
        <v>3203</v>
      </c>
      <c r="F2" s="61" t="s">
        <v>6</v>
      </c>
      <c r="G2" s="61" t="s">
        <v>7</v>
      </c>
      <c r="H2" s="61" t="s">
        <v>8</v>
      </c>
      <c r="I2" s="61" t="s">
        <v>9</v>
      </c>
      <c r="J2" s="61" t="s">
        <v>10</v>
      </c>
      <c r="K2" s="61" t="s">
        <v>1291</v>
      </c>
      <c r="L2" s="61" t="s">
        <v>11</v>
      </c>
      <c r="M2" s="61" t="s">
        <v>12</v>
      </c>
      <c r="N2" s="107" t="s">
        <v>13</v>
      </c>
      <c r="P2" s="61" t="s">
        <v>14</v>
      </c>
      <c r="Q2" s="61" t="s">
        <v>15</v>
      </c>
      <c r="R2" s="61" t="s">
        <v>16</v>
      </c>
      <c r="S2" s="61" t="s">
        <v>7</v>
      </c>
      <c r="T2" s="61" t="s">
        <v>9</v>
      </c>
      <c r="U2" s="61" t="s">
        <v>10</v>
      </c>
    </row>
    <row r="3" spans="1:21">
      <c r="A3" s="212" t="s">
        <v>17</v>
      </c>
      <c r="B3" s="740">
        <f>SUM(F4:F12)</f>
        <v>30</v>
      </c>
      <c r="C3" s="740"/>
      <c r="D3" s="740"/>
      <c r="E3" s="740"/>
      <c r="F3" s="740"/>
      <c r="G3" s="213"/>
      <c r="H3" s="213"/>
      <c r="I3" s="213"/>
      <c r="J3" s="213">
        <f ca="1">SUM(J4:J12)</f>
        <v>-5</v>
      </c>
      <c r="K3" s="213">
        <f>SUM(B3,R3)</f>
        <v>140</v>
      </c>
      <c r="L3" s="213">
        <f>($F$105/12)-K3</f>
        <v>95</v>
      </c>
      <c r="M3" s="213">
        <f>IF(N3&lt;&gt;"",N3,($F$105/12)-(B3-R3)+(J3+U3))</f>
        <v>275.43</v>
      </c>
      <c r="N3" s="7">
        <v>275.43</v>
      </c>
      <c r="P3" s="62" t="s">
        <v>17</v>
      </c>
      <c r="Q3" s="212"/>
      <c r="R3" s="213">
        <f>SUM(R4:R12)</f>
        <v>110</v>
      </c>
      <c r="S3" s="212"/>
      <c r="T3" s="212"/>
      <c r="U3" s="63">
        <f>SUM(U4:U12)</f>
        <v>110</v>
      </c>
    </row>
    <row r="4" spans="1:21" outlineLevel="1">
      <c r="A4" s="78" t="s">
        <v>1577</v>
      </c>
      <c r="B4" s="265">
        <v>43102</v>
      </c>
      <c r="C4" s="80"/>
      <c r="D4" s="80"/>
      <c r="E4" s="79">
        <f t="shared" ref="E4:E12" ca="1" si="0">DATEDIF(B4,NOW(),"y")</f>
        <v>8</v>
      </c>
      <c r="F4" s="11">
        <v>20</v>
      </c>
      <c r="G4" s="67"/>
      <c r="J4" s="11"/>
      <c r="K4" s="11"/>
      <c r="L4" s="11"/>
      <c r="M4" s="11"/>
      <c r="P4" s="78"/>
      <c r="R4" s="11"/>
      <c r="U4" s="326"/>
    </row>
    <row r="5" spans="1:21" outlineLevel="1">
      <c r="A5" s="78" t="s">
        <v>18</v>
      </c>
      <c r="B5" s="265">
        <v>39453</v>
      </c>
      <c r="C5" s="80" t="str">
        <f>TEXT(B5,"MMDD")</f>
        <v>0106</v>
      </c>
      <c r="D5" s="80"/>
      <c r="E5" s="79">
        <f ca="1">DATEDIF(B5,NOW(),"y")</f>
        <v>18</v>
      </c>
      <c r="F5" s="11">
        <v>10</v>
      </c>
      <c r="G5" s="67" t="s">
        <v>19</v>
      </c>
      <c r="H5" s="79" t="s">
        <v>20</v>
      </c>
      <c r="I5">
        <v>10</v>
      </c>
      <c r="J5" s="11">
        <f ca="1">IF(N5="MISSED",F5,F5-I5)</f>
        <v>0</v>
      </c>
      <c r="K5" s="11"/>
      <c r="L5" s="11"/>
      <c r="M5" s="11"/>
      <c r="N5" s="7" t="str">
        <f t="shared" ref="N5:N12" ca="1" si="1">IF(TEXT(TODAY(),"YYYY")=RIGHT(A$2,4), IF(ISERROR(DATEDIF(TEXT(TODAY(),"dd/mm/yyyy"),TEXT(B5,"dd/mm/")&amp;RIGHT(A$2,4),"d")),IF(H5="Y","DONE","MISSED"), IF(DATEDIF(TEXT(TODAY(),"dd/mm/yyyy"),TEXT(B5,"dd/mm/")&amp;RIGHT(A$2,4),"d") = 0,"TODAY!!!", IF(DATEDIF(TEXT(TODAY(),"dd/mm/yyyy"),TEXT(B5,"dd/mm/")&amp;RIGHT(A$2,4),"d") &gt; 0, DATEDIF(TEXT(TODAY(),"dd/mm/yyyy"), TEXT(B5,"dd/mm/")&amp;RIGHT(A$2,4),"d")&amp;" Days to go!",""))),"")</f>
        <v/>
      </c>
      <c r="P5" s="78" t="s">
        <v>21</v>
      </c>
      <c r="Q5">
        <v>1</v>
      </c>
      <c r="R5" s="11">
        <v>110</v>
      </c>
      <c r="U5" s="326">
        <f>R5-T5</f>
        <v>110</v>
      </c>
    </row>
    <row r="6" spans="1:21" outlineLevel="1">
      <c r="A6" s="78" t="s">
        <v>22</v>
      </c>
      <c r="B6" s="265">
        <f>DATE(1990,1,6)</f>
        <v>32879</v>
      </c>
      <c r="C6" s="80" t="str">
        <f t="shared" ref="C6:C54" si="2">TEXT(B6,"MMDD")</f>
        <v>0106</v>
      </c>
      <c r="D6" s="80"/>
      <c r="E6" s="79">
        <f t="shared" ca="1" si="0"/>
        <v>36</v>
      </c>
      <c r="F6" s="11">
        <v>0</v>
      </c>
      <c r="G6" s="67"/>
      <c r="J6" s="11">
        <f t="shared" ref="J6:J12" ca="1" si="3">IF(N6="MISSED",F6,F6-I6)</f>
        <v>0</v>
      </c>
      <c r="K6" s="11"/>
      <c r="L6" s="11"/>
      <c r="M6" s="11"/>
      <c r="N6" s="7" t="str">
        <f t="shared" ca="1" si="1"/>
        <v/>
      </c>
      <c r="P6" s="62"/>
      <c r="R6" s="11"/>
      <c r="U6" s="78"/>
    </row>
    <row r="7" spans="1:21" outlineLevel="1">
      <c r="A7" s="78" t="s">
        <v>23</v>
      </c>
      <c r="B7" s="265">
        <v>42376</v>
      </c>
      <c r="C7" s="80" t="str">
        <f t="shared" si="2"/>
        <v>0107</v>
      </c>
      <c r="D7" s="80"/>
      <c r="E7" s="79">
        <f t="shared" ca="1" si="0"/>
        <v>10</v>
      </c>
      <c r="F7" s="11">
        <v>0</v>
      </c>
      <c r="G7" s="67"/>
      <c r="J7" s="11">
        <f t="shared" ca="1" si="3"/>
        <v>0</v>
      </c>
      <c r="K7" s="11"/>
      <c r="L7" s="11"/>
      <c r="M7" s="11"/>
      <c r="N7" s="7" t="str">
        <f t="shared" ca="1" si="1"/>
        <v/>
      </c>
      <c r="P7" s="62"/>
      <c r="R7" s="11"/>
      <c r="U7" s="78"/>
    </row>
    <row r="8" spans="1:21" outlineLevel="1">
      <c r="A8" s="78" t="s">
        <v>24</v>
      </c>
      <c r="B8" s="265">
        <v>42378</v>
      </c>
      <c r="C8" s="80" t="str">
        <f t="shared" si="2"/>
        <v>0109</v>
      </c>
      <c r="D8" s="80"/>
      <c r="E8" s="79">
        <f t="shared" ca="1" si="0"/>
        <v>10</v>
      </c>
      <c r="F8" s="11">
        <v>0</v>
      </c>
      <c r="G8" s="67"/>
      <c r="H8" s="79" t="s">
        <v>20</v>
      </c>
      <c r="I8">
        <v>5</v>
      </c>
      <c r="J8" s="11">
        <f t="shared" ca="1" si="3"/>
        <v>-5</v>
      </c>
      <c r="K8" s="11"/>
      <c r="L8" s="11"/>
      <c r="M8" s="11"/>
      <c r="N8" s="7" t="str">
        <f t="shared" ca="1" si="1"/>
        <v/>
      </c>
      <c r="P8" s="62"/>
      <c r="R8" s="11"/>
      <c r="U8" s="78"/>
    </row>
    <row r="9" spans="1:21" outlineLevel="1">
      <c r="A9" s="78" t="s">
        <v>3072</v>
      </c>
      <c r="B9" s="265">
        <v>42382</v>
      </c>
      <c r="C9" s="80" t="str">
        <f t="shared" si="2"/>
        <v>0113</v>
      </c>
      <c r="D9" s="80"/>
      <c r="E9" s="79">
        <f t="shared" ca="1" si="0"/>
        <v>10</v>
      </c>
      <c r="F9" s="11">
        <v>0</v>
      </c>
      <c r="G9" s="67"/>
      <c r="J9" s="11">
        <f t="shared" ca="1" si="3"/>
        <v>0</v>
      </c>
      <c r="K9" s="11"/>
      <c r="L9" s="11"/>
      <c r="M9" s="11"/>
      <c r="N9" s="7" t="str">
        <f t="shared" ca="1" si="1"/>
        <v/>
      </c>
      <c r="P9" s="62"/>
      <c r="R9" s="11"/>
      <c r="U9" s="78"/>
    </row>
    <row r="10" spans="1:21" outlineLevel="1">
      <c r="A10" s="78" t="s">
        <v>26</v>
      </c>
      <c r="B10" s="265">
        <v>42383</v>
      </c>
      <c r="C10" s="80" t="str">
        <f t="shared" si="2"/>
        <v>0114</v>
      </c>
      <c r="D10" s="80"/>
      <c r="E10" s="79">
        <f t="shared" ca="1" si="0"/>
        <v>10</v>
      </c>
      <c r="F10" s="11">
        <v>0</v>
      </c>
      <c r="G10" s="67"/>
      <c r="J10" s="11">
        <f t="shared" ca="1" si="3"/>
        <v>0</v>
      </c>
      <c r="K10" s="11"/>
      <c r="L10" s="11"/>
      <c r="M10" s="11"/>
      <c r="N10" s="7" t="str">
        <f t="shared" ca="1" si="1"/>
        <v/>
      </c>
      <c r="P10" s="62"/>
      <c r="R10" s="11"/>
      <c r="U10" s="78"/>
    </row>
    <row r="11" spans="1:21" outlineLevel="1">
      <c r="A11" s="78" t="s">
        <v>27</v>
      </c>
      <c r="B11" s="265">
        <v>20115</v>
      </c>
      <c r="C11" s="80" t="str">
        <f t="shared" si="2"/>
        <v>0126</v>
      </c>
      <c r="D11" s="80"/>
      <c r="E11" s="79">
        <f t="shared" ca="1" si="0"/>
        <v>71</v>
      </c>
      <c r="F11" s="11">
        <v>0</v>
      </c>
      <c r="G11" s="67"/>
      <c r="J11" s="11">
        <f t="shared" ca="1" si="3"/>
        <v>0</v>
      </c>
      <c r="K11" s="11"/>
      <c r="L11" s="11"/>
      <c r="M11" s="11"/>
      <c r="N11" s="7" t="str">
        <f t="shared" ca="1" si="1"/>
        <v/>
      </c>
      <c r="P11" s="62"/>
      <c r="R11" s="11"/>
      <c r="U11" s="78"/>
    </row>
    <row r="12" spans="1:21" outlineLevel="1">
      <c r="A12" s="78" t="s">
        <v>28</v>
      </c>
      <c r="B12" s="265">
        <v>42396</v>
      </c>
      <c r="C12" s="80" t="str">
        <f t="shared" si="2"/>
        <v>0127</v>
      </c>
      <c r="D12" s="80"/>
      <c r="E12" s="79">
        <f t="shared" ca="1" si="0"/>
        <v>10</v>
      </c>
      <c r="F12" s="11">
        <v>0</v>
      </c>
      <c r="G12" s="11"/>
      <c r="J12" s="11">
        <f t="shared" ca="1" si="3"/>
        <v>0</v>
      </c>
      <c r="K12" s="11"/>
      <c r="L12" s="11"/>
      <c r="M12" s="11"/>
      <c r="N12" s="7" t="str">
        <f t="shared" ca="1" si="1"/>
        <v/>
      </c>
      <c r="P12" s="62"/>
      <c r="R12" s="11"/>
      <c r="U12" s="78"/>
    </row>
    <row r="13" spans="1:21" outlineLevel="1">
      <c r="A13" s="323"/>
      <c r="B13" s="265"/>
      <c r="C13" s="80"/>
      <c r="D13" s="80"/>
      <c r="E13" s="79"/>
      <c r="F13" s="11"/>
      <c r="G13" s="11"/>
      <c r="J13" s="11"/>
      <c r="K13" s="11"/>
      <c r="L13" s="11"/>
      <c r="M13" s="11"/>
      <c r="R13" s="11"/>
      <c r="U13" s="78"/>
    </row>
    <row r="14" spans="1:21">
      <c r="A14" s="62" t="s">
        <v>29</v>
      </c>
      <c r="B14" s="740">
        <f>SUM(F15:F19)</f>
        <v>30</v>
      </c>
      <c r="C14" s="740"/>
      <c r="D14" s="740"/>
      <c r="E14" s="740"/>
      <c r="F14" s="740"/>
      <c r="G14" s="11"/>
      <c r="J14" s="213">
        <f ca="1">SUM(J15:J19)</f>
        <v>-25.99</v>
      </c>
      <c r="K14" s="213">
        <f>SUM(B14,R14)</f>
        <v>80</v>
      </c>
      <c r="L14" s="213">
        <f>L3+($F$105/12)-B14-R14</f>
        <v>250</v>
      </c>
      <c r="M14" s="213">
        <f ca="1">IF(N14&lt;&gt;"",N14,(M3+($F$105/12))-B14-R14+(J14+U14))</f>
        <v>454.44</v>
      </c>
      <c r="P14" s="62" t="s">
        <v>29</v>
      </c>
      <c r="Q14" s="212"/>
      <c r="R14" s="213">
        <f>SUM(R15:R19)</f>
        <v>50</v>
      </c>
      <c r="S14" s="212"/>
      <c r="T14" s="212"/>
      <c r="U14" s="63">
        <f>SUM(U15:U19)</f>
        <v>50</v>
      </c>
    </row>
    <row r="15" spans="1:21" outlineLevel="1">
      <c r="A15" s="78" t="s">
        <v>30</v>
      </c>
      <c r="B15" s="265">
        <v>42401</v>
      </c>
      <c r="C15" s="80" t="str">
        <f t="shared" si="2"/>
        <v>0201</v>
      </c>
      <c r="D15" s="80"/>
      <c r="E15" s="79">
        <f ca="1">DATEDIF(B15,NOW(),"y")</f>
        <v>10</v>
      </c>
      <c r="F15" s="11">
        <v>0</v>
      </c>
      <c r="G15" s="67" t="s">
        <v>31</v>
      </c>
      <c r="J15" s="11">
        <f ca="1">IF(N15="MISSED",F15,F15-I15)</f>
        <v>0</v>
      </c>
      <c r="K15" s="11"/>
      <c r="L15" s="11"/>
      <c r="M15" s="11"/>
      <c r="N15" s="7" t="str">
        <f ca="1">IF(TEXT(TODAY(),"YYYY")=RIGHT(A$2,4), IF(ISERROR(DATEDIF(TEXT(TODAY(),"dd/mm/yyyy"),TEXT(B15,"dd/mm/")&amp;RIGHT(A$2,4),"d")),IF(H15="Y","DONE","MISSED"), IF(DATEDIF(TEXT(TODAY(),"dd/mm/yyyy"),TEXT(B15,"dd/mm/")&amp;RIGHT(A$2,4),"d") = 0,"TODAY!!!", IF(DATEDIF(TEXT(TODAY(),"dd/mm/yyyy"),TEXT(B15,"dd/mm/")&amp;RIGHT(A$2,4),"d") &gt; 0, DATEDIF(TEXT(TODAY(),"dd/mm/yyyy"), TEXT(B15,"dd/mm/")&amp;RIGHT(A$2,4),"d")&amp;" Days to go!",""))),"")</f>
        <v/>
      </c>
      <c r="P15" s="78" t="s">
        <v>32</v>
      </c>
      <c r="Q15" t="s">
        <v>33</v>
      </c>
      <c r="R15" s="11">
        <v>50</v>
      </c>
      <c r="U15" s="326">
        <f>R15-T15</f>
        <v>50</v>
      </c>
    </row>
    <row r="16" spans="1:21" outlineLevel="1">
      <c r="A16" s="78" t="s">
        <v>3075</v>
      </c>
      <c r="B16" s="265">
        <v>45691</v>
      </c>
      <c r="C16" s="80"/>
      <c r="D16" s="80"/>
      <c r="E16" s="79">
        <f ca="1">DATEDIF(B16,NOW(),"y")</f>
        <v>1</v>
      </c>
      <c r="F16" s="11">
        <v>20</v>
      </c>
      <c r="G16" s="67"/>
      <c r="J16" s="11"/>
      <c r="K16" s="11"/>
      <c r="L16" s="11"/>
      <c r="M16" s="11"/>
      <c r="P16" s="78"/>
      <c r="R16" s="11"/>
      <c r="U16" s="326"/>
    </row>
    <row r="17" spans="1:21" outlineLevel="1">
      <c r="A17" s="78" t="s">
        <v>34</v>
      </c>
      <c r="B17" s="265">
        <v>34368</v>
      </c>
      <c r="C17" s="80" t="str">
        <f t="shared" si="2"/>
        <v>0203</v>
      </c>
      <c r="D17" s="80"/>
      <c r="E17" s="79">
        <f ca="1">DATEDIF(B17,NOW(),"y")</f>
        <v>32</v>
      </c>
      <c r="F17" s="11">
        <v>0</v>
      </c>
      <c r="G17" s="67"/>
      <c r="H17" s="79" t="s">
        <v>20</v>
      </c>
      <c r="I17">
        <v>25.99</v>
      </c>
      <c r="J17" s="11">
        <f ca="1">IF(N17="MISSED",F17,F17-I17)</f>
        <v>-25.99</v>
      </c>
      <c r="K17" s="11"/>
      <c r="L17" s="11"/>
      <c r="M17" s="11"/>
      <c r="N17" s="7" t="str">
        <f ca="1">IF(TEXT(TODAY(),"YYYY")=RIGHT(A$2,4), IF(ISERROR(DATEDIF(TEXT(TODAY(),"dd/mm/yyyy"),TEXT(B17,"dd/mm/")&amp;RIGHT(A$2,4),"d")),IF(H17="Y","DONE","MISSED"), IF(DATEDIF(TEXT(TODAY(),"dd/mm/yyyy"),TEXT(B17,"dd/mm/")&amp;RIGHT(A$2,4),"d") = 0,"TODAY!!!", IF(DATEDIF(TEXT(TODAY(),"dd/mm/yyyy"),TEXT(B17,"dd/mm/")&amp;RIGHT(A$2,4),"d") &gt; 0, DATEDIF(TEXT(TODAY(),"dd/mm/yyyy"), TEXT(B17,"dd/mm/")&amp;RIGHT(A$2,4),"d")&amp;" Days to go!",""))),"")</f>
        <v/>
      </c>
      <c r="P17" s="62"/>
      <c r="R17" s="11"/>
      <c r="U17" s="78"/>
    </row>
    <row r="18" spans="1:21" outlineLevel="1">
      <c r="A18" s="78" t="s">
        <v>35</v>
      </c>
      <c r="B18" s="265">
        <v>42404</v>
      </c>
      <c r="C18" s="80" t="str">
        <f t="shared" si="2"/>
        <v>0204</v>
      </c>
      <c r="D18" s="80"/>
      <c r="E18" s="79">
        <f ca="1">DATEDIF(B18,NOW(),"y")</f>
        <v>10</v>
      </c>
      <c r="F18" s="11">
        <v>0</v>
      </c>
      <c r="G18" s="67"/>
      <c r="J18" s="11">
        <f ca="1">IF(N18="MISSED",F18,F18-I18)</f>
        <v>0</v>
      </c>
      <c r="K18" s="11"/>
      <c r="L18" s="11"/>
      <c r="M18" s="11"/>
      <c r="N18" s="7" t="str">
        <f ca="1">IF(TEXT(TODAY(),"YYYY")=RIGHT(A$2,4), IF(ISERROR(DATEDIF(TEXT(TODAY(),"dd/mm/yyyy"),TEXT(B18,"dd/mm/")&amp;RIGHT(A$2,4),"d")),IF(H18="Y","DONE","MISSED"), IF(DATEDIF(TEXT(TODAY(),"dd/mm/yyyy"),TEXT(B18,"dd/mm/")&amp;RIGHT(A$2,4),"d") = 0,"TODAY!!!", IF(DATEDIF(TEXT(TODAY(),"dd/mm/yyyy"),TEXT(B18,"dd/mm/")&amp;RIGHT(A$2,4),"d") &gt; 0, DATEDIF(TEXT(TODAY(),"dd/mm/yyyy"), TEXT(B18,"dd/mm/")&amp;RIGHT(A$2,4),"d")&amp;" Days to go!",""))),"")</f>
        <v/>
      </c>
      <c r="P18" s="62"/>
      <c r="R18" s="11"/>
      <c r="U18" s="78"/>
    </row>
    <row r="19" spans="1:21" outlineLevel="1">
      <c r="A19" s="78" t="s">
        <v>36</v>
      </c>
      <c r="B19" s="265">
        <v>40215</v>
      </c>
      <c r="C19" s="80" t="str">
        <f t="shared" si="2"/>
        <v>0206</v>
      </c>
      <c r="D19" s="80"/>
      <c r="E19" s="79">
        <f ca="1">DATEDIF(B19,NOW(),"y")</f>
        <v>16</v>
      </c>
      <c r="F19" s="11">
        <v>10</v>
      </c>
      <c r="G19" s="67" t="s">
        <v>19</v>
      </c>
      <c r="H19" s="79" t="s">
        <v>20</v>
      </c>
      <c r="I19">
        <v>10</v>
      </c>
      <c r="J19" s="11">
        <f ca="1">IF(N19="MISSED",F19,F19-I19)</f>
        <v>0</v>
      </c>
      <c r="K19" s="11"/>
      <c r="L19" s="11"/>
      <c r="M19" s="11"/>
      <c r="N19" s="7" t="str">
        <f ca="1">IF(TEXT(TODAY(),"YYYY")=RIGHT(A$2,4), IF(ISERROR(DATEDIF(TEXT(TODAY(),"dd/mm/yyyy"),TEXT(B19,"dd/mm/")&amp;RIGHT(A$2,4),"d")),IF(H19="Y","DONE","MISSED"), IF(DATEDIF(TEXT(TODAY(),"dd/mm/yyyy"),TEXT(B19,"dd/mm/")&amp;RIGHT(A$2,4),"d") = 0,"TODAY!!!", IF(DATEDIF(TEXT(TODAY(),"dd/mm/yyyy"),TEXT(B19,"dd/mm/")&amp;RIGHT(A$2,4),"d") &gt; 0, DATEDIF(TEXT(TODAY(),"dd/mm/yyyy"), TEXT(B19,"dd/mm/")&amp;RIGHT(A$2,4),"d")&amp;" Days to go!",""))),"")</f>
        <v/>
      </c>
      <c r="P19" s="62"/>
      <c r="R19" s="11"/>
      <c r="U19" s="78"/>
    </row>
    <row r="20" spans="1:21" outlineLevel="1">
      <c r="A20" s="323"/>
      <c r="B20" s="265"/>
      <c r="C20" s="80"/>
      <c r="D20" s="80"/>
      <c r="E20" s="79"/>
      <c r="F20" s="11"/>
      <c r="G20" s="67"/>
      <c r="J20" s="11"/>
      <c r="K20" s="11"/>
      <c r="L20" s="11"/>
      <c r="M20" s="11"/>
      <c r="P20" s="324">
        <f>275+250</f>
        <v>525</v>
      </c>
      <c r="R20" s="11"/>
      <c r="U20" s="78"/>
    </row>
    <row r="21" spans="1:21">
      <c r="A21" s="62" t="s">
        <v>37</v>
      </c>
      <c r="B21" s="740">
        <f>SUM(F22:F30)</f>
        <v>105</v>
      </c>
      <c r="C21" s="740"/>
      <c r="D21" s="740"/>
      <c r="E21" s="740"/>
      <c r="F21" s="740"/>
      <c r="G21" s="67"/>
      <c r="J21" s="213">
        <f ca="1">SUM(J22:J30)</f>
        <v>80</v>
      </c>
      <c r="K21" s="213">
        <f>SUM(B21,R21)</f>
        <v>305</v>
      </c>
      <c r="L21" s="213">
        <f>L14+(($F$105/12)-B21-R21)</f>
        <v>180</v>
      </c>
      <c r="M21" s="213">
        <f ca="1">IF(N21&lt;&gt;"",N21,(M14+($F$105/12))-B21-R21+(J21+U21))</f>
        <v>664.44</v>
      </c>
      <c r="P21" s="62" t="s">
        <v>37</v>
      </c>
      <c r="Q21" s="212"/>
      <c r="R21" s="213">
        <f>SUM(R24:R28)</f>
        <v>200</v>
      </c>
      <c r="S21" s="212"/>
      <c r="T21" s="212"/>
      <c r="U21" s="63">
        <f>SUM(U24:U28)</f>
        <v>200</v>
      </c>
    </row>
    <row r="22" spans="1:21">
      <c r="A22" s="78" t="s">
        <v>38</v>
      </c>
      <c r="B22" s="265">
        <v>27829</v>
      </c>
      <c r="C22" s="91"/>
      <c r="D22" s="91"/>
      <c r="E22" s="79">
        <f t="shared" ref="E22:E30" ca="1" si="4">DATEDIF(B22,NOW(),"y")</f>
        <v>50</v>
      </c>
      <c r="F22" s="11">
        <v>0</v>
      </c>
      <c r="G22" s="67"/>
      <c r="H22" s="79" t="s">
        <v>20</v>
      </c>
      <c r="J22" s="11">
        <f t="shared" ref="J22:J30" ca="1" si="5">IF(N22="MISSED",F22,F22-I22)</f>
        <v>0</v>
      </c>
      <c r="K22" s="11"/>
      <c r="L22" s="213"/>
      <c r="M22" s="213"/>
      <c r="N22" s="7" t="str">
        <f ca="1">IF(TEXT(TODAY(),"YYYY")=RIGHT(A$2,4), IF(ISERROR(DATEDIF(TEXT(TODAY(),"dd/mm/yyyy"),TEXT(B22,"dd/mm/")&amp;RIGHT(A$2,4),"d")),IF(H22="Y","DONE","MISSED"), IF(DATEDIF(TEXT(TODAY(),"dd/mm/yyyy"),TEXT(B22,"dd/mm/")&amp;RIGHT(A$2,4),"d") = 0,"TODAY!!!", IF(DATEDIF(TEXT(TODAY(),"dd/mm/yyyy"),TEXT(B22,"dd/mm/")&amp;RIGHT(A$2,4),"d") &gt; 0, DATEDIF(TEXT(TODAY(),"dd/mm/yyyy"), TEXT(B22,"dd/mm/")&amp;RIGHT(A$2,4),"d")&amp;" Days to go!",""))),"")</f>
        <v/>
      </c>
      <c r="P22" s="62"/>
      <c r="Q22" s="212"/>
      <c r="R22" s="213"/>
      <c r="S22" s="212"/>
      <c r="T22" s="212"/>
      <c r="U22" s="63"/>
    </row>
    <row r="23" spans="1:21">
      <c r="A23" s="78" t="s">
        <v>39</v>
      </c>
      <c r="B23" s="265"/>
      <c r="C23" s="91"/>
      <c r="D23" s="91"/>
      <c r="E23" s="79"/>
      <c r="F23" s="11">
        <v>40</v>
      </c>
      <c r="G23" s="67"/>
      <c r="H23" s="79" t="s">
        <v>20</v>
      </c>
      <c r="J23" s="11">
        <f t="shared" si="5"/>
        <v>40</v>
      </c>
      <c r="K23" s="11"/>
      <c r="L23" s="213"/>
      <c r="M23" s="213"/>
      <c r="P23" s="62"/>
      <c r="Q23" s="212"/>
      <c r="R23" s="213"/>
      <c r="S23" s="212"/>
      <c r="T23" s="212"/>
      <c r="U23" s="63"/>
    </row>
    <row r="24" spans="1:21" outlineLevel="1">
      <c r="A24" s="78" t="s">
        <v>40</v>
      </c>
      <c r="B24" s="265">
        <v>37694</v>
      </c>
      <c r="C24" s="80" t="str">
        <f t="shared" si="2"/>
        <v>0314</v>
      </c>
      <c r="D24" s="80"/>
      <c r="E24" s="79">
        <f t="shared" ca="1" si="4"/>
        <v>23</v>
      </c>
      <c r="F24" s="11">
        <v>0</v>
      </c>
      <c r="G24" s="67" t="s">
        <v>19</v>
      </c>
      <c r="H24" s="79" t="s">
        <v>20</v>
      </c>
      <c r="J24" s="11">
        <f t="shared" ca="1" si="5"/>
        <v>0</v>
      </c>
      <c r="K24" s="11"/>
      <c r="L24" s="11"/>
      <c r="M24" s="11"/>
      <c r="N24" s="7" t="str">
        <f ca="1">IF(TEXT(TODAY(),"YYYY")=RIGHT(A$2,4), IF(ISERROR(DATEDIF(TEXT(TODAY(),"dd/mm/yyyy"),TEXT(B24,"dd/mm/")&amp;RIGHT(A$2,4),"d")),IF(H24="Y","DONE","MISSED"), IF(DATEDIF(TEXT(TODAY(),"dd/mm/yyyy"),TEXT(B24,"dd/mm/")&amp;RIGHT(A$2,4),"d") = 0,"TODAY!!!", IF(DATEDIF(TEXT(TODAY(),"dd/mm/yyyy"),TEXT(B24,"dd/mm/")&amp;RIGHT(A$2,4),"d") &gt; 0, DATEDIF(TEXT(TODAY(),"dd/mm/yyyy"), TEXT(B24,"dd/mm/")&amp;RIGHT(A$2,4),"d")&amp;" Days to go!",""))),"")</f>
        <v/>
      </c>
      <c r="P24" s="78" t="s">
        <v>41</v>
      </c>
      <c r="Q24" t="s">
        <v>42</v>
      </c>
      <c r="R24" s="214">
        <v>100</v>
      </c>
      <c r="S24" t="s">
        <v>43</v>
      </c>
      <c r="U24" s="326">
        <f>R24-T24</f>
        <v>100</v>
      </c>
    </row>
    <row r="25" spans="1:21" outlineLevel="1">
      <c r="A25" s="78" t="s">
        <v>44</v>
      </c>
      <c r="B25" s="265">
        <v>37694</v>
      </c>
      <c r="C25" s="80" t="str">
        <f t="shared" si="2"/>
        <v>0314</v>
      </c>
      <c r="D25" s="80"/>
      <c r="E25" s="79">
        <f t="shared" ca="1" si="4"/>
        <v>23</v>
      </c>
      <c r="F25" s="11">
        <v>0</v>
      </c>
      <c r="G25" s="67" t="s">
        <v>19</v>
      </c>
      <c r="H25" s="79" t="s">
        <v>20</v>
      </c>
      <c r="J25" s="11">
        <f t="shared" ca="1" si="5"/>
        <v>0</v>
      </c>
      <c r="K25" s="11"/>
      <c r="L25" s="11"/>
      <c r="M25" s="11"/>
      <c r="N25" s="7" t="str">
        <f ca="1">IF(TEXT(TODAY(),"YYYY")=RIGHT(A$2,4), IF(ISERROR(DATEDIF(TEXT(TODAY(),"dd/mm/yyyy"),TEXT(B25,"dd/mm/")&amp;RIGHT(A$2,4),"d")),IF(H25="Y","DONE","MISSED"), IF(DATEDIF(TEXT(TODAY(),"dd/mm/yyyy"),TEXT(B25,"dd/mm/")&amp;RIGHT(A$2,4),"d") = 0,"TODAY!!!", IF(DATEDIF(TEXT(TODAY(),"dd/mm/yyyy"),TEXT(B25,"dd/mm/")&amp;RIGHT(A$2,4),"d") &gt; 0, DATEDIF(TEXT(TODAY(),"dd/mm/yyyy"), TEXT(B25,"dd/mm/")&amp;RIGHT(A$2,4),"d")&amp;" Days to go!",""))),"")</f>
        <v/>
      </c>
      <c r="P25" s="78" t="s">
        <v>45</v>
      </c>
      <c r="Q25" t="s">
        <v>46</v>
      </c>
      <c r="R25" s="11">
        <v>100</v>
      </c>
      <c r="S25" t="s">
        <v>47</v>
      </c>
      <c r="U25" s="326">
        <f>R25-T25</f>
        <v>100</v>
      </c>
    </row>
    <row r="26" spans="1:21" outlineLevel="1">
      <c r="A26" s="78" t="s">
        <v>48</v>
      </c>
      <c r="B26" s="265">
        <v>35145</v>
      </c>
      <c r="C26" s="80" t="str">
        <f t="shared" si="2"/>
        <v>0321</v>
      </c>
      <c r="D26" s="80"/>
      <c r="E26" s="79">
        <f t="shared" ca="1" si="4"/>
        <v>30</v>
      </c>
      <c r="F26" s="11">
        <v>0</v>
      </c>
      <c r="G26" s="67"/>
      <c r="J26" s="11">
        <f t="shared" ca="1" si="5"/>
        <v>0</v>
      </c>
      <c r="K26" s="11"/>
      <c r="L26" s="11"/>
      <c r="M26" s="11"/>
      <c r="N26" s="7" t="str">
        <f ca="1">IF(TEXT(TODAY(),"YYYY")=RIGHT(A$2,4), IF(ISERROR(DATEDIF(TEXT(TODAY(),"dd/mm/yyyy"),TEXT(B26,"dd/mm/")&amp;RIGHT(A$2,4),"d")),IF(H26="Y","DONE","MISSED"), IF(DATEDIF(TEXT(TODAY(),"dd/mm/yyyy"),TEXT(B26,"dd/mm/")&amp;RIGHT(A$2,4),"d") = 0,"TODAY!!!", IF(DATEDIF(TEXT(TODAY(),"dd/mm/yyyy"),TEXT(B26,"dd/mm/")&amp;RIGHT(A$2,4),"d") &gt; 0, DATEDIF(TEXT(TODAY(),"dd/mm/yyyy"), TEXT(B26,"dd/mm/")&amp;RIGHT(A$2,4),"d")&amp;" Days to go!",""))),"")</f>
        <v/>
      </c>
      <c r="P26" s="62"/>
      <c r="R26" s="11"/>
      <c r="U26" s="78"/>
    </row>
    <row r="27" spans="1:21" outlineLevel="1">
      <c r="A27" s="78" t="s">
        <v>49</v>
      </c>
      <c r="B27" s="265">
        <v>42453</v>
      </c>
      <c r="C27" s="80" t="str">
        <f t="shared" si="2"/>
        <v>0324</v>
      </c>
      <c r="D27" s="80" t="s">
        <v>50</v>
      </c>
      <c r="E27" s="79">
        <f t="shared" ca="1" si="4"/>
        <v>10</v>
      </c>
      <c r="F27" s="11">
        <v>0</v>
      </c>
      <c r="G27" s="67"/>
      <c r="J27" s="11">
        <f t="shared" ca="1" si="5"/>
        <v>0</v>
      </c>
      <c r="K27" s="11"/>
      <c r="L27" s="11"/>
      <c r="M27" s="11"/>
      <c r="N27" s="7" t="str">
        <f ca="1">IF(TEXT(TODAY(),"YYYY")=RIGHT(A$2,4), IF(ISERROR(DATEDIF(TEXT(TODAY(),"dd/mm/yyyy"),TEXT(B27,"dd/mm/")&amp;RIGHT(A$2,4),"d")),IF(H27="Y","DONE","MISSED"), IF(DATEDIF(TEXT(TODAY(),"dd/mm/yyyy"),TEXT(B27,"dd/mm/")&amp;RIGHT(A$2,4),"d") = 0,"TODAY!!!", IF(DATEDIF(TEXT(TODAY(),"dd/mm/yyyy"),TEXT(B27,"dd/mm/")&amp;RIGHT(A$2,4),"d") &gt; 0, DATEDIF(TEXT(TODAY(),"dd/mm/yyyy"), TEXT(B27,"dd/mm/")&amp;RIGHT(A$2,4),"d")&amp;" Days to go!",""))),"")</f>
        <v/>
      </c>
      <c r="P27" s="62"/>
      <c r="R27" s="11"/>
      <c r="U27" s="78"/>
    </row>
    <row r="28" spans="1:21" outlineLevel="1">
      <c r="A28" s="78" t="s">
        <v>51</v>
      </c>
      <c r="B28" s="265">
        <v>42458</v>
      </c>
      <c r="C28" s="80" t="str">
        <f t="shared" si="2"/>
        <v>0329</v>
      </c>
      <c r="D28" s="80"/>
      <c r="E28" s="79">
        <f t="shared" ca="1" si="4"/>
        <v>10</v>
      </c>
      <c r="F28" s="11">
        <v>0</v>
      </c>
      <c r="G28" s="67"/>
      <c r="J28" s="11">
        <f t="shared" ca="1" si="5"/>
        <v>0</v>
      </c>
      <c r="K28" s="11"/>
      <c r="L28" s="11"/>
      <c r="M28" s="11"/>
      <c r="N28" s="7" t="str">
        <f ca="1">IF(TEXT(TODAY(),"YYYY")=RIGHT(A$2,4), IF(ISERROR(DATEDIF(TEXT(TODAY(),"dd/mm/yyyy"),TEXT(B28,"dd/mm/")&amp;RIGHT(A$2,4),"d")),IF(H28="Y","DONE","MISSED"), IF(DATEDIF(TEXT(TODAY(),"dd/mm/yyyy"),TEXT(B28,"dd/mm/")&amp;RIGHT(A$2,4),"d") = 0,"TODAY!!!", IF(DATEDIF(TEXT(TODAY(),"dd/mm/yyyy"),TEXT(B28,"dd/mm/")&amp;RIGHT(A$2,4),"d") &gt; 0, DATEDIF(TEXT(TODAY(),"dd/mm/yyyy"), TEXT(B28,"dd/mm/")&amp;RIGHT(A$2,4),"d")&amp;" Days to go!",""))),"")</f>
        <v/>
      </c>
      <c r="P28" s="62"/>
      <c r="R28" s="11"/>
      <c r="U28" s="78"/>
    </row>
    <row r="29" spans="1:21" outlineLevel="1">
      <c r="A29" s="78" t="s">
        <v>1494</v>
      </c>
      <c r="B29" s="265">
        <v>42823</v>
      </c>
      <c r="C29" s="80"/>
      <c r="D29" s="80"/>
      <c r="E29" s="79">
        <f t="shared" ca="1" si="4"/>
        <v>9</v>
      </c>
      <c r="F29" s="11">
        <v>25</v>
      </c>
      <c r="G29" s="67"/>
      <c r="J29" s="11"/>
      <c r="K29" s="11"/>
      <c r="L29" s="11"/>
      <c r="M29" s="11"/>
      <c r="P29" s="62"/>
      <c r="R29" s="11"/>
      <c r="U29" s="78"/>
    </row>
    <row r="30" spans="1:21" outlineLevel="1">
      <c r="A30" s="78" t="s">
        <v>52</v>
      </c>
      <c r="B30" s="265">
        <v>20545</v>
      </c>
      <c r="C30" s="80" t="str">
        <f t="shared" si="2"/>
        <v>0331</v>
      </c>
      <c r="D30" s="80"/>
      <c r="E30" s="79">
        <f t="shared" ca="1" si="4"/>
        <v>70</v>
      </c>
      <c r="F30" s="11">
        <v>40</v>
      </c>
      <c r="G30" s="67"/>
      <c r="H30" s="79" t="s">
        <v>20</v>
      </c>
      <c r="J30" s="11">
        <f t="shared" ca="1" si="5"/>
        <v>40</v>
      </c>
      <c r="K30" s="11"/>
      <c r="L30" s="11"/>
      <c r="M30" s="11"/>
      <c r="N30" s="7" t="str">
        <f ca="1">IF(TEXT(TODAY(),"YYYY")=RIGHT(A$2,4), IF(ISERROR(DATEDIF(TEXT(TODAY(),"dd/mm/yyyy"),TEXT(B30,"dd/mm/")&amp;RIGHT(A$2,4),"d")),IF(H30="Y","DONE","MISSED"), IF(DATEDIF(TEXT(TODAY(),"dd/mm/yyyy"),TEXT(B30,"dd/mm/")&amp;RIGHT(A$2,4),"d") = 0,"TODAY!!!", IF(DATEDIF(TEXT(TODAY(),"dd/mm/yyyy"),TEXT(B30,"dd/mm/")&amp;RIGHT(A$2,4),"d") &gt; 0, DATEDIF(TEXT(TODAY(),"dd/mm/yyyy"), TEXT(B30,"dd/mm/")&amp;RIGHT(A$2,4),"d")&amp;" Days to go!",""))),"")</f>
        <v/>
      </c>
      <c r="P30" s="62"/>
      <c r="R30" s="11"/>
      <c r="U30" s="78"/>
    </row>
    <row r="31" spans="1:21" outlineLevel="1">
      <c r="A31" s="323"/>
      <c r="B31" s="265"/>
      <c r="C31" s="80"/>
      <c r="D31" s="80"/>
      <c r="E31" s="79"/>
      <c r="F31" s="11"/>
      <c r="G31" s="67"/>
      <c r="J31" s="11"/>
      <c r="K31" s="11"/>
      <c r="L31" s="11"/>
      <c r="M31" s="11"/>
      <c r="R31" s="11"/>
      <c r="U31" s="78"/>
    </row>
    <row r="32" spans="1:21">
      <c r="A32" s="62" t="s">
        <v>53</v>
      </c>
      <c r="B32" s="740">
        <f>SUM(F33:F35)</f>
        <v>50</v>
      </c>
      <c r="C32" s="740"/>
      <c r="D32" s="740"/>
      <c r="E32" s="740"/>
      <c r="F32" s="740"/>
      <c r="G32" s="67"/>
      <c r="J32" s="213">
        <f ca="1">SUM(J33:J35)</f>
        <v>50</v>
      </c>
      <c r="K32" s="213">
        <f>SUM(B32,R32)</f>
        <v>100</v>
      </c>
      <c r="L32" s="213">
        <f>L21+(($F$105/12))-B32-R32</f>
        <v>315</v>
      </c>
      <c r="M32" s="213">
        <f>IF(N32&lt;&gt;"",N32,(M21+($F$105/12))-B32-R32+(J32+U32))</f>
        <v>79</v>
      </c>
      <c r="N32" s="7">
        <v>79</v>
      </c>
      <c r="P32" s="62" t="s">
        <v>53</v>
      </c>
      <c r="Q32" s="212"/>
      <c r="R32" s="213">
        <f>SUM(R33:R35)</f>
        <v>50</v>
      </c>
      <c r="S32" s="212"/>
      <c r="T32" s="212"/>
      <c r="U32" s="63">
        <f>SUM(U33:U35)</f>
        <v>50</v>
      </c>
    </row>
    <row r="33" spans="1:21" outlineLevel="1">
      <c r="A33" s="78" t="s">
        <v>54</v>
      </c>
      <c r="B33" s="265">
        <v>18733</v>
      </c>
      <c r="C33" s="80" t="str">
        <f t="shared" si="2"/>
        <v>0415</v>
      </c>
      <c r="D33" s="80"/>
      <c r="E33" s="79">
        <f ca="1">DATEDIF(B33,NOW(),"y")</f>
        <v>75</v>
      </c>
      <c r="F33" s="11">
        <v>50</v>
      </c>
      <c r="G33" s="67"/>
      <c r="H33" s="79" t="s">
        <v>20</v>
      </c>
      <c r="J33" s="11">
        <f ca="1">IF(N33="MISSED",F33,F33-I33)</f>
        <v>50</v>
      </c>
      <c r="K33" s="11"/>
      <c r="L33" s="11"/>
      <c r="M33" s="11"/>
      <c r="N33" s="7" t="str">
        <f ca="1">IF(TEXT(TODAY(),"YYYY")=RIGHT(A$2,4), IF(ISERROR(DATEDIF(TEXT(TODAY(),"dd/mm/yyyy"),TEXT(B33,"dd/mm/")&amp;RIGHT(A$2,4),"d")),IF(H33="Y","DONE","MISSED"), IF(DATEDIF(TEXT(TODAY(),"dd/mm/yyyy"),TEXT(B33,"dd/mm/")&amp;RIGHT(A$2,4),"d") = 0,"TODAY!!!", IF(DATEDIF(TEXT(TODAY(),"dd/mm/yyyy"),TEXT(B33,"dd/mm/")&amp;RIGHT(A$2,4),"d") &gt; 0, DATEDIF(TEXT(TODAY(),"dd/mm/yyyy"), TEXT(B33,"dd/mm/")&amp;RIGHT(A$2,4),"d")&amp;" Days to go!",""))),"")</f>
        <v/>
      </c>
      <c r="P33" s="78" t="s">
        <v>55</v>
      </c>
      <c r="Q33" t="s">
        <v>56</v>
      </c>
      <c r="R33" s="11">
        <v>50</v>
      </c>
      <c r="S33" t="s">
        <v>57</v>
      </c>
      <c r="U33" s="326">
        <f>R33-T33</f>
        <v>50</v>
      </c>
    </row>
    <row r="34" spans="1:21" outlineLevel="1">
      <c r="A34" s="78" t="s">
        <v>1346</v>
      </c>
      <c r="B34" s="265">
        <v>34074</v>
      </c>
      <c r="C34" s="80"/>
      <c r="D34" s="80"/>
      <c r="E34" s="79">
        <f ca="1">DATEDIF(B34,NOW(),"y")</f>
        <v>33</v>
      </c>
      <c r="F34" s="11">
        <v>0</v>
      </c>
      <c r="G34" s="67"/>
      <c r="J34" s="11">
        <f>IF(N34="MISSED",F34,F34-I34)</f>
        <v>0</v>
      </c>
      <c r="K34" s="11"/>
      <c r="L34" s="11"/>
      <c r="M34" s="11"/>
      <c r="P34" s="78"/>
      <c r="R34" s="11"/>
      <c r="U34" s="326"/>
    </row>
    <row r="35" spans="1:21" outlineLevel="1">
      <c r="A35" s="78" t="s">
        <v>58</v>
      </c>
      <c r="B35" s="265">
        <v>12162</v>
      </c>
      <c r="C35" s="80" t="str">
        <f t="shared" si="2"/>
        <v>0418</v>
      </c>
      <c r="D35" s="80" t="s">
        <v>50</v>
      </c>
      <c r="E35" s="79">
        <f ca="1">DATEDIF(B35,NOW(),"y")</f>
        <v>93</v>
      </c>
      <c r="F35" s="11">
        <v>0</v>
      </c>
      <c r="G35" s="67"/>
      <c r="J35" s="11">
        <f ca="1">IF(N35="MISSED",F35,F35-I35)</f>
        <v>0</v>
      </c>
      <c r="K35" s="11"/>
      <c r="L35" s="11"/>
      <c r="M35" s="11"/>
      <c r="N35" s="7" t="str">
        <f ca="1">IF(TEXT(TODAY(),"YYYY")=RIGHT(A$2,4), IF(ISERROR(DATEDIF(TEXT(TODAY(),"dd/mm/yyyy"),TEXT(B35,"dd/mm/")&amp;RIGHT(A$2,4),"d")),IF(H35="Y","DONE","MISSED"), IF(DATEDIF(TEXT(TODAY(),"dd/mm/yyyy"),TEXT(B35,"dd/mm/")&amp;RIGHT(A$2,4),"d") = 0,"TODAY!!!", IF(DATEDIF(TEXT(TODAY(),"dd/mm/yyyy"),TEXT(B35,"dd/mm/")&amp;RIGHT(A$2,4),"d") &gt; 0, DATEDIF(TEXT(TODAY(),"dd/mm/yyyy"), TEXT(B35,"dd/mm/")&amp;RIGHT(A$2,4),"d")&amp;" Days to go!",""))),"")</f>
        <v/>
      </c>
      <c r="P35" s="62"/>
      <c r="R35" s="11"/>
      <c r="U35" s="78"/>
    </row>
    <row r="36" spans="1:21" outlineLevel="1">
      <c r="A36" s="323"/>
      <c r="B36" s="265"/>
      <c r="C36" s="80"/>
      <c r="D36" s="80"/>
      <c r="E36" s="79"/>
      <c r="F36" s="11"/>
      <c r="G36" s="67"/>
      <c r="J36" s="11"/>
      <c r="K36" s="11"/>
      <c r="L36" s="11"/>
      <c r="M36" s="11"/>
      <c r="R36" s="11"/>
      <c r="U36" s="78"/>
    </row>
    <row r="37" spans="1:21">
      <c r="A37" s="62" t="s">
        <v>59</v>
      </c>
      <c r="B37" s="740">
        <f>SUM(F38:F45)</f>
        <v>25</v>
      </c>
      <c r="C37" s="740"/>
      <c r="D37" s="740"/>
      <c r="E37" s="740"/>
      <c r="F37" s="740"/>
      <c r="G37" s="67"/>
      <c r="J37" s="213">
        <f ca="1">SUM(J38:J45)</f>
        <v>0</v>
      </c>
      <c r="K37" s="213">
        <f>SUM(B37,R37)</f>
        <v>125</v>
      </c>
      <c r="L37" s="213">
        <f>L32+($F$105/12)-B37-R37</f>
        <v>425</v>
      </c>
      <c r="M37" s="213">
        <f ca="1">IF(N37&lt;&gt;"",N37,(M32+($F$105/12))-B37-R37+(J37+U37)+13)</f>
        <v>202</v>
      </c>
      <c r="P37" s="62" t="s">
        <v>59</v>
      </c>
      <c r="Q37" s="212"/>
      <c r="R37" s="213">
        <f>SUM(R38:R45)</f>
        <v>100</v>
      </c>
      <c r="S37" s="212"/>
      <c r="T37" s="212"/>
      <c r="U37" s="62">
        <f>SUM(U38:U45)</f>
        <v>0</v>
      </c>
    </row>
    <row r="38" spans="1:21">
      <c r="A38" s="78" t="s">
        <v>3204</v>
      </c>
      <c r="B38" s="265">
        <v>42495</v>
      </c>
      <c r="C38" s="80" t="str">
        <f t="shared" si="2"/>
        <v>0505</v>
      </c>
      <c r="D38" s="80"/>
      <c r="E38" s="79">
        <f t="shared" ref="E38:E45" ca="1" si="6">DATEDIF(B38,NOW(),"y")</f>
        <v>10</v>
      </c>
      <c r="F38" s="11">
        <v>0</v>
      </c>
      <c r="G38" s="67"/>
      <c r="J38" s="11">
        <f t="shared" ref="J38:J45" ca="1" si="7">IF(N38="MISSED",F38,F38-I38)</f>
        <v>0</v>
      </c>
      <c r="K38" s="11"/>
      <c r="L38" s="11"/>
      <c r="M38" s="11"/>
      <c r="N38" s="7" t="str">
        <f ca="1">IF(TEXT(TODAY(),"YYYY")=RIGHT(A$2,4), IF(ISERROR(DATEDIF(TEXT(TODAY(),"dd/mm/yyyy"),TEXT(B38,"dd/mm/")&amp;RIGHT(A$2,4),"d")),IF(H38="Y","DONE","MISSED"), IF(DATEDIF(TEXT(TODAY(),"dd/mm/yyyy"),TEXT(B38,"dd/mm/")&amp;RIGHT(A$2,4),"d") = 0,"TODAY!!!", IF(DATEDIF(TEXT(TODAY(),"dd/mm/yyyy"),TEXT(B38,"dd/mm/")&amp;RIGHT(A$2,4),"d") &gt; 0, DATEDIF(TEXT(TODAY(),"dd/mm/yyyy"), TEXT(B38,"dd/mm/")&amp;RIGHT(A$2,4),"d")&amp;" Days to go!",""))),"")</f>
        <v/>
      </c>
      <c r="P38" s="62" t="s">
        <v>103</v>
      </c>
      <c r="Q38">
        <v>17</v>
      </c>
      <c r="R38" s="11">
        <v>100</v>
      </c>
      <c r="S38" t="s">
        <v>57</v>
      </c>
      <c r="U38" s="78"/>
    </row>
    <row r="39" spans="1:21">
      <c r="A39" s="78" t="s">
        <v>61</v>
      </c>
      <c r="B39" s="265">
        <v>33730</v>
      </c>
      <c r="C39" s="80" t="str">
        <f t="shared" si="2"/>
        <v>0506</v>
      </c>
      <c r="D39" s="80"/>
      <c r="E39" s="79">
        <f t="shared" ca="1" si="6"/>
        <v>34</v>
      </c>
      <c r="F39" s="11">
        <v>0</v>
      </c>
      <c r="G39" s="11"/>
      <c r="J39" s="11">
        <f t="shared" ca="1" si="7"/>
        <v>0</v>
      </c>
      <c r="K39" s="11"/>
      <c r="L39" s="11"/>
      <c r="M39" s="11"/>
      <c r="N39" s="7" t="str">
        <f ca="1">IF(TEXT(TODAY(),"YYYY")=RIGHT(A$2,4), IF(ISERROR(DATEDIF(TEXT(TODAY(),"dd/mm/yyyy"),TEXT(B39,"dd/mm/")&amp;RIGHT(A$2,4),"d")),IF(H39="Y","DONE","MISSED"), IF(DATEDIF(TEXT(TODAY(),"dd/mm/yyyy"),TEXT(B39,"dd/mm/")&amp;RIGHT(A$2,4),"d") = 0,"TODAY!!!", IF(DATEDIF(TEXT(TODAY(),"dd/mm/yyyy"),TEXT(B39,"dd/mm/")&amp;RIGHT(A$2,4),"d") &gt; 0, DATEDIF(TEXT(TODAY(),"dd/mm/yyyy"), TEXT(B39,"dd/mm/")&amp;RIGHT(A$2,4),"d")&amp;" Days to go!",""))),"")</f>
        <v/>
      </c>
      <c r="P39" s="62"/>
      <c r="R39" s="11"/>
      <c r="U39" s="78"/>
    </row>
    <row r="40" spans="1:21">
      <c r="A40" s="78" t="s">
        <v>3205</v>
      </c>
      <c r="B40" s="265">
        <v>27895</v>
      </c>
      <c r="C40" s="80" t="str">
        <f t="shared" si="2"/>
        <v>0515</v>
      </c>
      <c r="D40" s="80"/>
      <c r="E40" s="79">
        <f t="shared" ca="1" si="6"/>
        <v>50</v>
      </c>
      <c r="F40" s="11">
        <v>0</v>
      </c>
      <c r="G40" s="67"/>
      <c r="J40" s="11">
        <f t="shared" ca="1" si="7"/>
        <v>0</v>
      </c>
      <c r="K40" s="11"/>
      <c r="L40" s="11"/>
      <c r="M40" s="11"/>
      <c r="N40" s="7" t="str">
        <f ca="1">IF(TEXT(TODAY(),"YYYY")=RIGHT(A$2,4), IF(ISERROR(DATEDIF(TEXT(TODAY(),"dd/mm/yyyy"),TEXT(B40,"dd/mm/")&amp;RIGHT(A$2,4),"d")),IF(H40="Y","DONE","MISSED"), IF(DATEDIF(TEXT(TODAY(),"dd/mm/yyyy"),TEXT(B40,"dd/mm/")&amp;RIGHT(A$2,4),"d") = 0,"TODAY!!!", IF(DATEDIF(TEXT(TODAY(),"dd/mm/yyyy"),TEXT(B40,"dd/mm/")&amp;RIGHT(A$2,4),"d") &gt; 0, DATEDIF(TEXT(TODAY(),"dd/mm/yyyy"), TEXT(B40,"dd/mm/")&amp;RIGHT(A$2,4),"d")&amp;" Days to go!",""))),"")</f>
        <v/>
      </c>
      <c r="P40" s="62"/>
      <c r="R40" s="11"/>
      <c r="U40" s="78"/>
    </row>
    <row r="41" spans="1:21">
      <c r="A41" s="78" t="s">
        <v>3206</v>
      </c>
      <c r="B41" s="265">
        <v>27895</v>
      </c>
      <c r="C41" s="80" t="str">
        <f t="shared" si="2"/>
        <v>0515</v>
      </c>
      <c r="D41" s="80"/>
      <c r="E41" s="79">
        <f t="shared" ca="1" si="6"/>
        <v>50</v>
      </c>
      <c r="F41" s="11">
        <v>0</v>
      </c>
      <c r="G41" s="67"/>
      <c r="J41" s="11">
        <f t="shared" ca="1" si="7"/>
        <v>0</v>
      </c>
      <c r="K41" s="11"/>
      <c r="L41" s="11"/>
      <c r="M41" s="11"/>
      <c r="N41" s="7" t="str">
        <f ca="1">IF(TEXT(TODAY(),"YYYY")=RIGHT(A$2,4), IF(ISERROR(DATEDIF(TEXT(TODAY(),"dd/mm/yyyy"),TEXT(B41,"dd/mm/")&amp;RIGHT(A$2,4),"d")),IF(H41="Y","DONE","MISSED"), IF(DATEDIF(TEXT(TODAY(),"dd/mm/yyyy"),TEXT(B41,"dd/mm/")&amp;RIGHT(A$2,4),"d") = 0,"TODAY!!!", IF(DATEDIF(TEXT(TODAY(),"dd/mm/yyyy"),TEXT(B41,"dd/mm/")&amp;RIGHT(A$2,4),"d") &gt; 0, DATEDIF(TEXT(TODAY(),"dd/mm/yyyy"), TEXT(B41,"dd/mm/")&amp;RIGHT(A$2,4),"d")&amp;" Days to go!",""))),"")</f>
        <v/>
      </c>
      <c r="P41" s="62"/>
      <c r="R41" s="11"/>
      <c r="U41" s="78"/>
    </row>
    <row r="42" spans="1:21">
      <c r="A42" s="78" t="s">
        <v>1495</v>
      </c>
      <c r="B42" s="265">
        <v>43236</v>
      </c>
      <c r="C42" s="80"/>
      <c r="D42" s="80"/>
      <c r="E42" s="79">
        <f t="shared" ca="1" si="6"/>
        <v>8</v>
      </c>
      <c r="F42" s="11">
        <v>25</v>
      </c>
      <c r="G42" s="67"/>
      <c r="J42" s="11"/>
      <c r="K42" s="11"/>
      <c r="L42" s="11"/>
      <c r="M42" s="11"/>
      <c r="P42" s="62"/>
      <c r="R42" s="11"/>
      <c r="U42" s="78"/>
    </row>
    <row r="43" spans="1:21">
      <c r="A43" s="78" t="s">
        <v>1497</v>
      </c>
      <c r="B43" s="265">
        <v>16942</v>
      </c>
      <c r="C43" s="80" t="str">
        <f t="shared" si="2"/>
        <v>0520</v>
      </c>
      <c r="D43" s="80"/>
      <c r="E43" s="79">
        <f t="shared" ca="1" si="6"/>
        <v>80</v>
      </c>
      <c r="F43" s="11">
        <v>0</v>
      </c>
      <c r="G43" s="67"/>
      <c r="J43" s="11">
        <f t="shared" ca="1" si="7"/>
        <v>0</v>
      </c>
      <c r="K43" s="11"/>
      <c r="L43" s="11"/>
      <c r="M43" s="11"/>
      <c r="N43" s="7" t="str">
        <f ca="1">IF(TEXT(TODAY(),"YYYY")=RIGHT(A$2,4), IF(ISERROR(DATEDIF(TEXT(TODAY(),"dd/mm/yyyy"),TEXT(B43,"dd/mm/")&amp;RIGHT(A$2,4),"d")),IF(H43="Y","DONE","MISSED"), IF(DATEDIF(TEXT(TODAY(),"dd/mm/yyyy"),TEXT(B43,"dd/mm/")&amp;RIGHT(A$2,4),"d") = 0,"TODAY!!!", IF(DATEDIF(TEXT(TODAY(),"dd/mm/yyyy"),TEXT(B43,"dd/mm/")&amp;RIGHT(A$2,4),"d") &gt; 0, DATEDIF(TEXT(TODAY(),"dd/mm/yyyy"), TEXT(B43,"dd/mm/")&amp;RIGHT(A$2,4),"d")&amp;" Days to go!",""))),"")</f>
        <v/>
      </c>
      <c r="P43" s="62"/>
      <c r="R43" s="11"/>
      <c r="U43" s="78"/>
    </row>
    <row r="44" spans="1:21">
      <c r="A44" s="78" t="s">
        <v>65</v>
      </c>
      <c r="B44" s="265">
        <v>42512</v>
      </c>
      <c r="C44" s="80" t="str">
        <f t="shared" si="2"/>
        <v>0522</v>
      </c>
      <c r="D44" s="80"/>
      <c r="E44" s="79">
        <f t="shared" ca="1" si="6"/>
        <v>10</v>
      </c>
      <c r="F44" s="11">
        <v>0</v>
      </c>
      <c r="G44" s="67" t="s">
        <v>66</v>
      </c>
      <c r="J44" s="11">
        <f t="shared" ca="1" si="7"/>
        <v>0</v>
      </c>
      <c r="K44" s="11"/>
      <c r="L44" s="11"/>
      <c r="M44" s="11"/>
      <c r="N44" s="7" t="str">
        <f ca="1">IF(TEXT(TODAY(),"YYYY")=RIGHT(A$2,4), IF(ISERROR(DATEDIF(TEXT(TODAY(),"dd/mm/yyyy"),TEXT(B44,"dd/mm/")&amp;RIGHT(A$2,4),"d")),IF(H44="Y","DONE","MISSED"), IF(DATEDIF(TEXT(TODAY(),"dd/mm/yyyy"),TEXT(B44,"dd/mm/")&amp;RIGHT(A$2,4),"d") = 0,"TODAY!!!", IF(DATEDIF(TEXT(TODAY(),"dd/mm/yyyy"),TEXT(B44,"dd/mm/")&amp;RIGHT(A$2,4),"d") &gt; 0, DATEDIF(TEXT(TODAY(),"dd/mm/yyyy"), TEXT(B44,"dd/mm/")&amp;RIGHT(A$2,4),"d")&amp;" Days to go!",""))),"")</f>
        <v/>
      </c>
      <c r="P44" s="62"/>
      <c r="R44" s="11"/>
      <c r="U44" s="78"/>
    </row>
    <row r="45" spans="1:21">
      <c r="A45" s="78" t="s">
        <v>67</v>
      </c>
      <c r="B45" s="265">
        <v>42513</v>
      </c>
      <c r="C45" s="80" t="str">
        <f t="shared" si="2"/>
        <v>0523</v>
      </c>
      <c r="D45" s="80"/>
      <c r="E45" s="79">
        <f t="shared" ca="1" si="6"/>
        <v>10</v>
      </c>
      <c r="F45" s="11">
        <v>0</v>
      </c>
      <c r="G45" s="67" t="s">
        <v>68</v>
      </c>
      <c r="J45" s="11">
        <f t="shared" ca="1" si="7"/>
        <v>0</v>
      </c>
      <c r="K45" s="11"/>
      <c r="L45" s="11"/>
      <c r="M45" s="11"/>
      <c r="N45" s="7" t="str">
        <f ca="1">IF(TEXT(TODAY(),"YYYY")=RIGHT(A$2,4), IF(ISERROR(DATEDIF(TEXT(TODAY(),"dd/mm/yyyy"),TEXT(B45,"dd/mm/")&amp;RIGHT(A$2,4),"d")),IF(H45="Y","DONE","MISSED"), IF(DATEDIF(TEXT(TODAY(),"dd/mm/yyyy"),TEXT(B45,"dd/mm/")&amp;RIGHT(A$2,4),"d") = 0,"TODAY!!!", IF(DATEDIF(TEXT(TODAY(),"dd/mm/yyyy"),TEXT(B45,"dd/mm/")&amp;RIGHT(A$2,4),"d") &gt; 0, DATEDIF(TEXT(TODAY(),"dd/mm/yyyy"), TEXT(B45,"dd/mm/")&amp;RIGHT(A$2,4),"d")&amp;" Days to go!",""))),"")</f>
        <v/>
      </c>
      <c r="P45" s="62"/>
      <c r="R45" s="11"/>
      <c r="U45" s="78"/>
    </row>
    <row r="46" spans="1:21">
      <c r="A46" s="323"/>
      <c r="B46" s="265"/>
      <c r="C46" s="80"/>
      <c r="D46" s="80"/>
      <c r="E46" s="79"/>
      <c r="F46" s="11"/>
      <c r="G46" s="67"/>
      <c r="J46" s="11"/>
      <c r="K46" s="11"/>
      <c r="L46" s="11"/>
      <c r="M46" s="11"/>
      <c r="R46" s="11"/>
      <c r="U46" s="78"/>
    </row>
    <row r="47" spans="1:21">
      <c r="A47" s="62" t="s">
        <v>69</v>
      </c>
      <c r="B47" s="740">
        <f>SUM(F48:F54)</f>
        <v>60</v>
      </c>
      <c r="C47" s="740"/>
      <c r="D47" s="740"/>
      <c r="E47" s="740"/>
      <c r="F47" s="740"/>
      <c r="G47" s="67"/>
      <c r="J47" s="213">
        <f ca="1">SUM(J48:J54)</f>
        <v>40</v>
      </c>
      <c r="K47" s="213">
        <f>SUM(B47,R47)</f>
        <v>160</v>
      </c>
      <c r="L47" s="213">
        <f>L37+($F$105/12)-B47-R47</f>
        <v>500</v>
      </c>
      <c r="M47" s="213">
        <f ca="1">IF(N47&lt;&gt;"",N47,(M37+($F$105/12))-B47-R47+(J47+U47))</f>
        <v>417</v>
      </c>
      <c r="P47" s="62" t="s">
        <v>69</v>
      </c>
      <c r="Q47" s="212"/>
      <c r="R47" s="213">
        <f>SUM(R48:R54)</f>
        <v>100</v>
      </c>
      <c r="S47" s="212"/>
      <c r="T47" s="212"/>
      <c r="U47" s="63">
        <f>SUM(U48:U54)</f>
        <v>100</v>
      </c>
    </row>
    <row r="48" spans="1:21">
      <c r="A48" s="78" t="s">
        <v>70</v>
      </c>
      <c r="B48" s="265">
        <v>26451</v>
      </c>
      <c r="C48" s="80" t="str">
        <f t="shared" si="2"/>
        <v>0601</v>
      </c>
      <c r="D48" s="80"/>
      <c r="E48" s="79">
        <f t="shared" ref="E48:E54" ca="1" si="8">DATEDIF(B48,NOW(),"y")</f>
        <v>54</v>
      </c>
      <c r="F48" s="11">
        <v>0</v>
      </c>
      <c r="G48" s="67"/>
      <c r="J48" s="11">
        <f t="shared" ref="J48:J54" ca="1" si="9">IF(N48="MISSED",F48,F48-I48)</f>
        <v>0</v>
      </c>
      <c r="K48" s="11"/>
      <c r="L48" s="11"/>
      <c r="M48" s="11"/>
      <c r="N48" s="7" t="str">
        <f ca="1">IF(TEXT(TODAY(),"YYYY")=RIGHT(A$2,4), IF(ISERROR(DATEDIF(TEXT(TODAY(),"dd/mm/yyyy"),TEXT(B48,"dd/mm/")&amp;RIGHT(A$2,4),"d")),IF(H48="Y","DONE","MISSED"), IF(DATEDIF(TEXT(TODAY(),"dd/mm/yyyy"),TEXT(B48,"dd/mm/")&amp;RIGHT(A$2,4),"d") = 0,"TODAY!!!", IF(DATEDIF(TEXT(TODAY(),"dd/mm/yyyy"),TEXT(B48,"dd/mm/")&amp;RIGHT(A$2,4),"d") &gt; 0, DATEDIF(TEXT(TODAY(),"dd/mm/yyyy"), TEXT(B48,"dd/mm/")&amp;RIGHT(A$2,4),"d")&amp;" Days to go!",""))),"")</f>
        <v/>
      </c>
      <c r="P48" s="78" t="s">
        <v>71</v>
      </c>
      <c r="Q48" t="s">
        <v>72</v>
      </c>
      <c r="R48" s="11">
        <v>50</v>
      </c>
      <c r="U48" s="326">
        <f>R48-T48</f>
        <v>50</v>
      </c>
    </row>
    <row r="49" spans="1:21">
      <c r="A49" s="78" t="s">
        <v>73</v>
      </c>
      <c r="B49" s="265">
        <v>29376</v>
      </c>
      <c r="C49" s="80" t="str">
        <f t="shared" si="2"/>
        <v>0604</v>
      </c>
      <c r="D49" s="80"/>
      <c r="E49" s="79">
        <f t="shared" ca="1" si="8"/>
        <v>46</v>
      </c>
      <c r="F49" s="11">
        <v>0</v>
      </c>
      <c r="G49" s="67"/>
      <c r="J49" s="11">
        <f t="shared" ca="1" si="9"/>
        <v>0</v>
      </c>
      <c r="K49" s="11"/>
      <c r="L49" s="11"/>
      <c r="M49" s="11"/>
      <c r="N49" s="7" t="str">
        <f ca="1">IF(TEXT(TODAY(),"YYYY")=RIGHT(A$2,4), IF(ISERROR(DATEDIF(TEXT(TODAY(),"dd/mm/yyyy"),TEXT(B49,"dd/mm/")&amp;RIGHT(A$2,4),"d")),IF(H49="Y","DONE","MISSED"), IF(DATEDIF(TEXT(TODAY(),"dd/mm/yyyy"),TEXT(B49,"dd/mm/")&amp;RIGHT(A$2,4),"d") = 0,"TODAY!!!", IF(DATEDIF(TEXT(TODAY(),"dd/mm/yyyy"),TEXT(B49,"dd/mm/")&amp;RIGHT(A$2,4),"d") &gt; 0, DATEDIF(TEXT(TODAY(),"dd/mm/yyyy"), TEXT(B49,"dd/mm/")&amp;RIGHT(A$2,4),"d")&amp;" Days to go!",""))),"")</f>
        <v/>
      </c>
      <c r="P49" s="78" t="s">
        <v>74</v>
      </c>
      <c r="Q49" t="s">
        <v>75</v>
      </c>
      <c r="R49" s="11">
        <v>50</v>
      </c>
      <c r="S49" t="s">
        <v>76</v>
      </c>
      <c r="U49" s="326">
        <f>R49-T49</f>
        <v>50</v>
      </c>
    </row>
    <row r="50" spans="1:21">
      <c r="A50" s="78" t="s">
        <v>1578</v>
      </c>
      <c r="B50" s="265">
        <v>42160</v>
      </c>
      <c r="C50" s="80"/>
      <c r="D50" s="80"/>
      <c r="E50" s="79">
        <f t="shared" ca="1" si="8"/>
        <v>11</v>
      </c>
      <c r="F50" s="11">
        <v>20</v>
      </c>
      <c r="G50" s="67"/>
      <c r="J50" s="11"/>
      <c r="K50" s="11"/>
      <c r="L50" s="11"/>
      <c r="M50" s="11"/>
      <c r="P50" s="78"/>
      <c r="R50" s="11"/>
      <c r="U50" s="326"/>
    </row>
    <row r="51" spans="1:21">
      <c r="A51" s="78" t="s">
        <v>77</v>
      </c>
      <c r="B51" s="265">
        <v>39607</v>
      </c>
      <c r="C51" s="80" t="str">
        <f t="shared" si="2"/>
        <v>0608</v>
      </c>
      <c r="D51" s="80"/>
      <c r="E51" s="79">
        <f t="shared" ca="1" si="8"/>
        <v>18</v>
      </c>
      <c r="F51" s="11">
        <v>20</v>
      </c>
      <c r="G51" s="67"/>
      <c r="H51" s="79" t="s">
        <v>20</v>
      </c>
      <c r="J51" s="11">
        <f t="shared" ca="1" si="9"/>
        <v>20</v>
      </c>
      <c r="K51" s="11"/>
      <c r="L51" s="11"/>
      <c r="M51" s="11"/>
      <c r="N51" s="7" t="str">
        <f ca="1">IF(TEXT(TODAY(),"YYYY")=RIGHT(A$2,4), IF(ISERROR(DATEDIF(TEXT(TODAY(),"dd/mm/yyyy"),TEXT(B51,"dd/mm/")&amp;RIGHT(A$2,4),"d")),IF(H51="Y","DONE","MISSED"), IF(DATEDIF(TEXT(TODAY(),"dd/mm/yyyy"),TEXT(B51,"dd/mm/")&amp;RIGHT(A$2,4),"d") = 0,"TODAY!!!", IF(DATEDIF(TEXT(TODAY(),"dd/mm/yyyy"),TEXT(B51,"dd/mm/")&amp;RIGHT(A$2,4),"d") &gt; 0, DATEDIF(TEXT(TODAY(),"dd/mm/yyyy"), TEXT(B51,"dd/mm/")&amp;RIGHT(A$2,4),"d")&amp;" Days to go!",""))),"")</f>
        <v/>
      </c>
      <c r="P51" s="62"/>
      <c r="R51" s="11"/>
      <c r="U51" s="78"/>
    </row>
    <row r="52" spans="1:21">
      <c r="A52" s="78" t="s">
        <v>78</v>
      </c>
      <c r="B52" s="265">
        <v>38876</v>
      </c>
      <c r="C52" s="80" t="str">
        <f t="shared" si="2"/>
        <v>0608</v>
      </c>
      <c r="D52" s="80"/>
      <c r="E52" s="79">
        <f t="shared" ca="1" si="8"/>
        <v>20</v>
      </c>
      <c r="F52" s="11">
        <v>20</v>
      </c>
      <c r="G52" s="67"/>
      <c r="H52" s="79" t="s">
        <v>20</v>
      </c>
      <c r="J52" s="11">
        <f t="shared" ca="1" si="9"/>
        <v>20</v>
      </c>
      <c r="K52" s="11"/>
      <c r="L52" s="11"/>
      <c r="M52" s="11"/>
      <c r="N52" s="7" t="str">
        <f ca="1">IF(TEXT(TODAY(),"YYYY")=RIGHT(A$2,4), IF(ISERROR(DATEDIF(TEXT(TODAY(),"dd/mm/yyyy"),TEXT(B52,"dd/mm/")&amp;RIGHT(A$2,4),"d")),IF(H52="Y","DONE","MISSED"), IF(DATEDIF(TEXT(TODAY(),"dd/mm/yyyy"),TEXT(B52,"dd/mm/")&amp;RIGHT(A$2,4),"d") = 0,"TODAY!!!", IF(DATEDIF(TEXT(TODAY(),"dd/mm/yyyy"),TEXT(B52,"dd/mm/")&amp;RIGHT(A$2,4),"d") &gt; 0, DATEDIF(TEXT(TODAY(),"dd/mm/yyyy"), TEXT(B52,"dd/mm/")&amp;RIGHT(A$2,4),"d")&amp;" Days to go!",""))),"")</f>
        <v/>
      </c>
      <c r="P52" s="62"/>
      <c r="R52" s="11"/>
      <c r="U52" s="78"/>
    </row>
    <row r="53" spans="1:21">
      <c r="A53" s="78" t="s">
        <v>79</v>
      </c>
      <c r="B53" s="265">
        <v>35953</v>
      </c>
      <c r="C53" s="80" t="str">
        <f t="shared" si="2"/>
        <v>0607</v>
      </c>
      <c r="D53" s="80"/>
      <c r="E53" s="79">
        <f t="shared" ca="1" si="8"/>
        <v>28</v>
      </c>
      <c r="F53" s="11">
        <v>0</v>
      </c>
      <c r="G53" s="67"/>
      <c r="J53" s="11">
        <v>0</v>
      </c>
      <c r="K53" s="11"/>
      <c r="L53" s="11"/>
      <c r="M53" s="11"/>
      <c r="N53" s="7" t="str">
        <f ca="1">IF(TEXT(TODAY(),"YYYY")=RIGHT(A$2,4), IF(ISERROR(DATEDIF(TEXT(TODAY(),"dd/mm/yyyy"),TEXT(B53,"dd/mm/")&amp;RIGHT(A$2,4),"d")),IF(H53="Y","DONE","MISSED"), IF(DATEDIF(TEXT(TODAY(),"dd/mm/yyyy"),TEXT(B53,"dd/mm/")&amp;RIGHT(A$2,4),"d") = 0,"TODAY!!!", IF(DATEDIF(TEXT(TODAY(),"dd/mm/yyyy"),TEXT(B53,"dd/mm/")&amp;RIGHT(A$2,4),"d") &gt; 0, DATEDIF(TEXT(TODAY(),"dd/mm/yyyy"), TEXT(B53,"dd/mm/")&amp;RIGHT(A$2,4),"d")&amp;" Days to go!",""))),"")</f>
        <v/>
      </c>
      <c r="P53" s="62"/>
      <c r="R53" s="11"/>
      <c r="U53" s="78"/>
    </row>
    <row r="54" spans="1:21">
      <c r="A54" s="78" t="s">
        <v>80</v>
      </c>
      <c r="B54" s="265">
        <v>27928</v>
      </c>
      <c r="C54" s="80" t="str">
        <f t="shared" si="2"/>
        <v>0617</v>
      </c>
      <c r="D54" s="80"/>
      <c r="E54" s="79">
        <f t="shared" ca="1" si="8"/>
        <v>50</v>
      </c>
      <c r="F54" s="11">
        <v>0</v>
      </c>
      <c r="G54" s="67"/>
      <c r="J54" s="11">
        <f t="shared" ca="1" si="9"/>
        <v>0</v>
      </c>
      <c r="K54" s="11"/>
      <c r="L54" s="11"/>
      <c r="M54" s="11"/>
      <c r="N54" s="7" t="str">
        <f ca="1">IF(TEXT(TODAY(),"YYYY")=RIGHT(A$2,4), IF(ISERROR(DATEDIF(TEXT(TODAY(),"dd/mm/yyyy"),TEXT(B54,"dd/mm/")&amp;RIGHT(A$2,4),"d")),IF(H54="Y","DONE","MISSED"), IF(DATEDIF(TEXT(TODAY(),"dd/mm/yyyy"),TEXT(B54,"dd/mm/")&amp;RIGHT(A$2,4),"d") = 0,"TODAY!!!", IF(DATEDIF(TEXT(TODAY(),"dd/mm/yyyy"),TEXT(B54,"dd/mm/")&amp;RIGHT(A$2,4),"d") &gt; 0, DATEDIF(TEXT(TODAY(),"dd/mm/yyyy"), TEXT(B54,"dd/mm/")&amp;RIGHT(A$2,4),"d")&amp;" Days to go!",""))),"")</f>
        <v/>
      </c>
      <c r="P54" s="62"/>
      <c r="R54" s="11"/>
      <c r="U54" s="78"/>
    </row>
    <row r="55" spans="1:21">
      <c r="A55" s="323"/>
      <c r="B55" s="265"/>
      <c r="C55" s="80"/>
      <c r="D55" s="80"/>
      <c r="E55" s="79"/>
      <c r="F55" s="11"/>
      <c r="G55" s="67"/>
      <c r="J55" s="11"/>
      <c r="K55" s="11"/>
      <c r="L55" s="11"/>
      <c r="M55" s="11"/>
      <c r="R55" s="11"/>
      <c r="U55" s="78"/>
    </row>
    <row r="56" spans="1:21">
      <c r="A56" s="212" t="s">
        <v>81</v>
      </c>
      <c r="B56" s="740">
        <f>SUM(F57:F61)</f>
        <v>70</v>
      </c>
      <c r="C56" s="740"/>
      <c r="D56" s="740"/>
      <c r="E56" s="740"/>
      <c r="F56" s="740"/>
      <c r="G56" s="67"/>
      <c r="J56" s="213">
        <f ca="1">SUM(J57:J60)</f>
        <v>20</v>
      </c>
      <c r="K56" s="213">
        <f>SUM(B56,R56)</f>
        <v>120</v>
      </c>
      <c r="L56" s="213">
        <f>L47+($F$105/12)-B56-R56</f>
        <v>615</v>
      </c>
      <c r="M56" s="213">
        <f ca="1">IF(N56&lt;&gt;"",N56,(M47+($F$105/12))-B56-R56+(J56+U56))</f>
        <v>602</v>
      </c>
      <c r="O56" s="11"/>
      <c r="P56" s="212" t="s">
        <v>81</v>
      </c>
      <c r="Q56" s="212"/>
      <c r="R56" s="213">
        <f>SUM(R57:R60)</f>
        <v>50</v>
      </c>
      <c r="S56" s="212"/>
      <c r="T56" s="212"/>
      <c r="U56" s="213">
        <f>SUM(U57:U60)</f>
        <v>50</v>
      </c>
    </row>
    <row r="57" spans="1:21">
      <c r="A57" s="78" t="s">
        <v>82</v>
      </c>
      <c r="B57" s="265">
        <v>33789</v>
      </c>
      <c r="C57" s="80" t="str">
        <f t="shared" ref="C57:C98" si="10">TEXT(B57,"MMDD")</f>
        <v>0704</v>
      </c>
      <c r="D57" s="80"/>
      <c r="E57" s="79">
        <f ca="1">DATEDIF(B57,NOW(),"y")</f>
        <v>34</v>
      </c>
      <c r="F57" s="11">
        <v>0</v>
      </c>
      <c r="G57" s="67"/>
      <c r="H57" s="79" t="s">
        <v>20</v>
      </c>
      <c r="J57" s="11">
        <f ca="1">IF(N57="MISSED",F57,F57-I57)</f>
        <v>0</v>
      </c>
      <c r="K57" s="11"/>
      <c r="L57" s="11"/>
      <c r="M57" s="11"/>
      <c r="N57" s="7" t="str">
        <f ca="1">IF(TEXT(TODAY(),"YYYY")=RIGHT(A$2,4), IF(ISERROR(DATEDIF(TEXT(TODAY(),"dd/mm/yyyy"),TEXT(B57,"dd/mm/")&amp;RIGHT(A$2,4),"d")),IF(H57="Y","DONE","MISSED"), IF(DATEDIF(TEXT(TODAY(),"dd/mm/yyyy"),TEXT(B57,"dd/mm/")&amp;RIGHT(A$2,4),"d") = 0,"TODAY!!!", IF(DATEDIF(TEXT(TODAY(),"dd/mm/yyyy"),TEXT(B57,"dd/mm/")&amp;RIGHT(A$2,4),"d") &gt; 0, DATEDIF(TEXT(TODAY(),"dd/mm/yyyy"), TEXT(B57,"dd/mm/")&amp;RIGHT(A$2,4),"d")&amp;" Days to go!",""))),"")</f>
        <v/>
      </c>
      <c r="P57" s="78" t="s">
        <v>83</v>
      </c>
      <c r="Q57" t="s">
        <v>84</v>
      </c>
      <c r="R57" s="11">
        <v>50</v>
      </c>
      <c r="S57" t="s">
        <v>85</v>
      </c>
      <c r="U57" s="326">
        <f>R57-T57</f>
        <v>50</v>
      </c>
    </row>
    <row r="58" spans="1:21">
      <c r="A58" s="78" t="s">
        <v>86</v>
      </c>
      <c r="B58" s="265">
        <v>44028</v>
      </c>
      <c r="C58" s="80"/>
      <c r="D58" s="80"/>
      <c r="E58" s="79">
        <f ca="1">DATEDIF(B58,NOW(),"y")</f>
        <v>6</v>
      </c>
      <c r="F58" s="11">
        <v>20</v>
      </c>
      <c r="G58" s="67"/>
      <c r="H58" s="79" t="s">
        <v>20</v>
      </c>
      <c r="J58" s="11">
        <f ca="1">IF(N58="MISSED",F58,F58-I58)</f>
        <v>20</v>
      </c>
      <c r="K58" s="11"/>
      <c r="L58" s="11"/>
      <c r="M58" s="11"/>
      <c r="N58" s="7" t="str">
        <f ca="1">IF(TEXT(TODAY(),"YYYY")=RIGHT(A$2,4), IF(ISERROR(DATEDIF(TEXT(TODAY(),"dd/mm/yyyy"),TEXT(B58,"dd/mm/")&amp;RIGHT(A$2,4),"d")),IF(H58="Y","DONE","MISSED"), IF(DATEDIF(TEXT(TODAY(),"dd/mm/yyyy"),TEXT(B58,"dd/mm/")&amp;RIGHT(A$2,4),"d") = 0,"TODAY!!!", IF(DATEDIF(TEXT(TODAY(),"dd/mm/yyyy"),TEXT(B58,"dd/mm/")&amp;RIGHT(A$2,4),"d") &gt; 0, DATEDIF(TEXT(TODAY(),"dd/mm/yyyy"), TEXT(B58,"dd/mm/")&amp;RIGHT(A$2,4),"d")&amp;" Days to go!",""))),"")</f>
        <v/>
      </c>
      <c r="P58" s="78"/>
      <c r="R58" s="11"/>
      <c r="U58" s="326"/>
    </row>
    <row r="59" spans="1:21">
      <c r="A59" s="78" t="s">
        <v>87</v>
      </c>
      <c r="B59" s="265">
        <v>42562</v>
      </c>
      <c r="C59" s="80" t="str">
        <f t="shared" ref="C59" si="11">TEXT(B59,"MMDD")</f>
        <v>0711</v>
      </c>
      <c r="D59" s="80"/>
      <c r="E59" s="79">
        <f ca="1">DATEDIF(B59,NOW(),"y")</f>
        <v>10</v>
      </c>
      <c r="F59" s="11">
        <v>0</v>
      </c>
      <c r="G59" s="67"/>
      <c r="J59" s="11">
        <f ca="1">IF(N59="MISSED",F59,F59-I59)</f>
        <v>0</v>
      </c>
      <c r="K59" s="11"/>
      <c r="L59" s="11"/>
      <c r="M59" s="11"/>
      <c r="N59" s="7" t="str">
        <f ca="1">IF(TEXT(TODAY(),"YYYY")=RIGHT(A$2,4), IF(ISERROR(DATEDIF(TEXT(TODAY(),"dd/mm/yyyy"),TEXT(B59,"dd/mm/")&amp;RIGHT(A$2,4),"d")),IF(H59="Y","DONE","MISSED"), IF(DATEDIF(TEXT(TODAY(),"dd/mm/yyyy"),TEXT(B59,"dd/mm/")&amp;RIGHT(A$2,4),"d") = 0,"TODAY!!!", IF(DATEDIF(TEXT(TODAY(),"dd/mm/yyyy"),TEXT(B59,"dd/mm/")&amp;RIGHT(A$2,4),"d") &gt; 0, DATEDIF(TEXT(TODAY(),"dd/mm/yyyy"), TEXT(B59,"dd/mm/")&amp;RIGHT(A$2,4),"d")&amp;" Days to go!",""))),"")</f>
        <v/>
      </c>
      <c r="P59" s="78"/>
      <c r="R59" s="11"/>
      <c r="U59" s="326"/>
    </row>
    <row r="60" spans="1:21">
      <c r="A60" s="78" t="s">
        <v>88</v>
      </c>
      <c r="B60" s="265">
        <v>39641</v>
      </c>
      <c r="C60" s="80" t="str">
        <f t="shared" si="10"/>
        <v>0712</v>
      </c>
      <c r="D60" s="80"/>
      <c r="E60" s="79">
        <f ca="1">DATEDIF(B60,NOW(),"y")</f>
        <v>18</v>
      </c>
      <c r="F60" s="11">
        <v>0</v>
      </c>
      <c r="G60" s="67"/>
      <c r="J60" s="11">
        <f ca="1">IF(N60="MISSED",F60,F60-I60)</f>
        <v>0</v>
      </c>
      <c r="K60" s="11"/>
      <c r="L60" s="11"/>
      <c r="M60" s="11"/>
      <c r="N60" s="7" t="str">
        <f ca="1">IF(TEXT(TODAY(),"YYYY")=RIGHT(A$2,4), IF(ISERROR(DATEDIF(TEXT(TODAY(),"dd/mm/yyyy"),TEXT(B60,"dd/mm/")&amp;RIGHT(A$2,4),"d")),IF(H60="Y","DONE","MISSED"), IF(DATEDIF(TEXT(TODAY(),"dd/mm/yyyy"),TEXT(B60,"dd/mm/")&amp;RIGHT(A$2,4),"d") = 0,"TODAY!!!", IF(DATEDIF(TEXT(TODAY(),"dd/mm/yyyy"),TEXT(B60,"dd/mm/")&amp;RIGHT(A$2,4),"d") &gt; 0, DATEDIF(TEXT(TODAY(),"dd/mm/yyyy"), TEXT(B60,"dd/mm/")&amp;RIGHT(A$2,4),"d")&amp;" Days to go!",""))),"")</f>
        <v/>
      </c>
      <c r="P60" s="62"/>
      <c r="R60" s="11"/>
      <c r="U60" s="78"/>
    </row>
    <row r="61" spans="1:21">
      <c r="A61" s="78" t="s">
        <v>1580</v>
      </c>
      <c r="B61" s="265">
        <v>34902</v>
      </c>
      <c r="C61" s="80"/>
      <c r="D61" s="80"/>
      <c r="E61" s="79">
        <f ca="1">DATEDIF(B61,NOW(),"y")</f>
        <v>31</v>
      </c>
      <c r="F61" s="11">
        <v>50</v>
      </c>
      <c r="G61" s="67"/>
      <c r="J61" s="11"/>
      <c r="K61" s="11"/>
      <c r="L61" s="11"/>
      <c r="M61" s="11"/>
      <c r="P61" s="62"/>
      <c r="R61" s="11"/>
      <c r="U61" s="78"/>
    </row>
    <row r="62" spans="1:21">
      <c r="A62" s="323"/>
      <c r="B62" s="265"/>
      <c r="C62" s="80"/>
      <c r="D62" s="80"/>
      <c r="E62" s="79"/>
      <c r="F62" s="11"/>
      <c r="G62" s="67"/>
      <c r="J62" s="11"/>
      <c r="K62" s="11"/>
      <c r="L62" s="11"/>
      <c r="M62" s="11"/>
      <c r="R62" s="11"/>
      <c r="U62" s="78"/>
    </row>
    <row r="63" spans="1:21" s="212" customFormat="1">
      <c r="A63" s="62" t="s">
        <v>89</v>
      </c>
      <c r="B63" s="740">
        <f>SUM(F64:F68)</f>
        <v>20</v>
      </c>
      <c r="C63" s="740"/>
      <c r="D63" s="740"/>
      <c r="E63" s="740"/>
      <c r="F63" s="740"/>
      <c r="G63" s="317"/>
      <c r="H63" s="310"/>
      <c r="J63" s="213">
        <f ca="1">SUM(J65:J68)</f>
        <v>20</v>
      </c>
      <c r="K63" s="213">
        <f>SUM(B63,R63)</f>
        <v>20</v>
      </c>
      <c r="L63" s="213">
        <f>L56+($F$105/12)-B63-R63</f>
        <v>830</v>
      </c>
      <c r="M63" s="213">
        <f ca="1">IF(N63&lt;&gt;"",N63,(M56+($F$105/12))-B63-R63+(J63+U63))</f>
        <v>837</v>
      </c>
      <c r="N63" s="90"/>
      <c r="P63" s="62" t="s">
        <v>89</v>
      </c>
      <c r="R63" s="213">
        <f>SUM(R65:R68)</f>
        <v>0</v>
      </c>
      <c r="U63" s="62">
        <f>SUM(U65:U68)</f>
        <v>0</v>
      </c>
    </row>
    <row r="64" spans="1:21" s="212" customFormat="1">
      <c r="A64" s="78" t="s">
        <v>90</v>
      </c>
      <c r="B64" s="91"/>
      <c r="C64" s="91"/>
      <c r="D64" s="91"/>
      <c r="E64" s="91"/>
      <c r="F64" s="11">
        <v>0</v>
      </c>
      <c r="G64" s="317"/>
      <c r="H64" s="310"/>
      <c r="J64" s="11">
        <f>IF(N64="MISSED",F64,F64-I64)</f>
        <v>0</v>
      </c>
      <c r="K64" s="11"/>
      <c r="L64" s="213"/>
      <c r="M64" s="213"/>
      <c r="N64" s="90"/>
      <c r="P64" s="62"/>
      <c r="R64" s="213"/>
      <c r="U64" s="62"/>
    </row>
    <row r="65" spans="1:21">
      <c r="A65" s="78" t="s">
        <v>91</v>
      </c>
      <c r="B65" s="265">
        <v>31995</v>
      </c>
      <c r="C65" s="80" t="str">
        <f t="shared" si="10"/>
        <v>0806</v>
      </c>
      <c r="D65" s="80"/>
      <c r="E65" s="79">
        <f ca="1">DATEDIF(B65,NOW(),"y")</f>
        <v>39</v>
      </c>
      <c r="F65" s="11">
        <v>0</v>
      </c>
      <c r="G65" s="67"/>
      <c r="J65" s="11">
        <f ca="1">IF(N65="MISSED",F65,F65-I65)</f>
        <v>0</v>
      </c>
      <c r="K65" s="11"/>
      <c r="L65" s="11"/>
      <c r="M65" s="11"/>
      <c r="N65" s="7" t="str">
        <f ca="1">IF(TEXT(TODAY(),"YYYY")=RIGHT(A$2,4), IF(ISERROR(DATEDIF(TEXT(TODAY(),"dd/mm/yyyy"),TEXT(B65,"dd/mm/")&amp;RIGHT(A$2,4),"d")),IF(H65="Y","DONE","MISSED"), IF(DATEDIF(TEXT(TODAY(),"dd/mm/yyyy"),TEXT(B65,"dd/mm/")&amp;RIGHT(A$2,4),"d") = 0,"TODAY!!!", IF(DATEDIF(TEXT(TODAY(),"dd/mm/yyyy"),TEXT(B65,"dd/mm/")&amp;RIGHT(A$2,4),"d") &gt; 0, DATEDIF(TEXT(TODAY(),"dd/mm/yyyy"), TEXT(B65,"dd/mm/")&amp;RIGHT(A$2,4),"d")&amp;" Days to go!",""))),"")</f>
        <v/>
      </c>
      <c r="P65" s="62"/>
      <c r="R65" s="11"/>
      <c r="U65" s="78"/>
    </row>
    <row r="66" spans="1:21">
      <c r="A66" s="78" t="s">
        <v>1227</v>
      </c>
      <c r="B66" s="265">
        <v>44788</v>
      </c>
      <c r="C66" s="80"/>
      <c r="D66" s="80"/>
      <c r="E66" s="79">
        <f ca="1">DATEDIF(B66,NOW(),"y")</f>
        <v>4</v>
      </c>
      <c r="F66" s="11">
        <v>20</v>
      </c>
      <c r="G66" s="67"/>
      <c r="J66" s="11">
        <f>IF(N66="MISSED",F66,F66-I66)</f>
        <v>20</v>
      </c>
      <c r="K66" s="11"/>
      <c r="L66" s="11"/>
      <c r="M66" s="11"/>
      <c r="P66" s="62"/>
      <c r="R66" s="11"/>
      <c r="U66" s="78"/>
    </row>
    <row r="67" spans="1:21">
      <c r="A67" s="78" t="s">
        <v>1579</v>
      </c>
      <c r="B67" s="265">
        <v>31651</v>
      </c>
      <c r="C67" s="80"/>
      <c r="D67" s="80"/>
      <c r="E67" s="79">
        <f ca="1">DATEDIF(B67,NOW(),"y")</f>
        <v>39</v>
      </c>
      <c r="F67" s="11">
        <v>0</v>
      </c>
      <c r="G67" s="67"/>
      <c r="J67" s="11">
        <f>IF(N67="MISSED",F67,F67-I67)</f>
        <v>0</v>
      </c>
      <c r="K67" s="11"/>
      <c r="L67" s="11"/>
      <c r="M67" s="11"/>
      <c r="P67" s="62"/>
      <c r="R67" s="11"/>
      <c r="U67" s="78"/>
    </row>
    <row r="68" spans="1:21">
      <c r="A68" s="78" t="s">
        <v>92</v>
      </c>
      <c r="B68" s="265">
        <v>36766</v>
      </c>
      <c r="C68" s="80" t="str">
        <f t="shared" si="10"/>
        <v>0828</v>
      </c>
      <c r="D68" s="80"/>
      <c r="E68" s="79">
        <f ca="1">DATEDIF(B68,NOW(),"y")</f>
        <v>25</v>
      </c>
      <c r="F68" s="11">
        <v>0</v>
      </c>
      <c r="G68" s="67"/>
      <c r="J68" s="11">
        <f ca="1">IF(N68="MISSED",F68,F68-I68)</f>
        <v>0</v>
      </c>
      <c r="K68" s="11"/>
      <c r="L68" s="11"/>
      <c r="M68" s="11"/>
      <c r="N68" s="7" t="str">
        <f ca="1">IF(TEXT(TODAY(),"YYYY")=RIGHT(A$2,4), IF(ISERROR(DATEDIF(TEXT(TODAY(),"dd/mm/yyyy"),TEXT(B68,"dd/mm/")&amp;RIGHT(A$2,4),"d")),IF(H68="Y","DONE","MISSED"), IF(DATEDIF(TEXT(TODAY(),"dd/mm/yyyy"),TEXT(B68,"dd/mm/")&amp;RIGHT(A$2,4),"d") = 0,"TODAY!!!", IF(DATEDIF(TEXT(TODAY(),"dd/mm/yyyy"),TEXT(B68,"dd/mm/")&amp;RIGHT(A$2,4),"d") &gt; 0, DATEDIF(TEXT(TODAY(),"dd/mm/yyyy"), TEXT(B68,"dd/mm/")&amp;RIGHT(A$2,4),"d")&amp;" Days to go!",""))),"")</f>
        <v/>
      </c>
      <c r="P68" s="62"/>
      <c r="R68" s="11"/>
      <c r="U68" s="78"/>
    </row>
    <row r="69" spans="1:21">
      <c r="A69" s="323"/>
      <c r="B69" s="265"/>
      <c r="C69" s="80"/>
      <c r="D69" s="80"/>
      <c r="E69" s="79"/>
      <c r="F69" s="11"/>
      <c r="G69" s="67"/>
      <c r="J69" s="11"/>
      <c r="K69" s="11"/>
      <c r="L69" s="11"/>
      <c r="M69" s="11"/>
      <c r="R69" s="11"/>
      <c r="U69" s="78"/>
    </row>
    <row r="70" spans="1:21">
      <c r="A70" s="62" t="s">
        <v>93</v>
      </c>
      <c r="B70" s="213">
        <f>SUM(F71:F77)</f>
        <v>220</v>
      </c>
      <c r="C70" s="213"/>
      <c r="D70" s="213"/>
      <c r="E70" s="213"/>
      <c r="F70" s="213"/>
      <c r="G70" s="67"/>
      <c r="J70" s="213">
        <f ca="1">SUM(J71:J77)</f>
        <v>200</v>
      </c>
      <c r="K70" s="213">
        <f>SUM(B70,R70)</f>
        <v>220</v>
      </c>
      <c r="L70" s="213">
        <f>L63+($F$105/12)-B70-R70-300</f>
        <v>545</v>
      </c>
      <c r="M70" s="213">
        <f ca="1">IF(N70&lt;&gt;"",N70,(M63+($F$105/12))-B70-R70+(J70+U70))</f>
        <v>1052</v>
      </c>
      <c r="P70" s="62" t="s">
        <v>93</v>
      </c>
      <c r="Q70" s="212"/>
      <c r="R70" s="213">
        <f>SUM(R71:R77)</f>
        <v>0</v>
      </c>
      <c r="S70" s="212"/>
      <c r="T70" s="212"/>
      <c r="U70" s="62">
        <f>SUM(U71:U77)</f>
        <v>0</v>
      </c>
    </row>
    <row r="71" spans="1:21">
      <c r="A71" s="78" t="s">
        <v>94</v>
      </c>
      <c r="B71" s="265">
        <v>42620</v>
      </c>
      <c r="C71" s="80" t="str">
        <f t="shared" si="10"/>
        <v>0907</v>
      </c>
      <c r="D71" s="80"/>
      <c r="E71" s="79">
        <f t="shared" ref="E71:E77" ca="1" si="12">DATEDIF(B71,NOW(),"y")</f>
        <v>9</v>
      </c>
      <c r="F71" s="11">
        <v>0</v>
      </c>
      <c r="G71" s="67"/>
      <c r="J71" s="11">
        <f t="shared" ref="J71:J77" ca="1" si="13">IF(N71="MISSED",F71,F71-I71)</f>
        <v>0</v>
      </c>
      <c r="K71" s="11"/>
      <c r="L71" s="11"/>
      <c r="M71" s="11"/>
      <c r="N71" s="7" t="str">
        <f ca="1">IF(TEXT(TODAY(),"YYYY")=RIGHT(A$2,4), IF(ISERROR(DATEDIF(TEXT(TODAY(),"dd/mm/yyyy"),TEXT(B71,"dd/mm/")&amp;RIGHT(A$2,4),"d")),IF(H71="Y","DONE","MISSED"), IF(DATEDIF(TEXT(TODAY(),"dd/mm/yyyy"),TEXT(B71,"dd/mm/")&amp;RIGHT(A$2,4),"d") = 0,"TODAY!!!", IF(DATEDIF(TEXT(TODAY(),"dd/mm/yyyy"),TEXT(B71,"dd/mm/")&amp;RIGHT(A$2,4),"d") &gt; 0, DATEDIF(TEXT(TODAY(),"dd/mm/yyyy"), TEXT(B71,"dd/mm/")&amp;RIGHT(A$2,4),"d")&amp;" Days to go!",""))),"")</f>
        <v/>
      </c>
      <c r="P71" s="62"/>
      <c r="R71" s="11"/>
      <c r="U71" s="78"/>
    </row>
    <row r="72" spans="1:21">
      <c r="A72" s="78" t="s">
        <v>2037</v>
      </c>
      <c r="B72" s="265">
        <v>45176</v>
      </c>
      <c r="C72" s="80"/>
      <c r="D72" s="80"/>
      <c r="E72" s="79">
        <f t="shared" ca="1" si="12"/>
        <v>2</v>
      </c>
      <c r="F72" s="11">
        <v>20</v>
      </c>
      <c r="G72" s="67"/>
      <c r="J72" s="11"/>
      <c r="K72" s="11"/>
      <c r="L72" s="11"/>
      <c r="M72" s="11"/>
      <c r="P72" s="62"/>
      <c r="R72" s="11"/>
      <c r="U72" s="78"/>
    </row>
    <row r="73" spans="1:21">
      <c r="A73" s="78" t="s">
        <v>95</v>
      </c>
      <c r="B73" s="265">
        <v>38606</v>
      </c>
      <c r="C73" s="80" t="str">
        <f t="shared" si="10"/>
        <v>0911</v>
      </c>
      <c r="D73" s="80"/>
      <c r="E73" s="79">
        <f t="shared" ca="1" si="12"/>
        <v>20</v>
      </c>
      <c r="F73" s="11">
        <v>0</v>
      </c>
      <c r="G73" s="67"/>
      <c r="H73" s="79" t="s">
        <v>20</v>
      </c>
      <c r="I73">
        <v>0</v>
      </c>
      <c r="J73" s="11">
        <f t="shared" ca="1" si="13"/>
        <v>0</v>
      </c>
      <c r="K73" s="11"/>
      <c r="L73" s="11"/>
      <c r="M73" s="11"/>
      <c r="N73" s="7" t="str">
        <f ca="1">IF(TEXT(TODAY(),"YYYY")=RIGHT(A$2,4), IF(ISERROR(DATEDIF(TEXT(TODAY(),"dd/mm/yyyy"),TEXT(B73,"dd/mm/")&amp;RIGHT(A$2,4),"d")),IF(H73="Y","DONE","MISSED"), IF(DATEDIF(TEXT(TODAY(),"dd/mm/yyyy"),TEXT(B73,"dd/mm/")&amp;RIGHT(A$2,4),"d") = 0,"TODAY!!!", IF(DATEDIF(TEXT(TODAY(),"dd/mm/yyyy"),TEXT(B73,"dd/mm/")&amp;RIGHT(A$2,4),"d") &gt; 0, DATEDIF(TEXT(TODAY(),"dd/mm/yyyy"), TEXT(B73,"dd/mm/")&amp;RIGHT(A$2,4),"d")&amp;" Days to go!",""))),"")</f>
        <v/>
      </c>
      <c r="P73" s="62"/>
      <c r="R73" s="11"/>
      <c r="U73" s="78"/>
    </row>
    <row r="74" spans="1:21">
      <c r="A74" s="78" t="s">
        <v>96</v>
      </c>
      <c r="B74" s="265">
        <v>37511</v>
      </c>
      <c r="C74" s="80" t="str">
        <f t="shared" si="10"/>
        <v>0912</v>
      </c>
      <c r="D74" s="80"/>
      <c r="E74" s="79">
        <f t="shared" ca="1" si="12"/>
        <v>23</v>
      </c>
      <c r="F74" s="11">
        <v>0</v>
      </c>
      <c r="G74" s="67"/>
      <c r="J74" s="11">
        <f t="shared" ca="1" si="13"/>
        <v>0</v>
      </c>
      <c r="K74" s="11"/>
      <c r="L74" s="11"/>
      <c r="M74" s="11"/>
      <c r="N74" s="7" t="str">
        <f ca="1">IF(TEXT(TODAY(),"YYYY")=RIGHT(A$2,4), IF(ISERROR(DATEDIF(TEXT(TODAY(),"dd/mm/yyyy"),TEXT(B74,"dd/mm/")&amp;RIGHT(A$2,4),"d")),IF(H74="Y","DONE","MISSED"), IF(DATEDIF(TEXT(TODAY(),"dd/mm/yyyy"),TEXT(B74,"dd/mm/")&amp;RIGHT(A$2,4),"d") = 0,"TODAY!!!", IF(DATEDIF(TEXT(TODAY(),"dd/mm/yyyy"),TEXT(B74,"dd/mm/")&amp;RIGHT(A$2,4),"d") &gt; 0, DATEDIF(TEXT(TODAY(),"dd/mm/yyyy"), TEXT(B74,"dd/mm/")&amp;RIGHT(A$2,4),"d")&amp;" Days to go!",""))),"")</f>
        <v/>
      </c>
      <c r="O74" s="243"/>
      <c r="P74" s="62"/>
      <c r="R74" s="11"/>
      <c r="U74" s="78"/>
    </row>
    <row r="75" spans="1:21">
      <c r="A75" s="78" t="s">
        <v>97</v>
      </c>
      <c r="B75" s="265">
        <v>21076</v>
      </c>
      <c r="C75" s="80" t="str">
        <f t="shared" si="10"/>
        <v>0913</v>
      </c>
      <c r="D75" s="80"/>
      <c r="E75" s="79">
        <f t="shared" ca="1" si="12"/>
        <v>68</v>
      </c>
      <c r="F75" s="11">
        <v>50</v>
      </c>
      <c r="G75" s="67"/>
      <c r="J75" s="11">
        <f t="shared" ca="1" si="13"/>
        <v>50</v>
      </c>
      <c r="K75" s="11"/>
      <c r="L75" s="11"/>
      <c r="M75" s="11"/>
      <c r="N75" s="7" t="str">
        <f ca="1">IF(TEXT(TODAY(),"YYYY")=RIGHT(A$2,4), IF(ISERROR(DATEDIF(TEXT(TODAY(),"dd/mm/yyyy"),TEXT(B75,"dd/mm/")&amp;RIGHT(A$2,4),"d")),IF(H75="Y","DONE","MISSED"), IF(DATEDIF(TEXT(TODAY(),"dd/mm/yyyy"),TEXT(B75,"dd/mm/")&amp;RIGHT(A$2,4),"d") = 0,"TODAY!!!", IF(DATEDIF(TEXT(TODAY(),"dd/mm/yyyy"),TEXT(B75,"dd/mm/")&amp;RIGHT(A$2,4),"d") &gt; 0, DATEDIF(TEXT(TODAY(),"dd/mm/yyyy"), TEXT(B75,"dd/mm/")&amp;RIGHT(A$2,4),"d")&amp;" Days to go!",""))),"")</f>
        <v/>
      </c>
      <c r="O75" t="s">
        <v>98</v>
      </c>
      <c r="P75" s="62"/>
      <c r="R75" s="11"/>
      <c r="U75" s="78"/>
    </row>
    <row r="76" spans="1:21">
      <c r="A76" s="78" t="s">
        <v>99</v>
      </c>
      <c r="B76" s="265">
        <v>34230</v>
      </c>
      <c r="C76" s="80"/>
      <c r="D76" s="80"/>
      <c r="E76" s="79">
        <f t="shared" ca="1" si="12"/>
        <v>32</v>
      </c>
      <c r="F76" s="11">
        <v>150</v>
      </c>
      <c r="G76" s="67"/>
      <c r="J76" s="11">
        <f t="shared" ca="1" si="13"/>
        <v>150</v>
      </c>
      <c r="K76" s="11"/>
      <c r="L76" s="11"/>
      <c r="M76" s="11"/>
      <c r="N76" s="7" t="str">
        <f ca="1">IF(TEXT(TODAY(),"YYYY")=RIGHT(A$2,4), IF(ISERROR(DATEDIF(TEXT(TODAY(),"dd/mm/yyyy"),TEXT(B76,"dd/mm/")&amp;RIGHT(A$2,4),"d")),IF(H76="Y","DONE","MISSED"), IF(DATEDIF(TEXT(TODAY(),"dd/mm/yyyy"),TEXT(B76,"dd/mm/")&amp;RIGHT(A$2,4),"d") = 0,"TODAY!!!", IF(DATEDIF(TEXT(TODAY(),"dd/mm/yyyy"),TEXT(B76,"dd/mm/")&amp;RIGHT(A$2,4),"d") &gt; 0, DATEDIF(TEXT(TODAY(),"dd/mm/yyyy"), TEXT(B76,"dd/mm/")&amp;RIGHT(A$2,4),"d")&amp;" Days to go!",""))),"")</f>
        <v/>
      </c>
      <c r="P76" s="62"/>
      <c r="R76" s="11"/>
      <c r="U76" s="78"/>
    </row>
    <row r="77" spans="1:21">
      <c r="A77" s="78" t="s">
        <v>1496</v>
      </c>
      <c r="B77" s="265">
        <v>19262</v>
      </c>
      <c r="C77" s="80" t="str">
        <f t="shared" si="10"/>
        <v>0925</v>
      </c>
      <c r="D77" s="80"/>
      <c r="E77" s="79">
        <f t="shared" ca="1" si="12"/>
        <v>73</v>
      </c>
      <c r="F77" s="11">
        <v>0</v>
      </c>
      <c r="G77" s="67"/>
      <c r="J77" s="11">
        <f t="shared" ca="1" si="13"/>
        <v>0</v>
      </c>
      <c r="K77" s="11"/>
      <c r="L77" s="11"/>
      <c r="M77" s="11"/>
      <c r="N77" s="7" t="str">
        <f ca="1">IF(TEXT(TODAY(),"YYYY")=RIGHT(A$2,4), IF(ISERROR(DATEDIF(TEXT(TODAY(),"dd/mm/yyyy"),TEXT(B77,"dd/mm/")&amp;RIGHT(A$2,4),"d")),IF(H77="Y","DONE","MISSED"), IF(DATEDIF(TEXT(TODAY(),"dd/mm/yyyy"),TEXT(B77,"dd/mm/")&amp;RIGHT(A$2,4),"d") = 0,"TODAY!!!", IF(DATEDIF(TEXT(TODAY(),"dd/mm/yyyy"),TEXT(B77,"dd/mm/")&amp;RIGHT(A$2,4),"d") &gt; 0, DATEDIF(TEXT(TODAY(),"dd/mm/yyyy"), TEXT(B77,"dd/mm/")&amp;RIGHT(A$2,4),"d")&amp;" Days to go!",""))),"")</f>
        <v/>
      </c>
      <c r="P77" s="62"/>
      <c r="R77" s="11"/>
      <c r="U77" s="78"/>
    </row>
    <row r="78" spans="1:21">
      <c r="A78" s="323"/>
      <c r="B78" s="265"/>
      <c r="C78" s="80"/>
      <c r="D78" s="80"/>
      <c r="E78" s="79"/>
      <c r="F78" s="11"/>
      <c r="G78" s="67"/>
      <c r="J78" s="11"/>
      <c r="K78" s="11"/>
      <c r="L78" s="11"/>
      <c r="M78" s="11"/>
      <c r="R78" s="11"/>
      <c r="U78" s="78"/>
    </row>
    <row r="79" spans="1:21" s="242" customFormat="1">
      <c r="A79" s="279" t="s">
        <v>101</v>
      </c>
      <c r="B79" s="745">
        <f>SUM(F80:F86)</f>
        <v>50</v>
      </c>
      <c r="C79" s="745"/>
      <c r="D79" s="745"/>
      <c r="E79" s="745"/>
      <c r="F79" s="745"/>
      <c r="G79" s="328"/>
      <c r="H79" s="329"/>
      <c r="J79" s="327">
        <f ca="1">SUM(J80:J86)</f>
        <v>50</v>
      </c>
      <c r="K79" s="213">
        <f>SUM(B79,R79)</f>
        <v>150</v>
      </c>
      <c r="L79" s="327">
        <f>L70+($F$105/12)-B79-R79</f>
        <v>630</v>
      </c>
      <c r="M79" s="327">
        <f ca="1">IF(N79&lt;&gt;"",N79,(M70+($F$105/12))-B79-R79+(J79+U79))</f>
        <v>1287</v>
      </c>
      <c r="N79" s="290"/>
      <c r="P79" s="279" t="s">
        <v>101</v>
      </c>
      <c r="Q79" s="279"/>
      <c r="R79" s="327">
        <f>SUM(R80:R86)</f>
        <v>100</v>
      </c>
      <c r="S79" s="279"/>
      <c r="T79" s="279"/>
      <c r="U79" s="279">
        <f>SUM(U80:U86)</f>
        <v>100</v>
      </c>
    </row>
    <row r="80" spans="1:21">
      <c r="A80" s="78" t="s">
        <v>102</v>
      </c>
      <c r="B80" s="265">
        <v>35342</v>
      </c>
      <c r="C80" s="80" t="str">
        <f t="shared" si="10"/>
        <v>1004</v>
      </c>
      <c r="D80" s="80"/>
      <c r="E80" s="79">
        <f t="shared" ref="E80:E86" ca="1" si="14">DATEDIF(B80,NOW(),"y")</f>
        <v>29</v>
      </c>
      <c r="F80" s="11">
        <v>0</v>
      </c>
      <c r="G80" s="67"/>
      <c r="J80" s="11">
        <f t="shared" ref="J80:J86" ca="1" si="15">IF(N80="MISSED",F80,F80-I80)</f>
        <v>0</v>
      </c>
      <c r="K80" s="11"/>
      <c r="L80" s="11"/>
      <c r="M80" s="11"/>
      <c r="N80" s="7" t="str">
        <f t="shared" ref="N80:N86" ca="1" si="16">IF(TEXT(TODAY(),"YYYY")=RIGHT(A$2,4), IF(ISERROR(DATEDIF(TEXT(TODAY(),"dd/mm/yyyy"),TEXT(B80,"dd/mm/")&amp;RIGHT(A$2,4),"d")),IF(H80="Y","DONE","MISSED"), IF(DATEDIF(TEXT(TODAY(),"dd/mm/yyyy"),TEXT(B80,"dd/mm/")&amp;RIGHT(A$2,4),"d") = 0,"TODAY!!!", IF(DATEDIF(TEXT(TODAY(),"dd/mm/yyyy"),TEXT(B80,"dd/mm/")&amp;RIGHT(A$2,4),"d") &gt; 0, DATEDIF(TEXT(TODAY(),"dd/mm/yyyy"), TEXT(B80,"dd/mm/")&amp;RIGHT(A$2,4),"d")&amp;" Days to go!",""))),"")</f>
        <v/>
      </c>
      <c r="P80" s="62" t="s">
        <v>103</v>
      </c>
      <c r="Q80" t="s">
        <v>104</v>
      </c>
      <c r="R80" s="11">
        <v>100</v>
      </c>
      <c r="U80" s="326">
        <f>R80-T80</f>
        <v>100</v>
      </c>
    </row>
    <row r="81" spans="1:21">
      <c r="A81" s="78" t="s">
        <v>105</v>
      </c>
      <c r="B81" s="265">
        <v>42654</v>
      </c>
      <c r="C81" s="80" t="str">
        <f t="shared" si="10"/>
        <v>1011</v>
      </c>
      <c r="D81" s="80"/>
      <c r="E81" s="79">
        <f t="shared" ca="1" si="14"/>
        <v>9</v>
      </c>
      <c r="F81" s="11">
        <v>0</v>
      </c>
      <c r="G81" s="11"/>
      <c r="J81" s="11">
        <f t="shared" ca="1" si="15"/>
        <v>0</v>
      </c>
      <c r="K81" s="11"/>
      <c r="L81" s="11"/>
      <c r="M81" s="11"/>
      <c r="N81" s="7" t="str">
        <f t="shared" ca="1" si="16"/>
        <v/>
      </c>
      <c r="P81" s="62"/>
      <c r="R81" s="11"/>
      <c r="U81" s="78"/>
    </row>
    <row r="82" spans="1:21">
      <c r="A82" s="78" t="s">
        <v>106</v>
      </c>
      <c r="B82" s="265">
        <v>42655</v>
      </c>
      <c r="C82" s="80" t="str">
        <f t="shared" si="10"/>
        <v>1012</v>
      </c>
      <c r="D82" s="80"/>
      <c r="E82" s="79">
        <f t="shared" ca="1" si="14"/>
        <v>9</v>
      </c>
      <c r="F82" s="11">
        <v>25</v>
      </c>
      <c r="G82" s="67"/>
      <c r="J82" s="11">
        <f t="shared" ca="1" si="15"/>
        <v>25</v>
      </c>
      <c r="K82" s="11"/>
      <c r="L82" s="11"/>
      <c r="M82" s="11"/>
      <c r="N82" s="7" t="str">
        <f t="shared" ca="1" si="16"/>
        <v/>
      </c>
      <c r="P82" s="62"/>
      <c r="R82" s="11"/>
      <c r="U82" s="78"/>
    </row>
    <row r="83" spans="1:21">
      <c r="A83" s="78" t="s">
        <v>107</v>
      </c>
      <c r="B83" s="265">
        <v>43025</v>
      </c>
      <c r="C83" s="80"/>
      <c r="D83" s="80"/>
      <c r="E83" s="79">
        <f t="shared" ca="1" si="14"/>
        <v>8</v>
      </c>
      <c r="F83" s="11">
        <v>25</v>
      </c>
      <c r="G83" s="67"/>
      <c r="J83" s="11">
        <f t="shared" ca="1" si="15"/>
        <v>25</v>
      </c>
      <c r="K83" s="11"/>
      <c r="L83" s="11"/>
      <c r="M83" s="11"/>
      <c r="N83" s="7" t="str">
        <f t="shared" ca="1" si="16"/>
        <v/>
      </c>
      <c r="P83" s="62"/>
      <c r="R83" s="11"/>
      <c r="U83" s="78"/>
    </row>
    <row r="84" spans="1:21">
      <c r="A84" s="78" t="s">
        <v>108</v>
      </c>
      <c r="B84" s="265">
        <v>22573</v>
      </c>
      <c r="C84" s="80" t="str">
        <f t="shared" si="10"/>
        <v>1019</v>
      </c>
      <c r="D84" s="80"/>
      <c r="E84" s="79">
        <f t="shared" ca="1" si="14"/>
        <v>64</v>
      </c>
      <c r="F84" s="11">
        <v>0</v>
      </c>
      <c r="G84" s="67"/>
      <c r="J84" s="11">
        <f t="shared" ca="1" si="15"/>
        <v>0</v>
      </c>
      <c r="K84" s="11"/>
      <c r="L84" s="11"/>
      <c r="M84" s="11"/>
      <c r="N84" s="7" t="str">
        <f t="shared" ca="1" si="16"/>
        <v/>
      </c>
      <c r="P84" s="62"/>
      <c r="R84" s="11"/>
      <c r="U84" s="78"/>
    </row>
    <row r="85" spans="1:21">
      <c r="A85" s="78" t="s">
        <v>109</v>
      </c>
      <c r="B85" s="265">
        <v>11252</v>
      </c>
      <c r="C85" s="80" t="str">
        <f t="shared" si="10"/>
        <v>1021</v>
      </c>
      <c r="D85" s="352">
        <v>44386</v>
      </c>
      <c r="E85" s="79">
        <f t="shared" ca="1" si="14"/>
        <v>95</v>
      </c>
      <c r="F85" s="11">
        <v>0</v>
      </c>
      <c r="G85" s="67"/>
      <c r="J85" s="11">
        <f t="shared" ca="1" si="15"/>
        <v>0</v>
      </c>
      <c r="K85" s="11"/>
      <c r="L85" s="11"/>
      <c r="M85" s="11"/>
      <c r="N85" s="7" t="str">
        <f t="shared" ca="1" si="16"/>
        <v/>
      </c>
      <c r="P85" s="62"/>
      <c r="R85" s="11"/>
      <c r="U85" s="78"/>
    </row>
    <row r="86" spans="1:21">
      <c r="A86" s="78" t="s">
        <v>110</v>
      </c>
      <c r="B86" s="265">
        <v>33172</v>
      </c>
      <c r="C86" s="80" t="str">
        <f t="shared" si="10"/>
        <v>1026</v>
      </c>
      <c r="D86" s="80"/>
      <c r="E86" s="79">
        <f t="shared" ca="1" si="14"/>
        <v>35</v>
      </c>
      <c r="F86" s="11">
        <v>0</v>
      </c>
      <c r="G86" s="67"/>
      <c r="J86" s="11">
        <f t="shared" ca="1" si="15"/>
        <v>0</v>
      </c>
      <c r="K86" s="11"/>
      <c r="L86" s="11"/>
      <c r="M86" s="11"/>
      <c r="N86" s="7" t="str">
        <f t="shared" ca="1" si="16"/>
        <v/>
      </c>
      <c r="P86" s="62"/>
      <c r="R86" s="11"/>
      <c r="U86" s="78"/>
    </row>
    <row r="87" spans="1:21">
      <c r="A87" s="323"/>
      <c r="B87" s="265"/>
      <c r="C87" s="80"/>
      <c r="D87" s="80"/>
      <c r="E87" s="79"/>
      <c r="F87" s="11"/>
      <c r="G87" s="67"/>
      <c r="J87" s="11"/>
      <c r="K87" s="11"/>
      <c r="L87" s="11"/>
      <c r="M87" s="11"/>
      <c r="R87" s="11"/>
      <c r="U87" s="78"/>
    </row>
    <row r="88" spans="1:21">
      <c r="A88" s="62" t="s">
        <v>111</v>
      </c>
      <c r="B88" s="740">
        <f>SUM(F89:F90)</f>
        <v>25</v>
      </c>
      <c r="C88" s="740"/>
      <c r="D88" s="740"/>
      <c r="E88" s="740"/>
      <c r="F88" s="740"/>
      <c r="G88" s="67"/>
      <c r="J88" s="213">
        <f ca="1">SUM(J89:J90)</f>
        <v>25</v>
      </c>
      <c r="K88" s="213">
        <f>SUM(B88,R88)</f>
        <v>25</v>
      </c>
      <c r="L88" s="213">
        <f>L79+($F$105/12)-B88-R88</f>
        <v>840</v>
      </c>
      <c r="M88" s="213">
        <f ca="1">IF(N88&lt;&gt;"",N88,(M79+($F$105/12))-B88-R88+(J88+U88))</f>
        <v>1522</v>
      </c>
      <c r="P88" s="62" t="s">
        <v>111</v>
      </c>
      <c r="Q88" s="212"/>
      <c r="R88" s="213">
        <f>SUM(R89:R90)</f>
        <v>0</v>
      </c>
      <c r="S88" s="212"/>
      <c r="T88" s="212"/>
      <c r="U88" s="63">
        <f>SUM(U89:U90)</f>
        <v>0</v>
      </c>
    </row>
    <row r="89" spans="1:21">
      <c r="A89" s="78" t="s">
        <v>112</v>
      </c>
      <c r="B89" s="265">
        <v>34280</v>
      </c>
      <c r="C89" s="80" t="str">
        <f t="shared" si="10"/>
        <v>1107</v>
      </c>
      <c r="D89" s="80"/>
      <c r="E89" s="79">
        <f ca="1">DATEDIF(B89,NOW(),"y")</f>
        <v>32</v>
      </c>
      <c r="F89" s="11">
        <v>25</v>
      </c>
      <c r="G89" s="67"/>
      <c r="J89" s="11">
        <f ca="1">IF(N89="MISSED",F89,F89-I89)</f>
        <v>25</v>
      </c>
      <c r="K89" s="11"/>
      <c r="L89" s="11"/>
      <c r="M89" s="11"/>
      <c r="N89" s="7" t="str">
        <f ca="1">IF(TEXT(TODAY(),"YYYY")=RIGHT(A$2,4), IF(ISERROR(DATEDIF(TEXT(TODAY(),"dd/mm/yyyy"),TEXT(B89,"dd/mm/")&amp;RIGHT(A$2,4),"d")),IF(H89="Y","DONE","MISSED"), IF(DATEDIF(TEXT(TODAY(),"dd/mm/yyyy"),TEXT(B89,"dd/mm/")&amp;RIGHT(A$2,4),"d") = 0,"TODAY!!!", IF(DATEDIF(TEXT(TODAY(),"dd/mm/yyyy"),TEXT(B89,"dd/mm/")&amp;RIGHT(A$2,4),"d") &gt; 0, DATEDIF(TEXT(TODAY(),"dd/mm/yyyy"), TEXT(B89,"dd/mm/")&amp;RIGHT(A$2,4),"d")&amp;" Days to go!",""))),"")</f>
        <v/>
      </c>
      <c r="P89" s="78" t="s">
        <v>113</v>
      </c>
      <c r="Q89" t="s">
        <v>114</v>
      </c>
      <c r="R89" s="11">
        <v>0</v>
      </c>
      <c r="S89" t="s">
        <v>115</v>
      </c>
      <c r="U89" s="326">
        <f>R89-T89</f>
        <v>0</v>
      </c>
    </row>
    <row r="90" spans="1:21">
      <c r="A90" s="78" t="s">
        <v>117</v>
      </c>
      <c r="B90" s="265">
        <v>40139</v>
      </c>
      <c r="C90" s="80" t="str">
        <f t="shared" si="10"/>
        <v>1122</v>
      </c>
      <c r="D90" s="80"/>
      <c r="E90" s="79">
        <f ca="1">DATEDIF(B90,NOW(),"y")</f>
        <v>16</v>
      </c>
      <c r="F90" s="11">
        <v>0</v>
      </c>
      <c r="G90" s="67"/>
      <c r="J90" s="11">
        <f ca="1">IF(N90="MISSED",F90,F90-I90)</f>
        <v>0</v>
      </c>
      <c r="K90" s="11"/>
      <c r="L90" s="11"/>
      <c r="M90" s="11"/>
      <c r="N90" s="7" t="str">
        <f ca="1">IF(TEXT(TODAY(),"YYYY")=RIGHT(A$2,4), IF(ISERROR(DATEDIF(TEXT(TODAY(),"dd/mm/yyyy"),TEXT(B90,"dd/mm/")&amp;RIGHT(A$2,4),"d")),IF(H90="Y","DONE","MISSED"), IF(DATEDIF(TEXT(TODAY(),"dd/mm/yyyy"),TEXT(B90,"dd/mm/")&amp;RIGHT(A$2,4),"d") = 0,"TODAY!!!", IF(DATEDIF(TEXT(TODAY(),"dd/mm/yyyy"),TEXT(B90,"dd/mm/")&amp;RIGHT(A$2,4),"d") &gt; 0, DATEDIF(TEXT(TODAY(),"dd/mm/yyyy"), TEXT(B90,"dd/mm/")&amp;RIGHT(A$2,4),"d")&amp;" Days to go!",""))),"")</f>
        <v/>
      </c>
      <c r="P90" s="62"/>
      <c r="R90" s="11"/>
      <c r="U90" s="78"/>
    </row>
    <row r="91" spans="1:21">
      <c r="B91" s="265"/>
      <c r="C91" s="80"/>
      <c r="D91" s="80"/>
      <c r="E91" s="79"/>
      <c r="F91" s="11"/>
      <c r="G91" s="67"/>
      <c r="J91" s="11"/>
      <c r="K91" s="11"/>
      <c r="L91" s="11"/>
      <c r="M91" s="11"/>
      <c r="R91" s="11"/>
      <c r="U91" s="78"/>
    </row>
    <row r="92" spans="1:21">
      <c r="A92" s="62" t="s">
        <v>118</v>
      </c>
      <c r="B92" s="739">
        <f>SUM(F93:F98)</f>
        <v>190</v>
      </c>
      <c r="C92" s="739"/>
      <c r="D92" s="739"/>
      <c r="E92" s="739"/>
      <c r="F92" s="739"/>
      <c r="G92" s="67"/>
      <c r="J92" s="213">
        <f ca="1">SUM(J93:J98)</f>
        <v>-30</v>
      </c>
      <c r="K92" s="213">
        <f>SUM(B92,R92)</f>
        <v>190</v>
      </c>
      <c r="L92" s="213">
        <f>L88+($F$105/12)-B92-F103-R92</f>
        <v>-300</v>
      </c>
      <c r="M92" s="213">
        <f ca="1">IF(N92&lt;&gt;"",N92,((M88+($F$105/12))-(B92-J92)-(R92-U92))-J99)</f>
        <v>1537</v>
      </c>
      <c r="P92" s="62" t="s">
        <v>118</v>
      </c>
      <c r="Q92" s="212"/>
      <c r="R92" s="213">
        <f>SUM(R93:R98)</f>
        <v>0</v>
      </c>
      <c r="S92" s="212"/>
      <c r="T92" s="212"/>
      <c r="U92" s="63">
        <f>SUM(U93:U98)</f>
        <v>0</v>
      </c>
    </row>
    <row r="93" spans="1:21">
      <c r="A93" s="78" t="s">
        <v>119</v>
      </c>
      <c r="B93" s="265">
        <v>34317</v>
      </c>
      <c r="C93" s="80" t="str">
        <f t="shared" si="10"/>
        <v>1214</v>
      </c>
      <c r="D93" s="80"/>
      <c r="E93" s="79">
        <f t="shared" ref="E93:E98" ca="1" si="17">DATEDIF(B93,NOW(),"y")</f>
        <v>32</v>
      </c>
      <c r="F93" s="11">
        <v>25</v>
      </c>
      <c r="G93" s="67" t="s">
        <v>120</v>
      </c>
      <c r="H93" s="79" t="s">
        <v>20</v>
      </c>
      <c r="J93" s="11">
        <f ca="1">IF(N93="MISSED",F93,F93-I93)</f>
        <v>25</v>
      </c>
      <c r="K93" s="11"/>
      <c r="L93" s="11"/>
      <c r="M93" s="11"/>
      <c r="N93" s="7" t="str">
        <f t="shared" ref="N93:N98" ca="1" si="18">IF(TEXT(TODAY(),"YYYY")=RIGHT(A$2,4), IF(ISERROR(DATEDIF(TEXT(TODAY(),"dd/mm/yyyy"),TEXT(B93,"dd/mm/")&amp;RIGHT(A$2,4),"d")),IF(H93="Y","DONE","MISSED"), IF(DATEDIF(TEXT(TODAY(),"dd/mm/yyyy"),TEXT(B93,"dd/mm/")&amp;RIGHT(A$2,4),"d") = 0,"TODAY!!!", IF(DATEDIF(TEXT(TODAY(),"dd/mm/yyyy"),TEXT(B93,"dd/mm/")&amp;RIGHT(A$2,4),"d") &gt; 0, DATEDIF(TEXT(TODAY(),"dd/mm/yyyy"), TEXT(B93,"dd/mm/")&amp;RIGHT(A$2,4),"d")&amp;" Days to go!",""))),"")</f>
        <v/>
      </c>
      <c r="P93" s="78" t="s">
        <v>121</v>
      </c>
      <c r="Q93" t="s">
        <v>122</v>
      </c>
      <c r="R93" s="11">
        <v>0</v>
      </c>
      <c r="S93" t="s">
        <v>121</v>
      </c>
      <c r="U93" s="326">
        <f>R93-T93</f>
        <v>0</v>
      </c>
    </row>
    <row r="94" spans="1:21">
      <c r="A94" s="78" t="s">
        <v>123</v>
      </c>
      <c r="B94" s="265">
        <v>33221</v>
      </c>
      <c r="C94" s="80" t="str">
        <f t="shared" si="10"/>
        <v>1214</v>
      </c>
      <c r="D94" s="80"/>
      <c r="E94" s="79">
        <f t="shared" ca="1" si="17"/>
        <v>35</v>
      </c>
      <c r="F94" s="11">
        <v>0</v>
      </c>
      <c r="G94" s="67"/>
      <c r="J94" s="11">
        <f t="shared" ref="J94:J98" ca="1" si="19">IF(N94="MISSED",F94,F94-I94)</f>
        <v>0</v>
      </c>
      <c r="K94" s="11"/>
      <c r="L94" s="11"/>
      <c r="M94" s="11"/>
      <c r="N94" s="7" t="str">
        <f t="shared" ca="1" si="18"/>
        <v/>
      </c>
      <c r="P94" s="62" t="s">
        <v>124</v>
      </c>
      <c r="R94" s="11">
        <v>0</v>
      </c>
      <c r="U94" s="78"/>
    </row>
    <row r="95" spans="1:21">
      <c r="A95" s="78" t="s">
        <v>60</v>
      </c>
      <c r="B95" s="265">
        <v>42720</v>
      </c>
      <c r="C95" s="80" t="str">
        <f t="shared" si="10"/>
        <v>1216</v>
      </c>
      <c r="D95" s="80"/>
      <c r="E95" s="79">
        <f t="shared" ca="1" si="17"/>
        <v>9</v>
      </c>
      <c r="F95" s="11">
        <v>0</v>
      </c>
      <c r="G95" s="67"/>
      <c r="J95" s="11">
        <f t="shared" ca="1" si="19"/>
        <v>0</v>
      </c>
      <c r="K95" s="11"/>
      <c r="L95" s="11"/>
      <c r="M95" s="11"/>
      <c r="N95" s="7" t="str">
        <f t="shared" ca="1" si="18"/>
        <v/>
      </c>
      <c r="P95" s="62"/>
      <c r="R95" s="11"/>
      <c r="U95" s="78"/>
    </row>
    <row r="96" spans="1:21">
      <c r="A96" s="78" t="s">
        <v>125</v>
      </c>
      <c r="B96" s="265">
        <v>34327</v>
      </c>
      <c r="C96" s="80" t="str">
        <f t="shared" si="10"/>
        <v>1224</v>
      </c>
      <c r="D96" s="80"/>
      <c r="E96" s="79">
        <f t="shared" ca="1" si="17"/>
        <v>32</v>
      </c>
      <c r="F96" s="11">
        <v>150</v>
      </c>
      <c r="G96" s="67" t="s">
        <v>1253</v>
      </c>
      <c r="I96">
        <v>220</v>
      </c>
      <c r="J96" s="11">
        <f t="shared" ca="1" si="19"/>
        <v>-70</v>
      </c>
      <c r="K96" s="11"/>
      <c r="L96" s="11"/>
      <c r="M96" s="11"/>
      <c r="N96" s="7" t="str">
        <f t="shared" ca="1" si="18"/>
        <v/>
      </c>
      <c r="P96" s="62"/>
      <c r="R96" s="11"/>
      <c r="U96" s="78"/>
    </row>
    <row r="97" spans="1:21">
      <c r="A97" s="78" t="s">
        <v>126</v>
      </c>
      <c r="B97" s="265">
        <v>32138</v>
      </c>
      <c r="C97" s="80" t="str">
        <f t="shared" si="10"/>
        <v>1227</v>
      </c>
      <c r="D97" s="80"/>
      <c r="E97" s="79">
        <f t="shared" ca="1" si="17"/>
        <v>38</v>
      </c>
      <c r="F97" s="11">
        <v>0</v>
      </c>
      <c r="G97" s="67"/>
      <c r="J97" s="11">
        <f t="shared" ca="1" si="19"/>
        <v>0</v>
      </c>
      <c r="K97" s="11"/>
      <c r="L97" s="11"/>
      <c r="M97" s="11"/>
      <c r="N97" s="7" t="str">
        <f t="shared" ca="1" si="18"/>
        <v/>
      </c>
      <c r="P97" s="62"/>
      <c r="R97" s="11"/>
      <c r="U97" s="78"/>
    </row>
    <row r="98" spans="1:21">
      <c r="A98" s="78" t="s">
        <v>127</v>
      </c>
      <c r="B98" s="265">
        <v>23740</v>
      </c>
      <c r="C98" s="80" t="str">
        <f t="shared" si="10"/>
        <v>1229</v>
      </c>
      <c r="D98" s="80"/>
      <c r="E98" s="79">
        <f t="shared" ca="1" si="17"/>
        <v>61</v>
      </c>
      <c r="F98" s="11">
        <v>15</v>
      </c>
      <c r="G98" s="67" t="s">
        <v>1484</v>
      </c>
      <c r="H98" s="79" t="s">
        <v>20</v>
      </c>
      <c r="J98" s="11">
        <f t="shared" ca="1" si="19"/>
        <v>15</v>
      </c>
      <c r="K98" s="11"/>
      <c r="L98" s="11"/>
      <c r="M98" s="11"/>
      <c r="N98" s="7" t="str">
        <f t="shared" ca="1" si="18"/>
        <v/>
      </c>
      <c r="P98" s="62"/>
      <c r="R98" s="11"/>
      <c r="U98" s="78"/>
    </row>
    <row r="99" spans="1:21">
      <c r="A99" s="78" t="s">
        <v>128</v>
      </c>
      <c r="B99" s="265"/>
      <c r="C99" s="80"/>
      <c r="D99" s="80"/>
      <c r="E99" s="79"/>
      <c r="F99" s="11"/>
      <c r="G99" s="67"/>
      <c r="J99" s="11">
        <v>0</v>
      </c>
      <c r="K99" s="11"/>
      <c r="L99" s="11"/>
      <c r="M99" s="11"/>
      <c r="P99" s="62"/>
      <c r="R99" s="11"/>
      <c r="U99" s="78"/>
    </row>
    <row r="100" spans="1:21">
      <c r="P100" s="62"/>
      <c r="Q100" s="78"/>
      <c r="R100" s="78"/>
      <c r="S100" s="78"/>
      <c r="T100" s="78"/>
      <c r="U100" s="78"/>
    </row>
    <row r="101" spans="1:21">
      <c r="A101" s="62" t="str">
        <f>"Total birthday gifts: "&amp;COUNTIF(F4:F98,"&lt;&gt;0")</f>
        <v>Total birthday gifts: 46</v>
      </c>
      <c r="B101" s="62"/>
      <c r="C101" s="62"/>
      <c r="D101" s="62"/>
      <c r="E101" s="60"/>
      <c r="F101" s="63">
        <f>SUMIF(F4:F98,"&gt;0")</f>
        <v>875</v>
      </c>
      <c r="G101" s="63"/>
      <c r="H101" s="61"/>
      <c r="I101" s="63">
        <f>SUM(I4:I98)</f>
        <v>270.99</v>
      </c>
      <c r="J101" s="63">
        <f ca="1">SUM(J92,J88,J79,J70,J63,J56,J47,J37,J32,J21,J14,J3)</f>
        <v>424.01</v>
      </c>
      <c r="K101" s="63">
        <f>SUM(K3:K95)-R101</f>
        <v>875</v>
      </c>
      <c r="L101" s="63"/>
      <c r="M101" s="63"/>
      <c r="P101" s="62"/>
      <c r="Q101" s="78"/>
      <c r="R101" s="63">
        <f>SUM(R3,R14,R21,R32,R37,R47,R56,R63,R70,R79,R88,R92)</f>
        <v>760</v>
      </c>
      <c r="S101" s="78"/>
      <c r="T101" s="78"/>
      <c r="U101" s="63">
        <f>SUM(U3,U14,U21,U32,U37,U47,U56,U63,U70,U79,U88,U92)</f>
        <v>660</v>
      </c>
    </row>
    <row r="102" spans="1:21">
      <c r="A102" s="62" t="str">
        <f>"Total birthday cards: "&amp;COUNTA(A4:A98)</f>
        <v>Total birthday cards: 84</v>
      </c>
    </row>
    <row r="103" spans="1:21">
      <c r="A103" s="62" t="s">
        <v>129</v>
      </c>
      <c r="F103" s="11">
        <f>G186</f>
        <v>1185</v>
      </c>
      <c r="H103" s="259"/>
      <c r="L103" s="11"/>
      <c r="M103" s="243">
        <f ca="1">J92+R92+F104</f>
        <v>730</v>
      </c>
    </row>
    <row r="104" spans="1:21">
      <c r="A104" s="62" t="s">
        <v>130</v>
      </c>
      <c r="F104" s="11">
        <f>R101</f>
        <v>760</v>
      </c>
      <c r="H104" s="259"/>
    </row>
    <row r="105" spans="1:21">
      <c r="A105" s="62" t="s">
        <v>131</v>
      </c>
      <c r="F105" s="11">
        <f>SUM(F101:F104)</f>
        <v>2820</v>
      </c>
      <c r="I105" s="11"/>
      <c r="L105" s="11"/>
      <c r="M105" s="11">
        <f>R92+F103+B92</f>
        <v>1375</v>
      </c>
      <c r="N105" s="284">
        <f>M105-450</f>
        <v>925</v>
      </c>
      <c r="O105" s="11"/>
    </row>
    <row r="106" spans="1:21">
      <c r="A106" s="62" t="s">
        <v>132</v>
      </c>
      <c r="F106" s="11">
        <f>F105/12</f>
        <v>235</v>
      </c>
      <c r="G106" s="11">
        <f>250*12</f>
        <v>3000</v>
      </c>
      <c r="L106" s="11"/>
      <c r="M106" s="11"/>
      <c r="N106" s="284"/>
    </row>
    <row r="108" spans="1:21">
      <c r="A108" s="738" t="s">
        <v>133</v>
      </c>
      <c r="B108" s="738"/>
      <c r="C108" s="738"/>
      <c r="D108" s="738"/>
      <c r="E108" s="738"/>
      <c r="F108" s="738"/>
      <c r="G108" s="738"/>
      <c r="H108" s="738"/>
      <c r="I108" s="738"/>
      <c r="J108" s="738"/>
      <c r="K108" s="738"/>
      <c r="L108" s="738"/>
      <c r="M108" s="738"/>
      <c r="N108" s="738"/>
      <c r="Q108" s="11"/>
    </row>
    <row r="109" spans="1:21">
      <c r="A109" s="90" t="s">
        <v>134</v>
      </c>
      <c r="B109" s="90" t="s">
        <v>135</v>
      </c>
      <c r="C109" s="90"/>
      <c r="D109" s="90"/>
      <c r="E109" s="90" t="s">
        <v>136</v>
      </c>
      <c r="F109" s="90"/>
      <c r="G109" s="90" t="s">
        <v>137</v>
      </c>
      <c r="H109" s="90" t="s">
        <v>9</v>
      </c>
      <c r="I109" s="90" t="s">
        <v>10</v>
      </c>
      <c r="N109" s="339"/>
      <c r="Q109" s="11"/>
    </row>
    <row r="110" spans="1:21">
      <c r="A110" s="242" t="s">
        <v>138</v>
      </c>
      <c r="B110" s="290" t="s">
        <v>20</v>
      </c>
      <c r="C110" s="242"/>
      <c r="D110" s="242"/>
      <c r="E110" s="242" t="s">
        <v>3074</v>
      </c>
      <c r="F110" s="279"/>
      <c r="G110" s="357">
        <v>100</v>
      </c>
      <c r="H110" s="279">
        <v>70</v>
      </c>
      <c r="I110" s="279">
        <f>G110-H110</f>
        <v>30</v>
      </c>
      <c r="N110" s="339"/>
    </row>
    <row r="111" spans="1:21">
      <c r="A111" s="331" t="s">
        <v>139</v>
      </c>
      <c r="B111" s="449"/>
      <c r="C111" s="331"/>
      <c r="D111" s="331"/>
      <c r="E111" s="450"/>
      <c r="F111" s="450"/>
      <c r="G111" s="522">
        <v>100</v>
      </c>
      <c r="H111" s="450"/>
      <c r="I111" s="450">
        <f t="shared" ref="I111:I154" si="20">G111-H111</f>
        <v>100</v>
      </c>
      <c r="N111" s="339"/>
      <c r="Q111" s="11"/>
    </row>
    <row r="112" spans="1:21">
      <c r="B112" s="7"/>
      <c r="E112" s="212"/>
      <c r="F112" s="212"/>
      <c r="G112" s="90"/>
      <c r="H112" s="212"/>
      <c r="I112" s="212">
        <f t="shared" si="20"/>
        <v>0</v>
      </c>
      <c r="N112" s="339"/>
      <c r="Q112" s="11"/>
    </row>
    <row r="113" spans="1:17">
      <c r="A113" s="741" t="s">
        <v>2051</v>
      </c>
      <c r="B113" s="741"/>
      <c r="C113" s="741"/>
      <c r="D113" s="741"/>
      <c r="E113" s="741"/>
      <c r="F113" s="741"/>
      <c r="G113" s="741"/>
      <c r="H113" s="741"/>
      <c r="I113" s="741"/>
      <c r="J113" s="524"/>
      <c r="N113" s="339"/>
      <c r="Q113" s="11"/>
    </row>
    <row r="114" spans="1:17">
      <c r="A114" s="358" t="s">
        <v>140</v>
      </c>
      <c r="B114" s="454" t="s">
        <v>20</v>
      </c>
      <c r="C114" s="358"/>
      <c r="D114" s="358"/>
      <c r="E114" s="358" t="s">
        <v>3107</v>
      </c>
      <c r="F114" s="358"/>
      <c r="G114" s="454">
        <v>20</v>
      </c>
      <c r="H114" s="358">
        <v>15</v>
      </c>
      <c r="I114" s="455">
        <f t="shared" si="20"/>
        <v>5</v>
      </c>
      <c r="J114" s="527" t="s">
        <v>1899</v>
      </c>
      <c r="K114" s="11"/>
      <c r="N114" s="339"/>
    </row>
    <row r="115" spans="1:17">
      <c r="A115" s="358" t="s">
        <v>141</v>
      </c>
      <c r="B115" s="454" t="s">
        <v>20</v>
      </c>
      <c r="C115" s="358"/>
      <c r="D115" s="358"/>
      <c r="E115" s="358" t="s">
        <v>3106</v>
      </c>
      <c r="F115" s="358"/>
      <c r="G115" s="454">
        <v>20</v>
      </c>
      <c r="H115" s="358">
        <v>15</v>
      </c>
      <c r="I115" s="455">
        <f t="shared" si="20"/>
        <v>5</v>
      </c>
      <c r="J115" s="527" t="s">
        <v>1899</v>
      </c>
      <c r="K115" s="11"/>
      <c r="N115" s="339"/>
    </row>
    <row r="116" spans="1:17">
      <c r="A116" s="448" t="s">
        <v>142</v>
      </c>
      <c r="B116" s="654" t="s">
        <v>20</v>
      </c>
      <c r="C116" s="448"/>
      <c r="D116" s="448"/>
      <c r="E116" s="448" t="s">
        <v>3108</v>
      </c>
      <c r="F116" s="448"/>
      <c r="G116" s="654">
        <v>20</v>
      </c>
      <c r="H116" s="448">
        <v>15</v>
      </c>
      <c r="I116" s="655">
        <f t="shared" si="20"/>
        <v>5</v>
      </c>
      <c r="J116" s="527" t="s">
        <v>1899</v>
      </c>
      <c r="K116" s="11"/>
      <c r="N116" s="339"/>
    </row>
    <row r="117" spans="1:17">
      <c r="A117" s="448" t="s">
        <v>3073</v>
      </c>
      <c r="B117" s="654" t="s">
        <v>20</v>
      </c>
      <c r="C117" s="448"/>
      <c r="D117" s="448"/>
      <c r="E117" s="448" t="s">
        <v>3108</v>
      </c>
      <c r="F117" s="448"/>
      <c r="G117" s="654">
        <v>20</v>
      </c>
      <c r="H117" s="448">
        <v>15</v>
      </c>
      <c r="I117" s="655">
        <f t="shared" si="20"/>
        <v>5</v>
      </c>
      <c r="J117" s="524" t="s">
        <v>1899</v>
      </c>
      <c r="N117" s="339"/>
    </row>
    <row r="118" spans="1:17">
      <c r="A118" s="448" t="s">
        <v>1268</v>
      </c>
      <c r="B118" s="654" t="s">
        <v>20</v>
      </c>
      <c r="C118" s="448"/>
      <c r="D118" s="448"/>
      <c r="E118" s="448"/>
      <c r="F118" s="448"/>
      <c r="G118" s="654">
        <v>40</v>
      </c>
      <c r="H118" s="448"/>
      <c r="I118" s="655">
        <f>G118-H118</f>
        <v>40</v>
      </c>
      <c r="J118" s="524" t="s">
        <v>1899</v>
      </c>
      <c r="N118" s="339"/>
    </row>
    <row r="119" spans="1:17">
      <c r="A119" s="358" t="s">
        <v>3071</v>
      </c>
      <c r="B119" s="454"/>
      <c r="C119" s="358"/>
      <c r="D119" s="358"/>
      <c r="E119" s="358"/>
      <c r="F119" s="358"/>
      <c r="G119" s="454">
        <v>20</v>
      </c>
      <c r="H119" s="358">
        <v>17.579999999999998</v>
      </c>
      <c r="I119" s="455">
        <f>G119-H119</f>
        <v>2.4200000000000017</v>
      </c>
      <c r="J119" s="524"/>
      <c r="N119" s="339"/>
    </row>
    <row r="120" spans="1:17">
      <c r="A120" s="524"/>
      <c r="B120" s="525"/>
      <c r="C120" s="524"/>
      <c r="D120" s="524"/>
      <c r="E120" s="524"/>
      <c r="F120" s="524"/>
      <c r="G120" s="525"/>
      <c r="H120" s="524"/>
      <c r="I120" s="526"/>
      <c r="J120" s="524"/>
      <c r="N120" s="339"/>
    </row>
    <row r="121" spans="1:17">
      <c r="B121" s="7"/>
      <c r="E121"/>
      <c r="G121" s="7"/>
      <c r="H121"/>
      <c r="I121" s="212">
        <f t="shared" si="20"/>
        <v>0</v>
      </c>
      <c r="N121" s="339"/>
    </row>
    <row r="122" spans="1:17">
      <c r="A122" s="741" t="s">
        <v>2050</v>
      </c>
      <c r="B122" s="741"/>
      <c r="C122" s="741"/>
      <c r="D122" s="741"/>
      <c r="E122" s="741"/>
      <c r="F122" s="741"/>
      <c r="G122" s="741"/>
      <c r="H122" s="741"/>
      <c r="I122" s="741"/>
      <c r="J122" s="524"/>
      <c r="N122" s="339"/>
    </row>
    <row r="123" spans="1:17">
      <c r="A123" s="358" t="s">
        <v>2049</v>
      </c>
      <c r="B123" s="454" t="s">
        <v>20</v>
      </c>
      <c r="C123" s="358"/>
      <c r="D123" s="358"/>
      <c r="E123" s="358" t="s">
        <v>2054</v>
      </c>
      <c r="F123" s="358"/>
      <c r="G123" s="742">
        <v>500</v>
      </c>
      <c r="H123" s="358"/>
      <c r="I123" s="743">
        <f t="shared" si="20"/>
        <v>500</v>
      </c>
      <c r="J123" s="524" t="s">
        <v>1899</v>
      </c>
      <c r="N123" s="339"/>
    </row>
    <row r="124" spans="1:17">
      <c r="A124" s="358" t="s">
        <v>2048</v>
      </c>
      <c r="B124" s="454"/>
      <c r="C124" s="358"/>
      <c r="D124" s="358"/>
      <c r="E124" s="358" t="s">
        <v>2054</v>
      </c>
      <c r="F124" s="358"/>
      <c r="G124" s="742"/>
      <c r="H124" s="358"/>
      <c r="I124" s="743"/>
      <c r="J124" s="524" t="s">
        <v>1899</v>
      </c>
      <c r="N124" s="339"/>
    </row>
    <row r="125" spans="1:17">
      <c r="A125" s="358" t="s">
        <v>2047</v>
      </c>
      <c r="B125" s="454"/>
      <c r="C125" s="358"/>
      <c r="D125" s="358"/>
      <c r="E125" s="358" t="s">
        <v>2054</v>
      </c>
      <c r="F125" s="358"/>
      <c r="G125" s="742"/>
      <c r="H125" s="358"/>
      <c r="I125" s="743"/>
      <c r="J125" s="524" t="s">
        <v>1899</v>
      </c>
      <c r="N125" s="339"/>
    </row>
    <row r="126" spans="1:17">
      <c r="A126" s="358" t="s">
        <v>60</v>
      </c>
      <c r="B126" s="454"/>
      <c r="C126" s="358"/>
      <c r="D126" s="358"/>
      <c r="E126" s="358" t="s">
        <v>2054</v>
      </c>
      <c r="F126" s="358"/>
      <c r="G126" s="742"/>
      <c r="H126" s="358"/>
      <c r="I126" s="743"/>
      <c r="J126" s="524" t="s">
        <v>1899</v>
      </c>
      <c r="N126" s="339"/>
    </row>
    <row r="127" spans="1:17">
      <c r="A127" s="358" t="s">
        <v>40</v>
      </c>
      <c r="B127" s="454" t="s">
        <v>20</v>
      </c>
      <c r="C127" s="358"/>
      <c r="D127" s="358"/>
      <c r="E127" s="358" t="s">
        <v>2054</v>
      </c>
      <c r="F127" s="358"/>
      <c r="G127" s="742"/>
      <c r="H127" s="358"/>
      <c r="I127" s="743"/>
      <c r="J127" s="524" t="s">
        <v>1899</v>
      </c>
      <c r="N127" s="339"/>
    </row>
    <row r="128" spans="1:17">
      <c r="A128" s="331" t="s">
        <v>36</v>
      </c>
      <c r="B128" s="449" t="s">
        <v>20</v>
      </c>
      <c r="C128" s="331"/>
      <c r="D128" s="331"/>
      <c r="E128" s="331" t="s">
        <v>147</v>
      </c>
      <c r="F128" s="331"/>
      <c r="G128" s="449">
        <v>10</v>
      </c>
      <c r="H128" s="331"/>
      <c r="I128" s="450">
        <f>G128-H128</f>
        <v>10</v>
      </c>
      <c r="J128" s="524" t="s">
        <v>1899</v>
      </c>
      <c r="N128" s="339"/>
    </row>
    <row r="129" spans="1:14">
      <c r="A129" s="331" t="s">
        <v>18</v>
      </c>
      <c r="B129" s="449" t="s">
        <v>20</v>
      </c>
      <c r="C129" s="331"/>
      <c r="D129" s="331"/>
      <c r="E129" s="331" t="s">
        <v>147</v>
      </c>
      <c r="F129" s="331"/>
      <c r="G129" s="449">
        <v>10</v>
      </c>
      <c r="H129" s="331"/>
      <c r="I129" s="450">
        <f>G129-H129</f>
        <v>10</v>
      </c>
      <c r="J129" s="524" t="s">
        <v>1899</v>
      </c>
      <c r="N129" s="339"/>
    </row>
    <row r="130" spans="1:14">
      <c r="A130" s="358" t="s">
        <v>2037</v>
      </c>
      <c r="B130" s="454"/>
      <c r="C130" s="358"/>
      <c r="D130" s="358"/>
      <c r="E130" s="358" t="s">
        <v>3077</v>
      </c>
      <c r="F130" s="358"/>
      <c r="G130" s="454">
        <v>20</v>
      </c>
      <c r="H130" s="358">
        <v>19.600000000000001</v>
      </c>
      <c r="I130" s="455">
        <f>G130-H130</f>
        <v>0.39999999999999858</v>
      </c>
      <c r="J130" s="524" t="s">
        <v>1899</v>
      </c>
      <c r="N130" s="339"/>
    </row>
    <row r="131" spans="1:14">
      <c r="A131" s="524"/>
      <c r="B131" s="525"/>
      <c r="C131" s="524"/>
      <c r="D131" s="524"/>
      <c r="E131" s="524"/>
      <c r="F131" s="524"/>
      <c r="G131" s="525"/>
      <c r="H131" s="524"/>
      <c r="I131" s="526">
        <f t="shared" si="20"/>
        <v>0</v>
      </c>
      <c r="J131" s="524"/>
      <c r="N131" s="339"/>
    </row>
    <row r="132" spans="1:14">
      <c r="B132" s="7"/>
      <c r="E132"/>
      <c r="G132" s="7"/>
      <c r="H132"/>
      <c r="I132" s="212"/>
      <c r="N132" s="339"/>
    </row>
    <row r="133" spans="1:14">
      <c r="A133" s="741" t="s">
        <v>2052</v>
      </c>
      <c r="B133" s="741"/>
      <c r="C133" s="741"/>
      <c r="D133" s="741"/>
      <c r="E133" s="741"/>
      <c r="F133" s="741"/>
      <c r="G133" s="741"/>
      <c r="H133" s="741"/>
      <c r="I133" s="526">
        <f t="shared" ref="I133:I140" si="21">G133-H133</f>
        <v>0</v>
      </c>
      <c r="J133" s="524"/>
      <c r="N133" s="339"/>
    </row>
    <row r="134" spans="1:14">
      <c r="A134" s="242" t="s">
        <v>1493</v>
      </c>
      <c r="B134" s="290"/>
      <c r="C134" s="242"/>
      <c r="D134" s="242"/>
      <c r="E134" s="242" t="s">
        <v>3099</v>
      </c>
      <c r="F134" s="242"/>
      <c r="G134" s="290">
        <v>100</v>
      </c>
      <c r="H134" s="242"/>
      <c r="I134" s="279">
        <f t="shared" si="21"/>
        <v>100</v>
      </c>
      <c r="J134" s="524"/>
      <c r="N134" s="339"/>
    </row>
    <row r="135" spans="1:14">
      <c r="A135" s="358" t="s">
        <v>1494</v>
      </c>
      <c r="B135" s="454"/>
      <c r="C135" s="358"/>
      <c r="D135" s="358"/>
      <c r="E135" s="358" t="s">
        <v>3098</v>
      </c>
      <c r="F135" s="358"/>
      <c r="G135" s="454">
        <v>20</v>
      </c>
      <c r="H135" s="358">
        <v>20</v>
      </c>
      <c r="I135" s="455">
        <f t="shared" si="21"/>
        <v>0</v>
      </c>
      <c r="J135" s="524"/>
      <c r="N135" s="339"/>
    </row>
    <row r="136" spans="1:14">
      <c r="A136" s="358" t="s">
        <v>1495</v>
      </c>
      <c r="B136" s="454"/>
      <c r="C136" s="358"/>
      <c r="D136" s="358"/>
      <c r="E136" s="358" t="s">
        <v>3097</v>
      </c>
      <c r="F136" s="358"/>
      <c r="G136" s="454">
        <v>20</v>
      </c>
      <c r="H136" s="358">
        <v>9.99</v>
      </c>
      <c r="I136" s="455">
        <f t="shared" si="21"/>
        <v>10.01</v>
      </c>
      <c r="J136" s="524"/>
      <c r="N136" s="339"/>
    </row>
    <row r="137" spans="1:14">
      <c r="A137" s="358" t="s">
        <v>1227</v>
      </c>
      <c r="B137" s="454"/>
      <c r="C137" s="358"/>
      <c r="D137" s="358"/>
      <c r="E137" s="358" t="s">
        <v>3096</v>
      </c>
      <c r="F137" s="358"/>
      <c r="G137" s="454">
        <v>20</v>
      </c>
      <c r="H137" s="358">
        <v>14.99</v>
      </c>
      <c r="I137" s="455">
        <f t="shared" si="21"/>
        <v>5.01</v>
      </c>
      <c r="J137" s="524"/>
      <c r="N137" s="339"/>
    </row>
    <row r="138" spans="1:14">
      <c r="A138" s="358" t="s">
        <v>3075</v>
      </c>
      <c r="B138" s="454"/>
      <c r="C138" s="358"/>
      <c r="D138" s="358"/>
      <c r="E138" s="358" t="s">
        <v>3100</v>
      </c>
      <c r="F138" s="358"/>
      <c r="G138" s="454">
        <v>20</v>
      </c>
      <c r="H138" s="358">
        <v>23</v>
      </c>
      <c r="I138" s="455">
        <f t="shared" si="21"/>
        <v>-3</v>
      </c>
      <c r="J138" s="524"/>
      <c r="N138" s="339"/>
    </row>
    <row r="139" spans="1:14">
      <c r="A139" s="358" t="s">
        <v>1578</v>
      </c>
      <c r="B139" s="454"/>
      <c r="C139" s="358"/>
      <c r="D139" s="358"/>
      <c r="E139" s="358" t="s">
        <v>3095</v>
      </c>
      <c r="F139" s="358"/>
      <c r="G139" s="454">
        <v>20</v>
      </c>
      <c r="H139" s="358">
        <v>16</v>
      </c>
      <c r="I139" s="455">
        <f t="shared" si="21"/>
        <v>4</v>
      </c>
      <c r="J139" s="524"/>
      <c r="N139" s="339"/>
    </row>
    <row r="140" spans="1:14">
      <c r="A140" s="358" t="s">
        <v>1577</v>
      </c>
      <c r="B140" s="454"/>
      <c r="C140" s="358"/>
      <c r="D140" s="358"/>
      <c r="E140" s="358" t="s">
        <v>3094</v>
      </c>
      <c r="F140" s="358"/>
      <c r="G140" s="454">
        <v>20</v>
      </c>
      <c r="H140" s="358">
        <v>15</v>
      </c>
      <c r="I140" s="455">
        <f t="shared" si="21"/>
        <v>5</v>
      </c>
      <c r="J140" s="524"/>
      <c r="N140" s="339"/>
    </row>
    <row r="141" spans="1:14">
      <c r="A141" s="524"/>
      <c r="B141" s="525"/>
      <c r="C141" s="524"/>
      <c r="D141" s="524"/>
      <c r="E141" s="524"/>
      <c r="F141" s="524"/>
      <c r="G141" s="525"/>
      <c r="H141" s="524"/>
      <c r="I141" s="526"/>
      <c r="J141" s="524"/>
      <c r="N141" s="339"/>
    </row>
    <row r="142" spans="1:14">
      <c r="B142" s="7"/>
      <c r="E142"/>
      <c r="G142" s="7"/>
      <c r="H142"/>
      <c r="I142" s="212">
        <f t="shared" si="20"/>
        <v>0</v>
      </c>
      <c r="N142" s="339"/>
    </row>
    <row r="143" spans="1:14">
      <c r="A143" s="741" t="s">
        <v>2053</v>
      </c>
      <c r="B143" s="741"/>
      <c r="C143" s="741"/>
      <c r="D143" s="741"/>
      <c r="E143" s="741"/>
      <c r="F143" s="741"/>
      <c r="G143" s="741"/>
      <c r="H143" s="741"/>
      <c r="I143" s="741"/>
      <c r="J143" s="741"/>
      <c r="N143" s="339"/>
    </row>
    <row r="144" spans="1:14">
      <c r="A144" s="358" t="s">
        <v>148</v>
      </c>
      <c r="B144" s="454"/>
      <c r="C144" s="358"/>
      <c r="D144" s="358"/>
      <c r="E144" s="358" t="s">
        <v>3078</v>
      </c>
      <c r="F144" s="358"/>
      <c r="G144" s="454">
        <v>35</v>
      </c>
      <c r="H144" s="358"/>
      <c r="I144" s="455">
        <f>G144-H144</f>
        <v>35</v>
      </c>
      <c r="J144" s="524"/>
      <c r="N144" s="339"/>
    </row>
    <row r="145" spans="1:14">
      <c r="A145" s="358" t="s">
        <v>78</v>
      </c>
      <c r="B145" s="454" t="s">
        <v>20</v>
      </c>
      <c r="C145" s="358"/>
      <c r="D145" s="358"/>
      <c r="E145" s="358" t="s">
        <v>147</v>
      </c>
      <c r="F145" s="358"/>
      <c r="G145" s="454">
        <v>20</v>
      </c>
      <c r="H145" s="358"/>
      <c r="I145" s="455">
        <f>G145-H145</f>
        <v>20</v>
      </c>
      <c r="J145" s="524"/>
      <c r="N145" s="339"/>
    </row>
    <row r="146" spans="1:14">
      <c r="A146" s="358" t="s">
        <v>77</v>
      </c>
      <c r="B146" s="454" t="s">
        <v>20</v>
      </c>
      <c r="C146" s="358"/>
      <c r="D146" s="358"/>
      <c r="E146" s="358" t="s">
        <v>147</v>
      </c>
      <c r="F146" s="358"/>
      <c r="G146" s="454">
        <v>20</v>
      </c>
      <c r="H146" s="358"/>
      <c r="I146" s="455">
        <f t="shared" si="20"/>
        <v>20</v>
      </c>
      <c r="J146" s="524"/>
      <c r="N146" s="339"/>
    </row>
    <row r="147" spans="1:14">
      <c r="A147" s="524"/>
      <c r="B147" s="525"/>
      <c r="C147" s="524"/>
      <c r="D147" s="524"/>
      <c r="E147" s="524"/>
      <c r="F147" s="524"/>
      <c r="G147" s="525"/>
      <c r="H147" s="524"/>
      <c r="I147" s="526"/>
      <c r="J147" s="524"/>
      <c r="N147" s="339"/>
    </row>
    <row r="148" spans="1:14">
      <c r="N148" s="339"/>
    </row>
    <row r="149" spans="1:14">
      <c r="A149" s="331" t="s">
        <v>107</v>
      </c>
      <c r="B149" s="449" t="s">
        <v>150</v>
      </c>
      <c r="C149" s="331"/>
      <c r="D149" s="331"/>
      <c r="E149" s="331"/>
      <c r="F149" s="331"/>
      <c r="G149" s="449">
        <v>0</v>
      </c>
      <c r="H149" s="331"/>
      <c r="I149" s="450">
        <f>G149-H149</f>
        <v>0</v>
      </c>
      <c r="N149" s="339"/>
    </row>
    <row r="150" spans="1:14">
      <c r="N150" s="339"/>
    </row>
    <row r="151" spans="1:14">
      <c r="A151" s="358" t="s">
        <v>99</v>
      </c>
      <c r="B151" s="454" t="s">
        <v>150</v>
      </c>
      <c r="C151" s="358"/>
      <c r="D151" s="358"/>
      <c r="E151" s="358"/>
      <c r="F151" s="358"/>
      <c r="G151" s="454">
        <v>0</v>
      </c>
      <c r="H151" s="358"/>
      <c r="I151" s="455">
        <f t="shared" si="20"/>
        <v>0</v>
      </c>
      <c r="N151" s="339"/>
    </row>
    <row r="152" spans="1:14">
      <c r="A152" s="358" t="s">
        <v>152</v>
      </c>
      <c r="B152" s="454"/>
      <c r="C152" s="358"/>
      <c r="D152" s="358"/>
      <c r="E152" s="358" t="s">
        <v>2039</v>
      </c>
      <c r="F152" s="358"/>
      <c r="G152" s="454">
        <v>0</v>
      </c>
      <c r="H152" s="358"/>
      <c r="I152" s="455">
        <f t="shared" si="20"/>
        <v>0</v>
      </c>
      <c r="N152" s="339"/>
    </row>
    <row r="153" spans="1:14">
      <c r="A153" s="358" t="s">
        <v>153</v>
      </c>
      <c r="B153" s="454" t="s">
        <v>150</v>
      </c>
      <c r="C153" s="358"/>
      <c r="D153" s="358"/>
      <c r="E153" s="358" t="s">
        <v>154</v>
      </c>
      <c r="F153" s="358"/>
      <c r="G153" s="454">
        <v>0</v>
      </c>
      <c r="H153" s="358"/>
      <c r="I153" s="455">
        <f t="shared" si="20"/>
        <v>0</v>
      </c>
      <c r="N153" s="339"/>
    </row>
    <row r="154" spans="1:14">
      <c r="A154" s="331" t="s">
        <v>2041</v>
      </c>
      <c r="B154" s="449"/>
      <c r="C154" s="331"/>
      <c r="D154" s="331"/>
      <c r="E154" s="331"/>
      <c r="F154" s="331"/>
      <c r="G154" s="449">
        <v>10</v>
      </c>
      <c r="H154" s="331"/>
      <c r="I154" s="450">
        <f t="shared" si="20"/>
        <v>10</v>
      </c>
      <c r="N154" s="339"/>
    </row>
    <row r="155" spans="1:14">
      <c r="B155" s="7"/>
      <c r="E155"/>
      <c r="G155" s="7"/>
      <c r="H155"/>
      <c r="I155" s="212"/>
      <c r="N155" s="339"/>
    </row>
    <row r="156" spans="1:14">
      <c r="A156" s="737" t="s">
        <v>150</v>
      </c>
      <c r="B156" s="737"/>
      <c r="C156" s="737"/>
      <c r="D156" s="737"/>
      <c r="E156" s="737"/>
      <c r="F156" s="737"/>
      <c r="G156" s="737"/>
      <c r="H156" s="737"/>
      <c r="I156" s="737"/>
      <c r="N156" s="339"/>
    </row>
    <row r="157" spans="1:14">
      <c r="A157" s="331" t="s">
        <v>146</v>
      </c>
      <c r="B157" s="449"/>
      <c r="C157" s="331"/>
      <c r="D157" s="331"/>
      <c r="E157" s="331"/>
      <c r="F157" s="331"/>
      <c r="G157" s="449">
        <v>0</v>
      </c>
      <c r="H157" s="331"/>
      <c r="I157" s="450">
        <f>G157-H157</f>
        <v>0</v>
      </c>
      <c r="N157" s="339"/>
    </row>
    <row r="158" spans="1:14">
      <c r="A158" s="331" t="s">
        <v>3076</v>
      </c>
      <c r="B158" s="449" t="s">
        <v>150</v>
      </c>
      <c r="C158" s="331"/>
      <c r="D158" s="331"/>
      <c r="E158" s="331"/>
      <c r="F158" s="331"/>
      <c r="G158" s="449">
        <v>0</v>
      </c>
      <c r="H158" s="331"/>
      <c r="I158" s="450">
        <f t="shared" ref="I158:I171" si="22">G158-H158</f>
        <v>0</v>
      </c>
      <c r="N158" s="339"/>
    </row>
    <row r="159" spans="1:14">
      <c r="A159" s="331" t="s">
        <v>86</v>
      </c>
      <c r="B159" s="449" t="s">
        <v>150</v>
      </c>
      <c r="C159" s="331"/>
      <c r="D159" s="331"/>
      <c r="E159" s="331"/>
      <c r="F159" s="331"/>
      <c r="G159" s="449">
        <v>0</v>
      </c>
      <c r="H159" s="331"/>
      <c r="I159" s="450">
        <f t="shared" si="22"/>
        <v>0</v>
      </c>
      <c r="N159" s="339"/>
    </row>
    <row r="160" spans="1:14">
      <c r="A160" s="519" t="s">
        <v>95</v>
      </c>
      <c r="B160" s="520" t="s">
        <v>20</v>
      </c>
      <c r="C160" s="519"/>
      <c r="D160" s="519"/>
      <c r="E160" s="519" t="s">
        <v>2038</v>
      </c>
      <c r="F160" s="519"/>
      <c r="G160" s="520">
        <v>0</v>
      </c>
      <c r="H160" s="519"/>
      <c r="I160" s="521">
        <f t="shared" si="22"/>
        <v>0</v>
      </c>
      <c r="N160" s="339"/>
    </row>
    <row r="161" spans="1:14">
      <c r="A161" s="519" t="s">
        <v>87</v>
      </c>
      <c r="B161" s="520"/>
      <c r="C161" s="519"/>
      <c r="D161" s="519"/>
      <c r="E161" s="519"/>
      <c r="F161" s="519"/>
      <c r="G161" s="520"/>
      <c r="H161" s="519"/>
      <c r="I161" s="521">
        <f t="shared" si="22"/>
        <v>0</v>
      </c>
      <c r="N161" s="339"/>
    </row>
    <row r="162" spans="1:14">
      <c r="A162" s="519" t="s">
        <v>151</v>
      </c>
      <c r="B162" s="520"/>
      <c r="C162" s="519"/>
      <c r="D162" s="519"/>
      <c r="E162" s="519"/>
      <c r="F162" s="519"/>
      <c r="G162" s="520"/>
      <c r="H162" s="519"/>
      <c r="I162" s="521">
        <f t="shared" si="22"/>
        <v>0</v>
      </c>
      <c r="N162" s="339"/>
    </row>
    <row r="163" spans="1:14">
      <c r="A163" s="519" t="s">
        <v>96</v>
      </c>
      <c r="B163" s="520"/>
      <c r="C163" s="519"/>
      <c r="D163" s="519"/>
      <c r="E163" s="519"/>
      <c r="F163" s="519"/>
      <c r="G163" s="520">
        <v>0</v>
      </c>
      <c r="H163" s="519"/>
      <c r="I163" s="521">
        <f t="shared" si="22"/>
        <v>0</v>
      </c>
      <c r="N163" s="339"/>
    </row>
    <row r="164" spans="1:14">
      <c r="A164" s="519" t="s">
        <v>92</v>
      </c>
      <c r="B164" s="520" t="s">
        <v>150</v>
      </c>
      <c r="C164" s="519"/>
      <c r="D164" s="519"/>
      <c r="E164" s="519" t="s">
        <v>2038</v>
      </c>
      <c r="F164" s="519"/>
      <c r="G164" s="520">
        <v>0</v>
      </c>
      <c r="H164" s="519"/>
      <c r="I164" s="521">
        <f t="shared" si="22"/>
        <v>0</v>
      </c>
      <c r="N164" s="339"/>
    </row>
    <row r="165" spans="1:14">
      <c r="A165" s="519" t="s">
        <v>65</v>
      </c>
      <c r="B165" s="520" t="s">
        <v>20</v>
      </c>
      <c r="C165" s="519"/>
      <c r="D165" s="519"/>
      <c r="E165" s="519" t="s">
        <v>2038</v>
      </c>
      <c r="F165" s="519"/>
      <c r="G165" s="520">
        <v>0</v>
      </c>
      <c r="H165" s="519"/>
      <c r="I165" s="521">
        <f t="shared" si="22"/>
        <v>0</v>
      </c>
      <c r="N165" s="339"/>
    </row>
    <row r="166" spans="1:14">
      <c r="A166" s="519" t="s">
        <v>44</v>
      </c>
      <c r="B166" s="520" t="s">
        <v>20</v>
      </c>
      <c r="C166" s="519"/>
      <c r="D166" s="519"/>
      <c r="E166" s="519" t="s">
        <v>2038</v>
      </c>
      <c r="F166" s="519"/>
      <c r="G166" s="520">
        <v>0</v>
      </c>
      <c r="H166" s="519"/>
      <c r="I166" s="521">
        <f t="shared" si="22"/>
        <v>0</v>
      </c>
      <c r="N166" s="339"/>
    </row>
    <row r="167" spans="1:14">
      <c r="A167" s="331" t="s">
        <v>22</v>
      </c>
      <c r="B167" s="449"/>
      <c r="C167" s="331"/>
      <c r="D167" s="331"/>
      <c r="E167" s="331"/>
      <c r="F167" s="331"/>
      <c r="G167" s="449">
        <v>0</v>
      </c>
      <c r="H167" s="331"/>
      <c r="I167" s="450">
        <f t="shared" si="22"/>
        <v>0</v>
      </c>
      <c r="N167" s="339"/>
    </row>
    <row r="168" spans="1:14">
      <c r="A168" s="331" t="s">
        <v>123</v>
      </c>
      <c r="B168" s="449"/>
      <c r="C168" s="331"/>
      <c r="D168" s="331"/>
      <c r="E168" s="331"/>
      <c r="F168" s="331"/>
      <c r="G168" s="449">
        <v>0</v>
      </c>
      <c r="H168" s="331"/>
      <c r="I168" s="450">
        <f t="shared" si="22"/>
        <v>0</v>
      </c>
      <c r="N168" s="339"/>
    </row>
    <row r="169" spans="1:14">
      <c r="A169" s="519" t="s">
        <v>145</v>
      </c>
      <c r="B169" s="520"/>
      <c r="C169" s="519"/>
      <c r="D169" s="519"/>
      <c r="E169" s="519"/>
      <c r="F169" s="519"/>
      <c r="G169" s="520">
        <v>0</v>
      </c>
      <c r="H169" s="519"/>
      <c r="I169" s="521">
        <f t="shared" si="22"/>
        <v>0</v>
      </c>
      <c r="N169" s="339"/>
    </row>
    <row r="170" spans="1:14">
      <c r="A170" s="519" t="s">
        <v>149</v>
      </c>
      <c r="B170" s="520"/>
      <c r="C170" s="519"/>
      <c r="D170" s="519"/>
      <c r="E170" s="519"/>
      <c r="F170" s="519"/>
      <c r="G170" s="520">
        <v>0</v>
      </c>
      <c r="H170" s="519"/>
      <c r="I170" s="521">
        <f t="shared" si="22"/>
        <v>0</v>
      </c>
      <c r="N170" s="339"/>
    </row>
    <row r="171" spans="1:14">
      <c r="A171" s="519" t="s">
        <v>34</v>
      </c>
      <c r="B171" s="520"/>
      <c r="C171" s="519"/>
      <c r="D171" s="519"/>
      <c r="E171" s="519"/>
      <c r="F171" s="519"/>
      <c r="G171" s="520">
        <v>0</v>
      </c>
      <c r="H171" s="519"/>
      <c r="I171" s="521">
        <f t="shared" si="22"/>
        <v>0</v>
      </c>
      <c r="N171" s="339"/>
    </row>
    <row r="172" spans="1:14">
      <c r="B172" s="7"/>
      <c r="E172"/>
      <c r="G172" s="7"/>
      <c r="H172"/>
      <c r="I172" s="212"/>
      <c r="N172" s="339"/>
    </row>
    <row r="173" spans="1:14">
      <c r="A173" s="737" t="s">
        <v>2040</v>
      </c>
      <c r="B173" s="737"/>
      <c r="C173" s="737"/>
      <c r="D173" s="737"/>
      <c r="E173" s="737"/>
      <c r="F173" s="737"/>
      <c r="G173" s="737"/>
      <c r="H173" s="737"/>
      <c r="I173" s="737"/>
      <c r="N173" s="339"/>
    </row>
    <row r="174" spans="1:14">
      <c r="A174" t="s">
        <v>155</v>
      </c>
      <c r="B174" s="7" t="s">
        <v>144</v>
      </c>
      <c r="E174" t="s">
        <v>150</v>
      </c>
      <c r="G174" s="7">
        <v>0</v>
      </c>
      <c r="H174"/>
      <c r="I174" s="212"/>
      <c r="N174" s="339"/>
    </row>
    <row r="175" spans="1:14">
      <c r="A175" t="s">
        <v>156</v>
      </c>
      <c r="B175" s="7" t="s">
        <v>20</v>
      </c>
      <c r="E175" t="s">
        <v>150</v>
      </c>
      <c r="G175" s="7">
        <v>0</v>
      </c>
      <c r="N175" s="339"/>
    </row>
    <row r="176" spans="1:14">
      <c r="A176" s="358" t="s">
        <v>157</v>
      </c>
      <c r="B176" s="454"/>
      <c r="C176" s="358"/>
      <c r="D176" s="358"/>
      <c r="E176" s="358" t="s">
        <v>150</v>
      </c>
      <c r="F176" s="358"/>
      <c r="G176" s="454">
        <v>0</v>
      </c>
      <c r="H176" s="358"/>
      <c r="I176" s="455"/>
      <c r="N176" s="339"/>
    </row>
    <row r="177" spans="1:14">
      <c r="A177" t="s">
        <v>158</v>
      </c>
      <c r="B177" s="7"/>
      <c r="E177" t="s">
        <v>150</v>
      </c>
      <c r="G177" s="7">
        <v>0</v>
      </c>
      <c r="H177"/>
      <c r="I177" s="212"/>
      <c r="N177" s="339"/>
    </row>
    <row r="178" spans="1:14">
      <c r="A178" t="s">
        <v>159</v>
      </c>
      <c r="B178" s="7"/>
      <c r="E178"/>
      <c r="G178" s="7">
        <v>0</v>
      </c>
      <c r="H178"/>
      <c r="I178" s="212">
        <f t="shared" ref="I178:I183" si="23">G178-H178</f>
        <v>0</v>
      </c>
      <c r="N178" s="339"/>
    </row>
    <row r="179" spans="1:14">
      <c r="A179" t="s">
        <v>160</v>
      </c>
      <c r="B179" s="7"/>
      <c r="E179"/>
      <c r="G179" s="7">
        <v>0</v>
      </c>
      <c r="H179"/>
      <c r="I179" s="212">
        <f t="shared" si="23"/>
        <v>0</v>
      </c>
      <c r="N179" s="339"/>
    </row>
    <row r="180" spans="1:14">
      <c r="A180" t="s">
        <v>126</v>
      </c>
      <c r="B180" s="7"/>
      <c r="E180"/>
      <c r="G180" s="7">
        <v>0</v>
      </c>
      <c r="H180"/>
      <c r="I180" s="212">
        <f t="shared" si="23"/>
        <v>0</v>
      </c>
      <c r="N180" s="339"/>
    </row>
    <row r="181" spans="1:14">
      <c r="A181" t="s">
        <v>3081</v>
      </c>
      <c r="B181" s="7" t="s">
        <v>20</v>
      </c>
      <c r="E181"/>
      <c r="G181" s="7">
        <v>0</v>
      </c>
      <c r="H181"/>
      <c r="I181" s="212">
        <f t="shared" si="23"/>
        <v>0</v>
      </c>
      <c r="N181" s="339"/>
    </row>
    <row r="182" spans="1:14">
      <c r="A182" t="s">
        <v>161</v>
      </c>
      <c r="B182" s="7"/>
      <c r="E182"/>
      <c r="G182" s="7">
        <v>0</v>
      </c>
      <c r="H182"/>
      <c r="I182" s="212">
        <f t="shared" si="23"/>
        <v>0</v>
      </c>
      <c r="N182" s="339"/>
    </row>
    <row r="183" spans="1:14">
      <c r="B183" s="7"/>
      <c r="E183"/>
      <c r="G183" s="7">
        <v>0</v>
      </c>
      <c r="H183"/>
      <c r="I183" s="212">
        <f t="shared" si="23"/>
        <v>0</v>
      </c>
      <c r="N183" s="339"/>
    </row>
    <row r="184" spans="1:14">
      <c r="A184" t="s">
        <v>162</v>
      </c>
      <c r="B184" s="7"/>
      <c r="E184"/>
      <c r="G184" s="7"/>
      <c r="H184"/>
      <c r="I184" s="212"/>
      <c r="N184" s="339"/>
    </row>
    <row r="185" spans="1:14">
      <c r="B185" s="7"/>
      <c r="E185"/>
      <c r="N185" s="339"/>
    </row>
    <row r="186" spans="1:14">
      <c r="A186" t="s">
        <v>131</v>
      </c>
      <c r="B186" s="7"/>
      <c r="E186"/>
      <c r="G186" s="7">
        <f>SUM(G110:G154)</f>
        <v>1185</v>
      </c>
      <c r="H186" s="212">
        <f>SUMIF(H110:H152,"&gt;0")</f>
        <v>266.15999999999997</v>
      </c>
      <c r="I186" s="212">
        <f>SUMIF(I110:I152,"&gt;0")</f>
        <v>911.84</v>
      </c>
      <c r="N186" s="339"/>
    </row>
    <row r="187" spans="1:14">
      <c r="A187" s="340"/>
      <c r="B187" s="340"/>
      <c r="C187" s="340"/>
      <c r="D187" s="340"/>
      <c r="E187" s="339"/>
      <c r="F187" s="340"/>
      <c r="G187" s="340"/>
      <c r="H187" s="341"/>
      <c r="I187" s="340"/>
      <c r="J187" s="340"/>
      <c r="K187" s="340"/>
      <c r="L187" s="340"/>
      <c r="M187" s="340"/>
      <c r="N187" s="339"/>
    </row>
    <row r="190" spans="1:14">
      <c r="A190">
        <f>5000+3000+1600+1000</f>
        <v>10600</v>
      </c>
    </row>
    <row r="191" spans="1:14">
      <c r="A191">
        <f>A190+16000</f>
        <v>26600</v>
      </c>
    </row>
  </sheetData>
  <sortState xmlns:xlrd2="http://schemas.microsoft.com/office/spreadsheetml/2017/richdata2" ref="A4:N98">
    <sortCondition ref="C4:C98"/>
  </sortState>
  <mergeCells count="22">
    <mergeCell ref="P1:U1"/>
    <mergeCell ref="B56:F56"/>
    <mergeCell ref="B63:F63"/>
    <mergeCell ref="B79:F79"/>
    <mergeCell ref="A1:N1"/>
    <mergeCell ref="B47:F47"/>
    <mergeCell ref="B37:F37"/>
    <mergeCell ref="B32:F32"/>
    <mergeCell ref="B21:F21"/>
    <mergeCell ref="B14:F14"/>
    <mergeCell ref="B3:F3"/>
    <mergeCell ref="A156:I156"/>
    <mergeCell ref="A173:I173"/>
    <mergeCell ref="A108:N108"/>
    <mergeCell ref="B92:F92"/>
    <mergeCell ref="B88:F88"/>
    <mergeCell ref="A122:I122"/>
    <mergeCell ref="A113:I113"/>
    <mergeCell ref="A133:H133"/>
    <mergeCell ref="A143:J143"/>
    <mergeCell ref="G123:G127"/>
    <mergeCell ref="I123:I127"/>
  </mergeCells>
  <conditionalFormatting sqref="A1 O1:P1 V1:XFD1 A2:XFD2 A3:B3 N3:XFD3 A4:XFD12 A13:G13 I13:XFD13 A14:B14 G14:J14 N14:XFD14 A15:XFD19 A20:G20 I20:XFD20 G21:J21 A21:B23 N21:XFD23 A24:O24 S24:XFD24 A25:XFD30 A31:G31 I31:XFD31 A32:B32 G32:J32 N32:XFD32 A33:XFD35 A36:G36 I36:XFD36 A37:B37 G37:J37 N37:XFD37 A38:XFD45 A46:G46 I46:XFD46 A47:B47 G47:I47 N47:XFD47 A48:XFD54 A55:G55 I55:XFD55 A56:B56 G56:J56 N56:XFD56 A57:XFD61 A62:G62 I62:XFD62 G63:J63 A63:B64 N63:XFD64 A65:XFD68 A69:G69 I69:XFD69 A70:B70 G70:J70 N70:XFD70 A71:XFD77 A78:G78 I78:XFD78 A79:B79 G79:J79 N79:XFD79 A80:XFD86 A87:G87 I87:XFD87 A88:B88 G88:J88 N88:XFD88 A89:XFD91 A92:B92 G92:J92 N92:XFD92 A93:XFD106 A107:E107 G107:XFD107 O108:XFD108 A108:A120 E109:XFD109 E110:J112 L110:XFD112 J113:XFD113 E114:H116 I114:XFD121 E117:E120 F117:H121 E118:XFD119 J122:XFD122 F123:XFD123 A123:A130 E123:E130 F124:F127 H124:H127 J124:XFD127 E127:F127 E128:XFD130 F128:XFD132 I133:XFD133 A133:A147 E134:XFD142 K143:XFD143 E144:I147 J144:XFD1048576 A149 E149:I149 E151:I155 A151:A186 E157:XFD157 E158:I172 E174:I174 E175:G175 E176:I184 E185:F185 E186:I186 A187:I1048576">
    <cfRule type="cellIs" dxfId="436" priority="7" operator="equal">
      <formula>"DONE"</formula>
    </cfRule>
    <cfRule type="cellIs" dxfId="435" priority="8" operator="equal">
      <formula>"MISSED"</formula>
    </cfRule>
  </conditionalFormatting>
  <conditionalFormatting sqref="E22:K23">
    <cfRule type="cellIs" dxfId="434" priority="3" operator="equal">
      <formula>"DONE"</formula>
    </cfRule>
    <cfRule type="cellIs" dxfId="433" priority="4" operator="equal">
      <formula>"MISSED"</formula>
    </cfRule>
  </conditionalFormatting>
  <conditionalFormatting sqref="F64:K64">
    <cfRule type="cellIs" dxfId="432" priority="1" operator="equal">
      <formula>"DONE"</formula>
    </cfRule>
    <cfRule type="cellIs" dxfId="431" priority="2" operator="equal">
      <formula>"MISSED"</formula>
    </cfRule>
  </conditionalFormatting>
  <conditionalFormatting sqref="H4:H12 H14:H19 H21:H30 H32:H35 H37:H45 H47:H54 H56:H61 H63:H68 H70:H77 H79:H86 H88:H99">
    <cfRule type="cellIs" dxfId="430" priority="16" operator="equal">
      <formula>"Y"</formula>
    </cfRule>
    <cfRule type="cellIs" dxfId="429" priority="17" operator="notEqual">
      <formula>"Y"</formula>
    </cfRule>
  </conditionalFormatting>
  <conditionalFormatting sqref="N2:N107 N109:N1048576">
    <cfRule type="containsText" dxfId="428" priority="13" operator="containsText" text="WEEK">
      <formula>NOT(ISERROR(SEARCH("WEEK",N2)))</formula>
    </cfRule>
    <cfRule type="containsText" dxfId="427" priority="14" operator="containsText" text="to go">
      <formula>NOT(ISERROR(SEARCH("to go",N2)))</formula>
    </cfRule>
    <cfRule type="cellIs" dxfId="426" priority="15" operator="equal">
      <formula>"TODAY!!!"</formula>
    </cfRule>
  </conditionalFormatting>
  <conditionalFormatting sqref="N4:N99">
    <cfRule type="cellIs" dxfId="425" priority="9" operator="equal">
      <formula>"DONE"</formula>
    </cfRule>
  </conditionalFormatting>
  <pageMargins left="0.7" right="0.7" top="0.75" bottom="0.75" header="0.3" footer="0.3"/>
  <pageSetup paperSize="9" scale="67"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I33"/>
  <sheetViews>
    <sheetView workbookViewId="0"/>
  </sheetViews>
  <sheetFormatPr defaultColWidth="11.33203125" defaultRowHeight="14.4" outlineLevelRow="1"/>
  <cols>
    <col min="1" max="1" width="15.44140625" customWidth="1"/>
    <col min="2" max="2" width="28.109375" customWidth="1"/>
    <col min="3" max="7" width="25" customWidth="1"/>
    <col min="8" max="8" width="19.44140625" customWidth="1"/>
    <col min="9" max="9" width="15.44140625" customWidth="1"/>
  </cols>
  <sheetData>
    <row r="1" spans="1:9" ht="18">
      <c r="A1" s="103" t="s">
        <v>163</v>
      </c>
      <c r="B1" s="13" t="s">
        <v>164</v>
      </c>
      <c r="C1" s="44" t="str">
        <f>"22/02/17" &amp; " - " &amp; "28/02/17"</f>
        <v>22/02/17 - 28/02/17</v>
      </c>
      <c r="D1" s="44" t="str">
        <f>TEXT(DATEVALUE(RIGHT(C1,8))+1,"dd/mm/yy")&amp; " - "&amp; TEXT(DATEVALUE(RIGHT(C1,8))+7,"dd/mm/yy")</f>
        <v>01/03/17 - 07/03/17</v>
      </c>
      <c r="E1" s="44" t="str">
        <f>TEXT(DATEVALUE(RIGHT(D1,8))+1,"dd/mm/yy")&amp; " - "&amp; TEXT(DATEVALUE(RIGHT(D1,8))+7,"dd/mm/yy")</f>
        <v>08/03/17 - 14/03/17</v>
      </c>
      <c r="F1" s="44" t="str">
        <f>TEXT(DATEVALUE(RIGHT(E1,8))+1,"dd/mm/yy")&amp; " - "&amp; TEXT(DATEVALUE(RIGHT(E1,8))+7,"dd/mm/yy")</f>
        <v>15/03/17 - 21/03/17</v>
      </c>
      <c r="G1" s="44" t="str">
        <f>TEXT(DATEVALUE(RIGHT(F1,8))+1,"dd/mm/yy")&amp; " - "&amp; TEXT(DATEVALUE(RIGHT(F1,8))+7,"dd/mm/yy")</f>
        <v>22/03/17 - 28/03/17</v>
      </c>
      <c r="H1" s="12" t="s">
        <v>10</v>
      </c>
      <c r="I1" s="9"/>
    </row>
    <row r="2" spans="1:9" ht="18">
      <c r="A2" s="12" t="s">
        <v>165</v>
      </c>
      <c r="B2" s="10"/>
      <c r="C2" s="296">
        <f>SUM(C5:C20)</f>
        <v>0</v>
      </c>
      <c r="D2" s="296">
        <f>SUM(D5:D20)</f>
        <v>0</v>
      </c>
      <c r="E2" s="296">
        <f>SUM(E5:E20)</f>
        <v>0</v>
      </c>
      <c r="F2" s="296">
        <f>SUM(F5:F20)</f>
        <v>0</v>
      </c>
      <c r="G2" s="296">
        <f>SUM(G5:G20)</f>
        <v>0</v>
      </c>
      <c r="H2" s="10"/>
      <c r="I2" s="9"/>
    </row>
    <row r="3" spans="1:9" ht="18">
      <c r="A3" s="9"/>
      <c r="B3" s="10"/>
      <c r="C3" s="296"/>
      <c r="D3" s="296"/>
      <c r="E3" s="296"/>
      <c r="F3" s="296"/>
      <c r="G3" s="296"/>
      <c r="H3" s="10"/>
      <c r="I3" s="9"/>
    </row>
    <row r="4" spans="1:9" ht="18">
      <c r="A4" s="178" t="s">
        <v>166</v>
      </c>
      <c r="B4" s="183">
        <f>SUM(B5:B9)</f>
        <v>460</v>
      </c>
      <c r="C4" s="296"/>
      <c r="D4" s="296"/>
      <c r="E4" s="296"/>
      <c r="F4" s="296"/>
      <c r="G4" s="296"/>
      <c r="H4" s="184" t="str">
        <f>"Remaining: £" &amp; SUM(H5:H9)</f>
        <v>Remaining: £460</v>
      </c>
      <c r="I4" s="9"/>
    </row>
    <row r="5" spans="1:9" ht="18" outlineLevel="1">
      <c r="A5" s="31" t="s">
        <v>167</v>
      </c>
      <c r="B5" s="17">
        <f>IF(G1="Remaining",17.5*4,17.5*5)</f>
        <v>87.5</v>
      </c>
      <c r="C5" s="10"/>
      <c r="D5" s="10"/>
      <c r="E5" s="10"/>
      <c r="F5" s="10"/>
      <c r="G5" s="10"/>
      <c r="H5" s="10">
        <f>IF(B5&lt;&gt;"",B5-C5-D5-E5-F5-G5,"")</f>
        <v>87.5</v>
      </c>
      <c r="I5" s="12" t="str">
        <f>A5</f>
        <v xml:space="preserve">Car Petrol </v>
      </c>
    </row>
    <row r="6" spans="1:9" ht="18" outlineLevel="1">
      <c r="A6" s="31" t="s">
        <v>168</v>
      </c>
      <c r="B6" s="17">
        <f>IF(G1="Remaining",4.5*4,4.5*5)</f>
        <v>22.5</v>
      </c>
      <c r="C6" s="10"/>
      <c r="D6" s="10"/>
      <c r="E6" s="10"/>
      <c r="F6" s="10"/>
      <c r="G6" s="10"/>
      <c r="H6" s="10">
        <f t="shared" ref="H6" si="0">IF(B6&lt;&gt;"",B6-C6-D6-E6-F6-G6,"")</f>
        <v>22.5</v>
      </c>
      <c r="I6" s="12" t="str">
        <f t="shared" ref="I6" si="1">A6</f>
        <v>Bike petrol</v>
      </c>
    </row>
    <row r="7" spans="1:9" ht="18" outlineLevel="1">
      <c r="A7" s="31" t="s">
        <v>169</v>
      </c>
      <c r="B7" s="10">
        <f>IF(G1="Remaining",30*4,IF(H1= "Remaining",30* 5,""))</f>
        <v>150</v>
      </c>
      <c r="C7" s="10"/>
      <c r="D7" s="10"/>
      <c r="E7" s="10"/>
      <c r="F7" s="10"/>
      <c r="G7" s="10"/>
      <c r="H7" s="10">
        <f t="shared" ref="H7:H9" si="2">IF(B7&lt;&gt;"",B7-C7-D7-E7-F7-G7,"")</f>
        <v>150</v>
      </c>
      <c r="I7" s="12" t="str">
        <f>A7</f>
        <v>Food</v>
      </c>
    </row>
    <row r="8" spans="1:9" ht="18" outlineLevel="1">
      <c r="A8" s="31" t="s">
        <v>170</v>
      </c>
      <c r="B8" s="10">
        <v>100</v>
      </c>
      <c r="C8" s="10"/>
      <c r="D8" s="10"/>
      <c r="E8" s="10"/>
      <c r="F8" s="10"/>
      <c r="G8" s="10"/>
      <c r="H8" s="10">
        <f t="shared" si="2"/>
        <v>100</v>
      </c>
      <c r="I8" s="12" t="str">
        <f>A8</f>
        <v>Gift Fund</v>
      </c>
    </row>
    <row r="9" spans="1:9" ht="18" outlineLevel="1">
      <c r="A9" s="31" t="s">
        <v>171</v>
      </c>
      <c r="B9" s="10">
        <f>IF(G1="Remaining",20*4,IF(H1= "Remaining",20* 5,""))</f>
        <v>100</v>
      </c>
      <c r="C9" s="10"/>
      <c r="D9" s="10"/>
      <c r="E9" s="10"/>
      <c r="F9" s="10"/>
      <c r="G9" s="10"/>
      <c r="H9" s="10">
        <f t="shared" si="2"/>
        <v>100</v>
      </c>
      <c r="I9" s="12" t="str">
        <f>A9</f>
        <v>Holiday Fund</v>
      </c>
    </row>
    <row r="10" spans="1:9" ht="18" outlineLevel="1">
      <c r="A10" s="31" t="s">
        <v>172</v>
      </c>
      <c r="B10" s="10">
        <f>IF(B26 &lt;&gt; 0,B26-SUM(B5:B9)-B12-B24,0)</f>
        <v>-16.260000000000105</v>
      </c>
      <c r="C10" s="10"/>
      <c r="D10" s="10"/>
      <c r="E10" s="10"/>
      <c r="F10" s="10"/>
      <c r="G10" s="10"/>
      <c r="H10" s="10">
        <f>IF(B10&lt;&gt;"",B10-C10-D10-E10-F10-G10,"")</f>
        <v>-16.260000000000105</v>
      </c>
      <c r="I10" s="12" t="s">
        <v>172</v>
      </c>
    </row>
    <row r="11" spans="1:9" ht="18" outlineLevel="1">
      <c r="A11" s="185"/>
      <c r="B11" s="10"/>
      <c r="C11" s="10"/>
      <c r="D11" s="10"/>
      <c r="E11" s="10"/>
      <c r="F11" s="10"/>
      <c r="G11" s="10"/>
      <c r="H11" s="10"/>
      <c r="I11" s="9"/>
    </row>
    <row r="12" spans="1:9" s="182" customFormat="1" ht="18">
      <c r="A12" s="177" t="s">
        <v>173</v>
      </c>
      <c r="B12" s="183">
        <f>SUM(B13:B21)</f>
        <v>859.87</v>
      </c>
      <c r="C12" s="181"/>
      <c r="D12" s="181"/>
      <c r="E12" s="181"/>
      <c r="F12" s="181"/>
      <c r="G12" s="181"/>
      <c r="H12" s="184" t="str">
        <f>"Remaining: £" &amp; SUM(H13:H21)</f>
        <v>Remaining: £859.87</v>
      </c>
      <c r="I12" s="186"/>
    </row>
    <row r="13" spans="1:9" ht="18" outlineLevel="1">
      <c r="A13" s="31" t="s">
        <v>174</v>
      </c>
      <c r="B13" s="10">
        <v>500</v>
      </c>
      <c r="C13" s="10"/>
      <c r="D13" s="10"/>
      <c r="E13" s="10"/>
      <c r="F13" s="10"/>
      <c r="G13" s="10"/>
      <c r="H13" s="10">
        <f t="shared" ref="H13:H21" si="3">IF(B13&lt;&gt;"",B13-C13-D13-E13-F13-G13,"")</f>
        <v>500</v>
      </c>
      <c r="I13" s="12" t="str">
        <f t="shared" ref="I13:I20" si="4">A13</f>
        <v>House</v>
      </c>
    </row>
    <row r="14" spans="1:9" ht="18" outlineLevel="1">
      <c r="A14" s="31" t="s">
        <v>175</v>
      </c>
      <c r="B14" s="10">
        <v>104.92</v>
      </c>
      <c r="C14" s="10"/>
      <c r="D14" s="10"/>
      <c r="E14" s="10"/>
      <c r="F14" s="10"/>
      <c r="G14" s="10"/>
      <c r="H14" s="10">
        <f t="shared" si="3"/>
        <v>104.92</v>
      </c>
      <c r="I14" s="12" t="str">
        <f t="shared" si="4"/>
        <v>Ring</v>
      </c>
    </row>
    <row r="15" spans="1:9" ht="18" outlineLevel="1">
      <c r="A15" s="31" t="s">
        <v>176</v>
      </c>
      <c r="B15" s="10">
        <f>'Joint Outgoings'!C29</f>
        <v>16.989999999999998</v>
      </c>
      <c r="C15" s="10"/>
      <c r="D15" s="10"/>
      <c r="E15" s="10"/>
      <c r="F15" s="10"/>
      <c r="G15" s="10"/>
      <c r="H15" s="10">
        <f t="shared" si="3"/>
        <v>16.989999999999998</v>
      </c>
      <c r="I15" s="12" t="str">
        <f t="shared" si="4"/>
        <v xml:space="preserve">Phone </v>
      </c>
    </row>
    <row r="16" spans="1:9" ht="18" outlineLevel="1">
      <c r="A16" s="31" t="s">
        <v>177</v>
      </c>
      <c r="B16" s="10">
        <v>17.989999999999998</v>
      </c>
      <c r="C16" s="10"/>
      <c r="D16" s="10"/>
      <c r="E16" s="10"/>
      <c r="F16" s="10"/>
      <c r="G16" s="10"/>
      <c r="H16" s="10">
        <f t="shared" si="3"/>
        <v>17.989999999999998</v>
      </c>
      <c r="I16" s="12" t="str">
        <f t="shared" si="4"/>
        <v>Gym</v>
      </c>
    </row>
    <row r="17" spans="1:9" ht="18" outlineLevel="1">
      <c r="A17" s="31" t="s">
        <v>178</v>
      </c>
      <c r="B17" s="10">
        <f>'Joint Outgoings'!C25</f>
        <v>200</v>
      </c>
      <c r="C17" s="10"/>
      <c r="D17" s="10"/>
      <c r="E17" s="10"/>
      <c r="F17" s="10"/>
      <c r="G17" s="10"/>
      <c r="H17" s="10">
        <f t="shared" si="3"/>
        <v>200</v>
      </c>
      <c r="I17" s="12" t="str">
        <f t="shared" si="4"/>
        <v>Car v.tax</v>
      </c>
    </row>
    <row r="18" spans="1:9" ht="18" outlineLevel="1">
      <c r="A18" s="31" t="s">
        <v>179</v>
      </c>
      <c r="B18" s="10">
        <v>3.99</v>
      </c>
      <c r="C18" s="10"/>
      <c r="D18" s="10"/>
      <c r="E18" s="10"/>
      <c r="F18" s="10"/>
      <c r="G18" s="10"/>
      <c r="H18" s="10">
        <f t="shared" si="3"/>
        <v>3.99</v>
      </c>
      <c r="I18" s="12" t="str">
        <f t="shared" si="4"/>
        <v>Sky Movies</v>
      </c>
    </row>
    <row r="19" spans="1:9" ht="18" outlineLevel="1">
      <c r="A19" s="31" t="s">
        <v>180</v>
      </c>
      <c r="B19" s="10">
        <v>0</v>
      </c>
      <c r="C19" s="10"/>
      <c r="D19" s="10"/>
      <c r="E19" s="10"/>
      <c r="F19" s="10"/>
      <c r="G19" s="10"/>
      <c r="H19" s="10">
        <f>IF(B19&lt;&gt;"",B19-C19-D19-E19-F19-G19,"")</f>
        <v>0</v>
      </c>
      <c r="I19" s="12" t="str">
        <f>A19</f>
        <v>Spotify</v>
      </c>
    </row>
    <row r="20" spans="1:9" ht="18" outlineLevel="1">
      <c r="A20" s="31" t="s">
        <v>181</v>
      </c>
      <c r="B20" s="10">
        <v>7.99</v>
      </c>
      <c r="C20" s="10"/>
      <c r="D20" s="10"/>
      <c r="E20" s="10"/>
      <c r="F20" s="10"/>
      <c r="G20" s="10"/>
      <c r="H20" s="10">
        <f t="shared" si="3"/>
        <v>7.99</v>
      </c>
      <c r="I20" s="12" t="str">
        <f t="shared" si="4"/>
        <v>Onedrive</v>
      </c>
    </row>
    <row r="21" spans="1:9" ht="18" outlineLevel="1">
      <c r="A21" s="31" t="s">
        <v>182</v>
      </c>
      <c r="B21" s="10">
        <v>7.99</v>
      </c>
      <c r="C21" s="10"/>
      <c r="D21" s="10"/>
      <c r="E21" s="10"/>
      <c r="F21" s="10"/>
      <c r="G21" s="10"/>
      <c r="H21" s="10">
        <f t="shared" si="3"/>
        <v>7.99</v>
      </c>
      <c r="I21" s="12" t="str">
        <f>A21</f>
        <v>Amazon Prime</v>
      </c>
    </row>
    <row r="22" spans="1:9" ht="18">
      <c r="A22" s="204"/>
      <c r="B22" s="296"/>
      <c r="C22" s="296"/>
      <c r="D22" s="296"/>
      <c r="E22" s="296"/>
      <c r="F22" s="296"/>
      <c r="G22" s="296"/>
      <c r="H22" s="46"/>
      <c r="I22" s="10"/>
    </row>
    <row r="23" spans="1:9" ht="18">
      <c r="A23" s="202" t="s">
        <v>183</v>
      </c>
      <c r="B23" s="10"/>
      <c r="C23" s="19"/>
      <c r="D23" s="19"/>
      <c r="E23" s="23"/>
      <c r="F23" s="35"/>
      <c r="G23" s="10"/>
      <c r="H23" s="10"/>
      <c r="I23" s="9"/>
    </row>
    <row r="24" spans="1:9" ht="18" outlineLevel="1">
      <c r="A24" s="31" t="s">
        <v>184</v>
      </c>
      <c r="B24" s="10">
        <f>IF(SUM(C24:G24)&lt;&gt;0,SUM(C24:G24),0)</f>
        <v>0</v>
      </c>
      <c r="C24" s="10"/>
      <c r="D24" s="10"/>
      <c r="E24" s="10"/>
      <c r="F24" s="10"/>
      <c r="G24" s="10"/>
      <c r="H24" s="10"/>
      <c r="I24" s="9"/>
    </row>
    <row r="25" spans="1:9" ht="18" outlineLevel="1">
      <c r="A25" s="31" t="s">
        <v>185</v>
      </c>
      <c r="B25" s="10">
        <f>IF(SUM(C25:G25)&lt;&gt;0,SUM(C25:G25),0)</f>
        <v>0</v>
      </c>
      <c r="C25" s="10"/>
      <c r="D25" s="10"/>
      <c r="E25" s="10"/>
      <c r="F25" s="10"/>
      <c r="G25" s="10"/>
      <c r="H25" s="10"/>
      <c r="I25" s="9"/>
    </row>
    <row r="26" spans="1:9" ht="18">
      <c r="A26" s="201" t="s">
        <v>186</v>
      </c>
      <c r="B26" s="296">
        <f>SUM(C26:G26)</f>
        <v>1303.6099999999999</v>
      </c>
      <c r="C26" s="296">
        <v>1303.6099999999999</v>
      </c>
      <c r="D26" s="296"/>
      <c r="E26" s="296"/>
      <c r="F26" s="296"/>
      <c r="G26" s="296"/>
      <c r="H26" s="46" t="str">
        <f>SUM(H5:H25) &amp; " / " &amp; B26</f>
        <v>1303.61 / 1303.61</v>
      </c>
      <c r="I26" s="10"/>
    </row>
    <row r="27" spans="1:9" ht="18">
      <c r="A27" s="17" t="s">
        <v>187</v>
      </c>
      <c r="B27" s="17" t="str">
        <f ca="1">IF(MONTH(TODAY()) = 11, IF(MONTH(A1(RIGHT,3)) = 11, "Bike insurance due",""),"")</f>
        <v/>
      </c>
      <c r="C27" s="53"/>
      <c r="D27" s="51"/>
      <c r="E27" s="16"/>
      <c r="F27" s="21"/>
      <c r="G27" s="18"/>
    </row>
    <row r="28" spans="1:9" ht="18">
      <c r="A28" s="17"/>
      <c r="B28" s="17" t="str">
        <f ca="1">IF(MONTH(TODAY()) = 6, IF(MONTH(A1(RIGHT,3)) = 6, "Bike insurance due",""),"")</f>
        <v/>
      </c>
      <c r="C28" s="20"/>
      <c r="D28" s="52"/>
      <c r="E28" s="16"/>
      <c r="F28" s="109"/>
      <c r="G28" s="18"/>
      <c r="H28" s="11">
        <f>SUM(H5:H25)*12</f>
        <v>15643.32</v>
      </c>
    </row>
    <row r="29" spans="1:9" ht="18">
      <c r="A29" s="17"/>
      <c r="B29" s="17"/>
      <c r="C29" s="39"/>
      <c r="D29" s="39"/>
      <c r="E29" s="43"/>
      <c r="F29" s="110"/>
      <c r="G29" s="20"/>
      <c r="H29" s="11"/>
      <c r="I29" s="11"/>
    </row>
    <row r="30" spans="1:9" ht="18">
      <c r="A30" s="10"/>
      <c r="B30" s="10"/>
      <c r="C30" s="40"/>
      <c r="D30" s="41"/>
      <c r="E30" s="41"/>
      <c r="F30" s="28"/>
      <c r="G30" s="111"/>
    </row>
    <row r="31" spans="1:9" ht="18">
      <c r="A31" s="20" t="s">
        <v>188</v>
      </c>
      <c r="B31" s="10"/>
      <c r="D31" s="42"/>
      <c r="G31" s="97"/>
    </row>
    <row r="33" spans="2:2" ht="18">
      <c r="B33" s="10"/>
    </row>
  </sheetData>
  <sortState xmlns:xlrd2="http://schemas.microsoft.com/office/spreadsheetml/2017/richdata2" ref="A14:I21">
    <sortCondition descending="1" ref="B14:B21"/>
  </sortState>
  <dataConsolidate/>
  <conditionalFormatting sqref="H5:H10">
    <cfRule type="cellIs" dxfId="424" priority="3" operator="equal">
      <formula>0</formula>
    </cfRule>
    <cfRule type="cellIs" dxfId="423" priority="4" operator="lessThan">
      <formula>0</formula>
    </cfRule>
    <cfRule type="cellIs" dxfId="422" priority="5" operator="greaterThan">
      <formula>0</formula>
    </cfRule>
  </conditionalFormatting>
  <conditionalFormatting sqref="H13:H21">
    <cfRule type="cellIs" dxfId="421" priority="6" operator="equal">
      <formula>0</formula>
    </cfRule>
    <cfRule type="cellIs" dxfId="420" priority="7" operator="lessThan">
      <formula>0</formula>
    </cfRule>
    <cfRule type="cellIs" dxfId="419" priority="8"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3DDCB00-1916-2540-9665-10A9E2DE9B82}">
            <xm:f>NOT(ISERROR(SEARCH("-",H23)))</xm:f>
            <xm:f>"-"</xm:f>
            <x14:dxf>
              <font>
                <color rgb="FF9C0006"/>
              </font>
              <fill>
                <patternFill>
                  <bgColor rgb="FFFFC7CE"/>
                </patternFill>
              </fill>
            </x14:dxf>
          </x14:cfRule>
          <xm:sqref>H23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H34"/>
  <sheetViews>
    <sheetView workbookViewId="0"/>
  </sheetViews>
  <sheetFormatPr defaultColWidth="11.33203125" defaultRowHeight="14.4" outlineLevelRow="1"/>
  <cols>
    <col min="1" max="1" width="15.44140625" customWidth="1"/>
    <col min="2" max="2" width="28.109375" customWidth="1"/>
    <col min="3" max="6" width="25" customWidth="1"/>
    <col min="7" max="7" width="19.44140625" customWidth="1"/>
    <col min="8" max="8" width="15.44140625" customWidth="1"/>
  </cols>
  <sheetData>
    <row r="1" spans="1:8" ht="18">
      <c r="A1" s="180" t="s">
        <v>163</v>
      </c>
      <c r="B1" s="13" t="s">
        <v>164</v>
      </c>
      <c r="C1" s="44" t="str">
        <f>"29/06/16" &amp; " - " &amp; "05/7/16"</f>
        <v>29/06/16 - 05/7/16</v>
      </c>
      <c r="D1" s="44" t="str">
        <f>TEXT(DATEVALUE(RIGHT(C1,8))+1,"dd/mm/yy")&amp; " - "&amp; TEXT(DATEVALUE(RIGHT(C1,8))+7,"dd/mm/yy")</f>
        <v>06/07/16 - 12/07/16</v>
      </c>
      <c r="E1" s="44" t="str">
        <f>TEXT(DATEVALUE(RIGHT(D1,8))+1,"dd/mm/yy")&amp; " - "&amp; TEXT(DATEVALUE(RIGHT(D1,8))+7,"dd/mm/yy")</f>
        <v>13/07/16 - 19/07/16</v>
      </c>
      <c r="F1" s="44" t="str">
        <f>TEXT(DATEVALUE(RIGHT(E1,8))+1,"dd/mm/yy")&amp; " - "&amp; TEXT(DATEVALUE(RIGHT(E1,8))+7,"dd/mm/yy")</f>
        <v>20/07/16 - 26/07/16</v>
      </c>
      <c r="G1" s="12" t="s">
        <v>10</v>
      </c>
      <c r="H1" s="9"/>
    </row>
    <row r="2" spans="1:8" ht="18">
      <c r="A2" s="13" t="s">
        <v>165</v>
      </c>
      <c r="B2" s="10"/>
      <c r="C2" s="296">
        <f>SUM(C5:C20)</f>
        <v>0</v>
      </c>
      <c r="D2" s="296">
        <f>SUM(D5:D20)</f>
        <v>0</v>
      </c>
      <c r="E2" s="296">
        <f>SUM(E5:E20)</f>
        <v>0</v>
      </c>
      <c r="F2" s="296">
        <f>SUM(F5:F20)</f>
        <v>0</v>
      </c>
      <c r="G2" s="10"/>
      <c r="H2" s="9"/>
    </row>
    <row r="3" spans="1:8" ht="18">
      <c r="A3" s="250"/>
      <c r="B3" s="10"/>
      <c r="C3" s="296"/>
      <c r="D3" s="296"/>
      <c r="E3" s="296"/>
      <c r="F3" s="296"/>
      <c r="G3" s="10"/>
      <c r="H3" s="9"/>
    </row>
    <row r="4" spans="1:8" ht="18">
      <c r="A4" s="178" t="s">
        <v>166</v>
      </c>
      <c r="B4" s="183">
        <f>SUM(B5:B9)</f>
        <v>368</v>
      </c>
      <c r="C4" s="296"/>
      <c r="D4" s="296"/>
      <c r="E4" s="296"/>
      <c r="F4" s="296"/>
      <c r="G4" s="184" t="str">
        <f>"Remaining: £" &amp; ROUND(SUM(G5:G10),2)</f>
        <v>Remaining: £443.74</v>
      </c>
      <c r="H4" s="9"/>
    </row>
    <row r="5" spans="1:8" ht="18" outlineLevel="1">
      <c r="A5" s="31" t="s">
        <v>167</v>
      </c>
      <c r="B5" s="17">
        <f>IF(G1="Remaining",17.5*4,17.5*5)</f>
        <v>70</v>
      </c>
      <c r="C5" s="10"/>
      <c r="D5" s="10"/>
      <c r="E5" s="10"/>
      <c r="F5" s="10"/>
      <c r="G5" s="10">
        <f t="shared" ref="G5:G10" si="0">IF(B5&lt;&gt;"",B5-C5-D5-E5-F5,"")</f>
        <v>70</v>
      </c>
      <c r="H5" s="12" t="str">
        <f>A5</f>
        <v xml:space="preserve">Car Petrol </v>
      </c>
    </row>
    <row r="6" spans="1:8" ht="18" outlineLevel="1">
      <c r="A6" s="31" t="s">
        <v>168</v>
      </c>
      <c r="B6" s="17">
        <f>IF(G1="Remaining",4.5*4,4.5*5)</f>
        <v>18</v>
      </c>
      <c r="C6" s="10"/>
      <c r="D6" s="10"/>
      <c r="E6" s="10"/>
      <c r="F6" s="10"/>
      <c r="G6" s="10">
        <f t="shared" si="0"/>
        <v>18</v>
      </c>
      <c r="H6" s="12" t="str">
        <f t="shared" ref="H6" si="1">A6</f>
        <v>Bike petrol</v>
      </c>
    </row>
    <row r="7" spans="1:8" ht="18" outlineLevel="1">
      <c r="A7" s="31" t="s">
        <v>169</v>
      </c>
      <c r="B7" s="10">
        <f>IF(G1="Remaining",30*4,IF(H1= "Remaining",30* 5,""))</f>
        <v>120</v>
      </c>
      <c r="C7" s="10"/>
      <c r="D7" s="10"/>
      <c r="E7" s="10"/>
      <c r="F7" s="10"/>
      <c r="G7" s="10">
        <f t="shared" si="0"/>
        <v>120</v>
      </c>
      <c r="H7" s="12" t="str">
        <f>A7</f>
        <v>Food</v>
      </c>
    </row>
    <row r="8" spans="1:8" ht="18" outlineLevel="1">
      <c r="A8" s="31" t="s">
        <v>170</v>
      </c>
      <c r="B8" s="10">
        <f>IF(G1="Remaining",20*4,IF(H1= "Remaining",20* 5,""))</f>
        <v>80</v>
      </c>
      <c r="C8" s="10"/>
      <c r="D8" s="10"/>
      <c r="E8" s="10"/>
      <c r="F8" s="10"/>
      <c r="G8" s="10">
        <f t="shared" si="0"/>
        <v>80</v>
      </c>
      <c r="H8" s="12" t="str">
        <f>A8</f>
        <v>Gift Fund</v>
      </c>
    </row>
    <row r="9" spans="1:8" ht="18" outlineLevel="1">
      <c r="A9" s="31" t="s">
        <v>171</v>
      </c>
      <c r="B9" s="10">
        <f>IF(G1="Remaining",20*4,IF(H1= "Remaining",20* 5,""))</f>
        <v>80</v>
      </c>
      <c r="C9" s="10"/>
      <c r="D9" s="10"/>
      <c r="E9" s="10"/>
      <c r="F9" s="10"/>
      <c r="G9" s="10">
        <f t="shared" si="0"/>
        <v>80</v>
      </c>
      <c r="H9" s="12" t="str">
        <f>A9</f>
        <v>Holiday Fund</v>
      </c>
    </row>
    <row r="10" spans="1:8" ht="18" outlineLevel="1">
      <c r="A10" s="31" t="s">
        <v>172</v>
      </c>
      <c r="B10" s="10">
        <f>IF(B26 &lt;&gt; 0,B26-B4-B12-B24,0)</f>
        <v>75.739999999999895</v>
      </c>
      <c r="C10" s="10"/>
      <c r="D10" s="10"/>
      <c r="E10" s="10"/>
      <c r="F10" s="10"/>
      <c r="G10" s="10">
        <f t="shared" si="0"/>
        <v>75.739999999999895</v>
      </c>
      <c r="H10" s="12" t="s">
        <v>172</v>
      </c>
    </row>
    <row r="11" spans="1:8" ht="18" outlineLevel="1">
      <c r="A11" s="185"/>
      <c r="B11" s="10"/>
      <c r="C11" s="10"/>
      <c r="D11" s="10"/>
      <c r="E11" s="10"/>
      <c r="F11" s="10"/>
      <c r="G11" s="10"/>
      <c r="H11" s="9"/>
    </row>
    <row r="12" spans="1:8" ht="18">
      <c r="A12" s="177" t="s">
        <v>189</v>
      </c>
      <c r="B12" s="183">
        <f>SUM(B13:B21)</f>
        <v>859.87</v>
      </c>
      <c r="C12" s="10"/>
      <c r="D12" s="10"/>
      <c r="E12" s="10"/>
      <c r="F12" s="10"/>
      <c r="G12" s="184" t="str">
        <f>"Remaining: £" &amp; ROUND(SUM(G13:G21),2)</f>
        <v>Remaining: £859.87</v>
      </c>
      <c r="H12" s="9"/>
    </row>
    <row r="13" spans="1:8" ht="18" outlineLevel="1">
      <c r="A13" s="31" t="s">
        <v>174</v>
      </c>
      <c r="B13" s="10">
        <v>500</v>
      </c>
      <c r="C13" s="10"/>
      <c r="D13" s="10"/>
      <c r="E13" s="10"/>
      <c r="F13" s="10"/>
      <c r="G13" s="10">
        <f t="shared" ref="G13:G20" si="2">IF(B13&lt;&gt;"",B13-C13-D13-E13-F13,"")</f>
        <v>500</v>
      </c>
      <c r="H13" s="12" t="str">
        <f t="shared" ref="H13:H20" si="3">A13</f>
        <v>House</v>
      </c>
    </row>
    <row r="14" spans="1:8" ht="18" outlineLevel="1">
      <c r="A14" s="31" t="s">
        <v>175</v>
      </c>
      <c r="B14" s="10">
        <v>104.92</v>
      </c>
      <c r="C14" s="10"/>
      <c r="D14" s="10"/>
      <c r="E14" s="10"/>
      <c r="F14" s="10"/>
      <c r="G14" s="10">
        <f t="shared" si="2"/>
        <v>104.92</v>
      </c>
      <c r="H14" s="12" t="str">
        <f t="shared" si="3"/>
        <v>Ring</v>
      </c>
    </row>
    <row r="15" spans="1:8" ht="18" outlineLevel="1">
      <c r="A15" s="31" t="s">
        <v>176</v>
      </c>
      <c r="B15" s="10">
        <f>'Joint Outgoings'!C29</f>
        <v>16.989999999999998</v>
      </c>
      <c r="C15" s="10"/>
      <c r="D15" s="10"/>
      <c r="E15" s="10"/>
      <c r="F15" s="10"/>
      <c r="G15" s="10">
        <f t="shared" si="2"/>
        <v>16.989999999999998</v>
      </c>
      <c r="H15" s="12" t="str">
        <f t="shared" si="3"/>
        <v xml:space="preserve">Phone </v>
      </c>
    </row>
    <row r="16" spans="1:8" ht="18" outlineLevel="1">
      <c r="A16" s="31" t="s">
        <v>177</v>
      </c>
      <c r="B16" s="10">
        <v>17.989999999999998</v>
      </c>
      <c r="C16" s="10"/>
      <c r="D16" s="10"/>
      <c r="E16" s="10"/>
      <c r="F16" s="10"/>
      <c r="G16" s="10">
        <f t="shared" si="2"/>
        <v>17.989999999999998</v>
      </c>
      <c r="H16" s="12" t="str">
        <f t="shared" si="3"/>
        <v>Gym</v>
      </c>
    </row>
    <row r="17" spans="1:8" ht="18" outlineLevel="1">
      <c r="A17" s="31" t="s">
        <v>178</v>
      </c>
      <c r="B17" s="10">
        <f>'Joint Outgoings'!C25</f>
        <v>200</v>
      </c>
      <c r="C17" s="10"/>
      <c r="D17" s="10"/>
      <c r="E17" s="10"/>
      <c r="F17" s="10"/>
      <c r="G17" s="10">
        <f t="shared" si="2"/>
        <v>200</v>
      </c>
      <c r="H17" s="12" t="str">
        <f t="shared" si="3"/>
        <v>Car v.tax</v>
      </c>
    </row>
    <row r="18" spans="1:8" ht="18" outlineLevel="1">
      <c r="A18" s="31" t="s">
        <v>179</v>
      </c>
      <c r="B18" s="10">
        <v>3.99</v>
      </c>
      <c r="C18" s="10"/>
      <c r="D18" s="10"/>
      <c r="E18" s="10"/>
      <c r="F18" s="10"/>
      <c r="G18" s="10">
        <f t="shared" si="2"/>
        <v>3.99</v>
      </c>
      <c r="H18" s="12" t="str">
        <f t="shared" si="3"/>
        <v>Sky Movies</v>
      </c>
    </row>
    <row r="19" spans="1:8" ht="18" outlineLevel="1">
      <c r="A19" s="31" t="s">
        <v>180</v>
      </c>
      <c r="B19" s="10">
        <v>0</v>
      </c>
      <c r="C19" s="10"/>
      <c r="D19" s="10"/>
      <c r="E19" s="10"/>
      <c r="F19" s="10"/>
      <c r="G19" s="10">
        <f>IF(B19&lt;&gt;"",B19-C19-D19-E19-F19,"")</f>
        <v>0</v>
      </c>
      <c r="H19" s="12" t="str">
        <f>A19</f>
        <v>Spotify</v>
      </c>
    </row>
    <row r="20" spans="1:8" ht="18" outlineLevel="1">
      <c r="A20" s="31" t="s">
        <v>181</v>
      </c>
      <c r="B20" s="10">
        <v>7.99</v>
      </c>
      <c r="C20" s="10"/>
      <c r="D20" s="10"/>
      <c r="E20" s="10"/>
      <c r="F20" s="10"/>
      <c r="G20" s="10">
        <f t="shared" si="2"/>
        <v>7.99</v>
      </c>
      <c r="H20" s="12" t="str">
        <f t="shared" si="3"/>
        <v>Onedrive</v>
      </c>
    </row>
    <row r="21" spans="1:8" ht="18" outlineLevel="1">
      <c r="A21" s="31" t="s">
        <v>182</v>
      </c>
      <c r="B21" s="10">
        <v>7.99</v>
      </c>
      <c r="C21" s="10"/>
      <c r="D21" s="10"/>
      <c r="E21" s="10"/>
      <c r="F21" s="10"/>
      <c r="G21" s="10">
        <f>IF(B21&lt;&gt;"",B21-C21-D21-E21-F21,"")</f>
        <v>7.99</v>
      </c>
      <c r="H21" s="12" t="str">
        <f>A21</f>
        <v>Amazon Prime</v>
      </c>
    </row>
    <row r="22" spans="1:8" ht="18" outlineLevel="1">
      <c r="A22" s="185"/>
      <c r="B22" s="10"/>
      <c r="C22" s="10"/>
      <c r="D22" s="10"/>
      <c r="E22" s="10"/>
      <c r="F22" s="10"/>
      <c r="G22" s="10"/>
      <c r="H22" s="9"/>
    </row>
    <row r="23" spans="1:8" ht="18">
      <c r="A23" s="177" t="s">
        <v>183</v>
      </c>
      <c r="B23" s="10"/>
      <c r="C23" s="10"/>
      <c r="D23" s="10"/>
      <c r="E23" s="10"/>
      <c r="F23" s="10"/>
      <c r="G23" s="10"/>
      <c r="H23" s="9"/>
    </row>
    <row r="24" spans="1:8" ht="18" outlineLevel="1">
      <c r="A24" s="31" t="s">
        <v>184</v>
      </c>
      <c r="B24" s="10">
        <f>SUM(C24:F24)</f>
        <v>0</v>
      </c>
      <c r="C24" s="10"/>
      <c r="D24" s="10"/>
      <c r="E24" s="10"/>
      <c r="F24" s="10"/>
      <c r="G24" s="10"/>
      <c r="H24" s="9"/>
    </row>
    <row r="25" spans="1:8" ht="18" outlineLevel="1">
      <c r="A25" s="31" t="s">
        <v>185</v>
      </c>
      <c r="B25" s="10">
        <f>SUM(C25:F25)</f>
        <v>0</v>
      </c>
      <c r="C25" s="10"/>
      <c r="D25" s="10"/>
      <c r="E25" s="10"/>
      <c r="F25" s="10"/>
      <c r="G25" s="10"/>
      <c r="H25" s="9"/>
    </row>
    <row r="26" spans="1:8" ht="18">
      <c r="A26" s="179" t="s">
        <v>186</v>
      </c>
      <c r="B26" s="296">
        <f>SUM(C26:F26)</f>
        <v>1303.6099999999999</v>
      </c>
      <c r="C26" s="26">
        <v>1303.6099999999999</v>
      </c>
      <c r="D26" s="26"/>
      <c r="E26" s="27"/>
      <c r="F26" s="36"/>
      <c r="G26" s="46" t="str">
        <f>SUM(G5:G20) &amp; " / " &amp; B26</f>
        <v>1295.62 / 1303.61</v>
      </c>
      <c r="H26" s="10"/>
    </row>
    <row r="27" spans="1:8" ht="18">
      <c r="A27" s="24"/>
      <c r="B27" s="10"/>
      <c r="C27" s="49"/>
      <c r="D27" s="26"/>
      <c r="E27" s="23"/>
      <c r="F27" s="25"/>
      <c r="G27" s="79" t="str">
        <f>IF(ROUND(SUM(G5:G20),2)&gt;0,IF(ROUND(SUM(G5:G20),2)&lt;ROUND(SUMIF(G5:G20,"&gt;0"),2),"NOT ENOUGH MONEY",""),"NO MONEY")</f>
        <v/>
      </c>
      <c r="H27" s="11"/>
    </row>
    <row r="28" spans="1:8" ht="18">
      <c r="A28" s="17" t="s">
        <v>187</v>
      </c>
      <c r="B28" s="17" t="str">
        <f ca="1">IF(MONTH(TODAY()) = 11, IF(MONTH(A1(RIGHT,3)) = 11, "Bike insurance due",""),"")</f>
        <v/>
      </c>
      <c r="C28" s="59"/>
      <c r="D28" s="16"/>
      <c r="E28" s="16"/>
      <c r="F28" s="16"/>
    </row>
    <row r="29" spans="1:8" ht="18">
      <c r="A29" s="17"/>
      <c r="B29" s="17" t="str">
        <f ca="1">IF(MONTH(TODAY()) = 6, IF(MONTH(A1(RIGHT,3)) = 6, "Bike insurance due",""),"")</f>
        <v/>
      </c>
      <c r="C29" s="20"/>
      <c r="D29" s="39"/>
      <c r="E29" s="16"/>
      <c r="F29" s="18"/>
    </row>
    <row r="30" spans="1:8" ht="18">
      <c r="A30" s="17"/>
      <c r="B30" s="17"/>
      <c r="C30" s="39"/>
      <c r="D30" s="39"/>
      <c r="E30" s="43"/>
      <c r="F30" s="20"/>
      <c r="G30" s="11"/>
      <c r="H30" s="11"/>
    </row>
    <row r="31" spans="1:8" ht="18">
      <c r="A31" s="10" t="s">
        <v>188</v>
      </c>
      <c r="B31" s="10"/>
      <c r="C31" s="40"/>
      <c r="D31" s="41"/>
      <c r="E31" s="41"/>
      <c r="F31" s="41"/>
    </row>
    <row r="32" spans="1:8" ht="18">
      <c r="A32" s="20"/>
      <c r="B32" s="10"/>
      <c r="D32" s="42"/>
    </row>
    <row r="34" spans="2:2" ht="18">
      <c r="B34" s="10"/>
    </row>
  </sheetData>
  <sortState xmlns:xlrd2="http://schemas.microsoft.com/office/spreadsheetml/2017/richdata2" ref="A14:XFD21">
    <sortCondition ref="A14:A21"/>
  </sortState>
  <dataConsolidate/>
  <conditionalFormatting sqref="G5:G10">
    <cfRule type="cellIs" dxfId="417" priority="2" operator="lessThan">
      <formula>0</formula>
    </cfRule>
    <cfRule type="cellIs" dxfId="416" priority="3" operator="equal">
      <formula>0</formula>
    </cfRule>
    <cfRule type="cellIs" dxfId="415" priority="4" operator="greaterThan">
      <formula>0</formula>
    </cfRule>
  </conditionalFormatting>
  <conditionalFormatting sqref="G13:G21">
    <cfRule type="cellIs" dxfId="414" priority="5" operator="equal">
      <formula>0</formula>
    </cfRule>
    <cfRule type="cellIs" dxfId="413" priority="6" operator="lessThan">
      <formula>0</formula>
    </cfRule>
    <cfRule type="cellIs" dxfId="412" priority="7"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C231410-9962-2F42-B38B-E3C484A5B1AA}">
            <xm:f>NOT(ISERROR(SEARCH("-",G26)))</xm:f>
            <xm:f>"-"</xm:f>
            <x14:dxf>
              <font>
                <color rgb="FF9C0006"/>
              </font>
              <fill>
                <patternFill>
                  <bgColor rgb="FFFFC7CE"/>
                </patternFill>
              </fill>
            </x14:dxf>
          </x14:cfRule>
          <xm:sqref>G26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T51"/>
  <sheetViews>
    <sheetView workbookViewId="0"/>
  </sheetViews>
  <sheetFormatPr defaultColWidth="8.44140625" defaultRowHeight="14.4"/>
  <cols>
    <col min="1" max="1" width="15.44140625" customWidth="1"/>
    <col min="2" max="2" width="46.6640625" customWidth="1"/>
    <col min="3" max="3" width="10.33203125" customWidth="1"/>
    <col min="4" max="4" width="14" customWidth="1"/>
    <col min="5" max="6" width="18.33203125" customWidth="1"/>
    <col min="7" max="7" width="22.33203125" customWidth="1"/>
    <col min="8" max="8" width="14.6640625" customWidth="1"/>
    <col min="9" max="9" width="17.44140625" customWidth="1"/>
    <col min="10" max="10" width="23.6640625" customWidth="1"/>
    <col min="11" max="11" width="18.109375" customWidth="1"/>
    <col min="12" max="12" width="13.44140625" customWidth="1"/>
    <col min="13" max="14" width="23.6640625" style="7" customWidth="1"/>
    <col min="15" max="15" width="25.109375" customWidth="1"/>
    <col min="16" max="16" width="28.109375" customWidth="1"/>
    <col min="18" max="20" width="17.44140625" customWidth="1"/>
  </cols>
  <sheetData>
    <row r="1" spans="1:20" ht="17.399999999999999">
      <c r="A1" s="128" t="s">
        <v>190</v>
      </c>
      <c r="B1" s="128" t="s">
        <v>191</v>
      </c>
      <c r="C1" s="128" t="s">
        <v>192</v>
      </c>
      <c r="D1" s="128" t="s">
        <v>193</v>
      </c>
      <c r="E1" s="128" t="s">
        <v>194</v>
      </c>
      <c r="F1" s="128" t="s">
        <v>195</v>
      </c>
      <c r="G1" s="128" t="s">
        <v>196</v>
      </c>
      <c r="H1" s="128" t="s">
        <v>197</v>
      </c>
      <c r="I1" s="128" t="s">
        <v>198</v>
      </c>
      <c r="J1" s="128" t="s">
        <v>199</v>
      </c>
      <c r="K1" s="128" t="s">
        <v>200</v>
      </c>
      <c r="L1" s="128" t="s">
        <v>201</v>
      </c>
      <c r="M1" s="128" t="s">
        <v>202</v>
      </c>
      <c r="N1" s="128" t="s">
        <v>203</v>
      </c>
      <c r="O1" s="128" t="s">
        <v>204</v>
      </c>
      <c r="P1" s="128" t="s">
        <v>205</v>
      </c>
      <c r="R1" s="6"/>
      <c r="S1" s="6"/>
      <c r="T1" s="6"/>
    </row>
    <row r="2" spans="1:20" ht="17.399999999999999">
      <c r="A2" s="129" t="s">
        <v>17</v>
      </c>
      <c r="B2" s="130"/>
      <c r="C2" s="131">
        <f>IF(B2&lt;&gt;"",((LEN(B2)-LEN(SUBSTITUTE(B2,",","")))/LEN(",")+1)+((LEN(B2)-LEN(SUBSTITUTE(B2,"/","")))/LEN("/")/2)- ((LEN(B2)-LEN(SUBSTITUTE(B2,"/","")))/LEN("/")),0)</f>
        <v>0</v>
      </c>
      <c r="D2" s="131">
        <f t="shared" ref="D2:D13" si="0">ROUND((((C2*7.5)/9)+(C2*7.5)), 2)</f>
        <v>0</v>
      </c>
      <c r="E2" s="127">
        <f>D2*B15</f>
        <v>0</v>
      </c>
      <c r="F2" s="132">
        <f>IF(B$16&lt;&gt;0,B$16*D2-E2,0)</f>
        <v>0</v>
      </c>
      <c r="G2" s="133">
        <f ca="1">IF(B16&lt;&gt;0,IF(ISREF(INDIRECT("'"&amp;"Wages "&amp;LEFT(A1,4)-1&amp;"'!A1"))=TRUE,INDIRECT(CONCATENATE("'Wages ",LEFT(A1,4)-1,"'!F11")) + INDIRECT(CONCATENATE("'Wages ",LEFT(A1,4)-1,"'!F12")) + INDIRECT(CONCATENATE("'Wages ",LEFT(A1,4)-1,"'!F13")),""),0)</f>
        <v>0</v>
      </c>
      <c r="H2" s="127">
        <f ca="1">IF(G2="",IF((((E2-I2)/4)-155)&gt;0,((((E2-I2)/4)-155)*0.12)*4,0),IF((((G2-I2)/4)-155)&gt;0,((((G2-I2)/4)-155)*0.12)*4,0))</f>
        <v>0</v>
      </c>
      <c r="I2" s="127">
        <f>IF(B$17&lt;&gt;"N",IF(G2="",E2*0.05,G2*0.05),0)</f>
        <v>0</v>
      </c>
      <c r="J2" s="127">
        <f>IF(E2&gt;11000,E2-11000*0.2,0)</f>
        <v>0</v>
      </c>
      <c r="K2" s="134">
        <f ca="1">IF(G2="",E2-H2-I2-J2,G2-H2-I2-J2)</f>
        <v>0</v>
      </c>
      <c r="L2" s="135" t="str">
        <f>TEXT(DATE(LEFT(A$1,4),IF(MONTH(DATEVALUE(A2&amp;" 1"))+1&gt;12,1,MONTH(DATEVALUE(A2&amp;" 1"))+1),1),"mmm")&amp;" " &amp;DAY(EOMONTH((DATE(LEFT(A$1,4),MONTH(DATEVALUE(A2&amp;" 1"))+1,1)),0)+1-WEEKDAY(EOMONTH((DATE(LEFT(A$1,4),MONTH(DATEVALUE(A2&amp;" 1"))+1,1)),0)+1-4))</f>
        <v>Feb 26</v>
      </c>
      <c r="M2" s="134"/>
      <c r="N2" s="134"/>
      <c r="O2" s="134"/>
      <c r="P2" s="131"/>
      <c r="R2" s="7"/>
      <c r="S2" s="7"/>
      <c r="T2" s="7"/>
    </row>
    <row r="3" spans="1:20" ht="17.399999999999999">
      <c r="A3" s="129" t="s">
        <v>29</v>
      </c>
      <c r="B3" s="130"/>
      <c r="C3" s="131">
        <f t="shared" ref="C3:C13" si="1">IF(B3&lt;&gt;"",((LEN(B3)-LEN(SUBSTITUTE(B3,",","")))/LEN(",")+1)+((LEN(B3)-LEN(SUBSTITUTE(B3,"/","")))/LEN("/")/2)- ((LEN(B3)-LEN(SUBSTITUTE(B3,"/","")))/LEN("/")),0)</f>
        <v>0</v>
      </c>
      <c r="D3" s="131">
        <f t="shared" si="0"/>
        <v>0</v>
      </c>
      <c r="E3" s="127">
        <f>D3*B15</f>
        <v>0</v>
      </c>
      <c r="F3" s="132">
        <f t="shared" ref="F3:F4" si="2">IF(B$16&lt;&gt;0,B$16*D3-E3,0)</f>
        <v>0</v>
      </c>
      <c r="G3" s="127"/>
      <c r="H3" s="127">
        <f t="shared" ref="H3:H4" si="3">IF(G3="",IF((((E3-I3)/4)-155)&gt;0,((((E3-I3)/4)-155)*0.12)*4,0),IF((((G3-I3)/4)-155)&gt;0,((((G3-I3)/4)-155)*0.12)*4,0))</f>
        <v>0</v>
      </c>
      <c r="I3" s="127">
        <f t="shared" ref="I3:I13" si="4">IF(B$17&lt;&gt;"N",IF(G3="",E3*0.05,G3*0.05),0)</f>
        <v>0</v>
      </c>
      <c r="J3" s="127">
        <f>IF(SUM(E$2:E3)&gt;11000,E3-11000*0.2,0)</f>
        <v>0</v>
      </c>
      <c r="K3" s="134">
        <f t="shared" ref="K3:K13" si="5">IF(G3="",E3-H3-I3-J3,G3-H3-I3-J3)</f>
        <v>0</v>
      </c>
      <c r="L3" s="135" t="str">
        <f t="shared" ref="L3:L13" si="6">TEXT(DATE(LEFT(A$1,4),IF(MONTH(DATEVALUE(A3&amp;" 1"))+1&gt;12,1,MONTH(DATEVALUE(A3&amp;" 1"))+1),1),"mmm")&amp;" " &amp;DAY(EOMONTH((DATE(LEFT(A$1,4),MONTH(DATEVALUE(A3&amp;" 1"))+1,1)),0)+1-WEEKDAY(EOMONTH((DATE(LEFT(A$1,4),MONTH(DATEVALUE(A3&amp;" 1"))+1,1)),0)+1-4))</f>
        <v>Mar 26</v>
      </c>
      <c r="M3" s="134"/>
      <c r="N3" s="134"/>
      <c r="O3" s="134"/>
      <c r="P3" s="131"/>
      <c r="R3" s="2"/>
      <c r="S3" s="2"/>
      <c r="T3" s="2"/>
    </row>
    <row r="4" spans="1:20" ht="17.399999999999999">
      <c r="A4" s="129" t="s">
        <v>37</v>
      </c>
      <c r="B4" s="130"/>
      <c r="C4" s="131">
        <f t="shared" si="1"/>
        <v>0</v>
      </c>
      <c r="D4" s="131">
        <f t="shared" si="0"/>
        <v>0</v>
      </c>
      <c r="E4" s="127">
        <f>D4*B15</f>
        <v>0</v>
      </c>
      <c r="F4" s="132">
        <f t="shared" si="2"/>
        <v>0</v>
      </c>
      <c r="G4" s="127"/>
      <c r="H4" s="127">
        <f t="shared" si="3"/>
        <v>0</v>
      </c>
      <c r="I4" s="127">
        <f t="shared" si="4"/>
        <v>0</v>
      </c>
      <c r="J4" s="127">
        <f>IF(SUM(E$2:E4)&gt;11000,E4-11000*0.2,0)</f>
        <v>0</v>
      </c>
      <c r="K4" s="134">
        <f t="shared" si="5"/>
        <v>0</v>
      </c>
      <c r="L4" s="135" t="str">
        <f t="shared" si="6"/>
        <v>Apr 30</v>
      </c>
      <c r="M4" s="134"/>
      <c r="N4" s="134"/>
      <c r="O4" s="134"/>
      <c r="P4" s="131"/>
      <c r="R4" s="3"/>
      <c r="S4" s="3"/>
      <c r="T4" s="8"/>
    </row>
    <row r="5" spans="1:20" ht="17.399999999999999">
      <c r="A5" s="129" t="s">
        <v>53</v>
      </c>
      <c r="B5" s="130"/>
      <c r="C5" s="131">
        <f t="shared" si="1"/>
        <v>0</v>
      </c>
      <c r="D5" s="131">
        <f t="shared" si="0"/>
        <v>0</v>
      </c>
      <c r="E5" s="127">
        <f>D5*B15</f>
        <v>0</v>
      </c>
      <c r="F5" s="136">
        <f>IF(B$16&lt;&gt;0,B$16*D5-E5,0)</f>
        <v>0</v>
      </c>
      <c r="G5" s="132">
        <f>IF(B16&lt;&gt;0,E5+SUM(F2:F4),0)</f>
        <v>0</v>
      </c>
      <c r="H5" s="127">
        <f>IF(G5="",IF((((E5-I5)/4)-155)&gt;0,((((E5-I5)/4)-155)*0.12)*4,0),IF((((G5-I5)/4)-155)&gt;0,((((G5-I5)/4)-155)*0.12)*4,0))</f>
        <v>0</v>
      </c>
      <c r="I5" s="127">
        <f t="shared" si="4"/>
        <v>0</v>
      </c>
      <c r="J5" s="127">
        <f>IF(SUM(E$2:E5)&gt;11000,E5-11000*0.2,0)</f>
        <v>0</v>
      </c>
      <c r="K5" s="134">
        <f t="shared" si="5"/>
        <v>0</v>
      </c>
      <c r="L5" s="135" t="str">
        <f t="shared" si="6"/>
        <v>May 28</v>
      </c>
      <c r="M5" s="134"/>
      <c r="N5" s="134"/>
      <c r="O5" s="134"/>
      <c r="P5" s="131"/>
      <c r="R5" s="3"/>
      <c r="S5" s="3"/>
      <c r="T5" s="8"/>
    </row>
    <row r="6" spans="1:20" ht="34.799999999999997">
      <c r="A6" s="129" t="s">
        <v>59</v>
      </c>
      <c r="B6" s="137" t="s">
        <v>206</v>
      </c>
      <c r="C6" s="131">
        <f t="shared" si="1"/>
        <v>14</v>
      </c>
      <c r="D6" s="131">
        <f>ROUND((((C6*7.5)/9)+(C6*7.5)), 2)+6.33+0.89</f>
        <v>123.89</v>
      </c>
      <c r="E6" s="127">
        <f>D6*B15</f>
        <v>905.66067799999996</v>
      </c>
      <c r="F6" s="136">
        <f>IF(B$16&lt;&gt;0,B$16*D6-E6,0)</f>
        <v>0</v>
      </c>
      <c r="G6" s="127"/>
      <c r="H6" s="127">
        <f t="shared" ref="H6:H8" si="7">IF(G6="",IF((((E6-I6)/4)-155)&gt;0,((((E6-I6)/4)-155)*0.12)*4,0),IF((((G6-I6)/4)-155)&gt;0,((((G6-I6)/4)-155)*0.12)*4,0))</f>
        <v>34.279281359999992</v>
      </c>
      <c r="I6" s="127">
        <f t="shared" si="4"/>
        <v>0</v>
      </c>
      <c r="J6" s="127">
        <f>IF(SUM(E$2:E6)&gt;11000,E6-11000*0.2,0)</f>
        <v>0</v>
      </c>
      <c r="K6" s="134">
        <f t="shared" si="5"/>
        <v>871.38139663999993</v>
      </c>
      <c r="L6" s="135" t="str">
        <f t="shared" si="6"/>
        <v>Jun 25</v>
      </c>
      <c r="M6" s="134">
        <v>630</v>
      </c>
      <c r="N6" s="134">
        <f>K6-M6</f>
        <v>241.38139663999993</v>
      </c>
      <c r="O6" s="134"/>
      <c r="P6" s="146"/>
      <c r="R6" s="3"/>
      <c r="S6" s="3"/>
      <c r="T6" s="8"/>
    </row>
    <row r="7" spans="1:20" ht="34.799999999999997">
      <c r="A7" s="129" t="s">
        <v>69</v>
      </c>
      <c r="B7" s="137" t="s">
        <v>207</v>
      </c>
      <c r="C7" s="131">
        <f t="shared" si="1"/>
        <v>20</v>
      </c>
      <c r="D7" s="131">
        <f t="shared" si="0"/>
        <v>166.67</v>
      </c>
      <c r="E7" s="127">
        <f>D7*B15</f>
        <v>1218.391034</v>
      </c>
      <c r="F7" s="136">
        <f>IF(B$16&lt;&gt;0,B$16*D7-E7,0)</f>
        <v>0</v>
      </c>
      <c r="G7" s="127"/>
      <c r="H7" s="127">
        <f t="shared" si="7"/>
        <v>71.806924080000002</v>
      </c>
      <c r="I7" s="127">
        <f t="shared" si="4"/>
        <v>0</v>
      </c>
      <c r="J7" s="127">
        <f>IF(SUM(E$2:E7)&gt;11000,E7-11000*0.2,0)</f>
        <v>0</v>
      </c>
      <c r="K7" s="134">
        <f t="shared" si="5"/>
        <v>1146.5841099199999</v>
      </c>
      <c r="L7" s="135" t="str">
        <f t="shared" si="6"/>
        <v>Jul 30</v>
      </c>
      <c r="M7" s="134">
        <v>915.53</v>
      </c>
      <c r="N7" s="134">
        <f t="shared" ref="N7:N8" si="8">K7-M7</f>
        <v>231.05410991999997</v>
      </c>
      <c r="O7" s="134">
        <v>400</v>
      </c>
      <c r="P7" s="148">
        <v>42671</v>
      </c>
      <c r="R7" s="3"/>
      <c r="S7" s="3"/>
      <c r="T7" s="8"/>
    </row>
    <row r="8" spans="1:20" ht="34.799999999999997">
      <c r="A8" s="129" t="s">
        <v>81</v>
      </c>
      <c r="B8" s="137" t="s">
        <v>208</v>
      </c>
      <c r="C8" s="131">
        <f t="shared" si="1"/>
        <v>15</v>
      </c>
      <c r="D8" s="131">
        <f>ROUND((((C8*7.5)/9)+(C8*7.5)), 2)-0.83</f>
        <v>124.17</v>
      </c>
      <c r="E8" s="127">
        <f>D8*B15</f>
        <v>907.70753400000001</v>
      </c>
      <c r="F8" s="138">
        <f>IF(B$16&lt;&gt;0,B$16*D8-E8,0)</f>
        <v>0</v>
      </c>
      <c r="G8" s="136">
        <f>IF(B16&lt;&gt;0,E8+SUM(F5:F7),0)</f>
        <v>0</v>
      </c>
      <c r="H8" s="127">
        <f t="shared" si="7"/>
        <v>0</v>
      </c>
      <c r="I8" s="127">
        <f t="shared" si="4"/>
        <v>0</v>
      </c>
      <c r="J8" s="127">
        <f>IF(SUM(E$2:E8)&gt;11000,E8-11000*0.2,0)</f>
        <v>0</v>
      </c>
      <c r="K8" s="134">
        <f t="shared" si="5"/>
        <v>0</v>
      </c>
      <c r="L8" s="135" t="str">
        <f t="shared" si="6"/>
        <v>Aug 27</v>
      </c>
      <c r="M8" s="134">
        <v>714.26</v>
      </c>
      <c r="N8" s="134">
        <f t="shared" si="8"/>
        <v>-714.26</v>
      </c>
      <c r="O8" s="134">
        <v>106.02</v>
      </c>
      <c r="P8" s="148">
        <v>42672</v>
      </c>
      <c r="R8" s="3"/>
      <c r="S8" s="3"/>
      <c r="T8" s="8"/>
    </row>
    <row r="9" spans="1:20" ht="17.399999999999999">
      <c r="A9" s="129" t="s">
        <v>89</v>
      </c>
      <c r="B9" s="137" t="s">
        <v>209</v>
      </c>
      <c r="C9" s="131">
        <f t="shared" si="1"/>
        <v>3</v>
      </c>
      <c r="D9" s="131">
        <f t="shared" si="0"/>
        <v>25</v>
      </c>
      <c r="E9" s="127">
        <f>D9*B15</f>
        <v>182.755</v>
      </c>
      <c r="F9" s="138">
        <f t="shared" ref="F9:F10" si="9">IF(B$16&lt;&gt;0,B$16*D9-E9,0)</f>
        <v>0</v>
      </c>
      <c r="G9" s="127"/>
      <c r="H9" s="127">
        <f>IF(G9="",IF((((E9-I9)/4)-155)&gt;0,((((E9-I9)/4)-155)*0.12)*4,0),IF((((G9-I9)/4)-155)&gt;0,((((G9-I9)/4)-155)*0.12)*4,0))</f>
        <v>0</v>
      </c>
      <c r="I9" s="127">
        <f t="shared" si="4"/>
        <v>0</v>
      </c>
      <c r="J9" s="127">
        <f>IF(SUM(E$2:E9)&gt;11000,E9-11000*0.2,0)</f>
        <v>0</v>
      </c>
      <c r="K9" s="134">
        <f t="shared" si="5"/>
        <v>182.755</v>
      </c>
      <c r="L9" s="135" t="str">
        <f t="shared" si="6"/>
        <v>Sep 24</v>
      </c>
      <c r="M9" s="134">
        <v>225.71</v>
      </c>
      <c r="N9" s="134"/>
      <c r="O9" s="134">
        <v>170.96</v>
      </c>
      <c r="P9" s="148">
        <v>42700</v>
      </c>
      <c r="R9" s="3"/>
      <c r="S9" s="3"/>
      <c r="T9" s="8"/>
    </row>
    <row r="10" spans="1:20" ht="17.399999999999999">
      <c r="A10" s="129" t="s">
        <v>93</v>
      </c>
      <c r="B10" s="137"/>
      <c r="C10" s="131">
        <f t="shared" si="1"/>
        <v>0</v>
      </c>
      <c r="D10" s="131">
        <f t="shared" si="0"/>
        <v>0</v>
      </c>
      <c r="E10" s="127">
        <f>D10*B15</f>
        <v>0</v>
      </c>
      <c r="F10" s="138">
        <f t="shared" si="9"/>
        <v>0</v>
      </c>
      <c r="G10" s="127"/>
      <c r="H10" s="127">
        <f t="shared" ref="H10:H12" si="10">IF(G10="",IF((((E10-I10)/4)-155)&gt;0,((((E10-I10)/4)-155)*0.12)*4,0),IF((((G10-I10)/4)-155)&gt;0,((((G10-I10)/4)-155)*0.12)*4,0))</f>
        <v>0</v>
      </c>
      <c r="I10" s="127">
        <f t="shared" si="4"/>
        <v>0</v>
      </c>
      <c r="J10" s="127">
        <f>IF(SUM(E$2:E10)&gt;11000,E10-11000*0.2,0)</f>
        <v>0</v>
      </c>
      <c r="K10" s="134">
        <f t="shared" si="5"/>
        <v>0</v>
      </c>
      <c r="L10" s="135" t="str">
        <f t="shared" si="6"/>
        <v>Oct 29</v>
      </c>
      <c r="M10" s="134"/>
      <c r="N10" s="134"/>
      <c r="O10" s="134"/>
      <c r="P10" s="148"/>
      <c r="R10" s="3"/>
      <c r="S10" s="3"/>
      <c r="T10" s="8"/>
    </row>
    <row r="11" spans="1:20" ht="17.399999999999999">
      <c r="A11" s="129" t="s">
        <v>101</v>
      </c>
      <c r="B11" s="137"/>
      <c r="C11" s="131">
        <f t="shared" si="1"/>
        <v>0</v>
      </c>
      <c r="D11" s="131">
        <f t="shared" si="0"/>
        <v>0</v>
      </c>
      <c r="E11" s="127">
        <f>D11*B15</f>
        <v>0</v>
      </c>
      <c r="F11" s="133">
        <f>IF(B$16&lt;&gt;0,B$16*D11-E11,0)</f>
        <v>0</v>
      </c>
      <c r="G11" s="138">
        <f>IF(B16&lt;&gt;0,E11+SUM(F8:F10),0)</f>
        <v>0</v>
      </c>
      <c r="H11" s="127">
        <f t="shared" si="10"/>
        <v>0</v>
      </c>
      <c r="I11" s="127">
        <f t="shared" si="4"/>
        <v>0</v>
      </c>
      <c r="J11" s="127">
        <f>IF(SUM(E$2:E11)&gt;11000,E11-11000*0.2,0)</f>
        <v>0</v>
      </c>
      <c r="K11" s="134">
        <f t="shared" si="5"/>
        <v>0</v>
      </c>
      <c r="L11" s="135" t="str">
        <f t="shared" si="6"/>
        <v>Nov 26</v>
      </c>
      <c r="M11" s="134"/>
      <c r="N11" s="134"/>
      <c r="O11" s="134"/>
      <c r="P11" s="148"/>
    </row>
    <row r="12" spans="1:20" ht="17.399999999999999">
      <c r="A12" s="129" t="s">
        <v>111</v>
      </c>
      <c r="B12" s="137"/>
      <c r="C12" s="131">
        <f t="shared" si="1"/>
        <v>0</v>
      </c>
      <c r="D12" s="131">
        <f t="shared" si="0"/>
        <v>0</v>
      </c>
      <c r="E12" s="127">
        <f>D12*B15</f>
        <v>0</v>
      </c>
      <c r="F12" s="133">
        <f t="shared" ref="F12:F13" si="11">IF(B$16&lt;&gt;0,B$16*D12-E12,0)</f>
        <v>0</v>
      </c>
      <c r="G12" s="127"/>
      <c r="H12" s="127">
        <f t="shared" si="10"/>
        <v>0</v>
      </c>
      <c r="I12" s="127">
        <f t="shared" si="4"/>
        <v>0</v>
      </c>
      <c r="J12" s="127">
        <f>IF(SUM(E$2:E12)&gt;11000,E12-11000*0.2,0)</f>
        <v>0</v>
      </c>
      <c r="K12" s="134">
        <f t="shared" si="5"/>
        <v>0</v>
      </c>
      <c r="L12" s="135" t="str">
        <f>"Dec 24"</f>
        <v>Dec 24</v>
      </c>
      <c r="M12" s="144"/>
      <c r="N12" s="144"/>
      <c r="P12" s="131"/>
    </row>
    <row r="13" spans="1:20" ht="17.399999999999999">
      <c r="A13" s="129" t="s">
        <v>118</v>
      </c>
      <c r="B13" s="137"/>
      <c r="C13" s="131">
        <f t="shared" si="1"/>
        <v>0</v>
      </c>
      <c r="D13" s="131">
        <f t="shared" si="0"/>
        <v>0</v>
      </c>
      <c r="E13" s="127">
        <f>D13*B15</f>
        <v>0</v>
      </c>
      <c r="F13" s="133">
        <f t="shared" si="11"/>
        <v>0</v>
      </c>
      <c r="G13" s="127"/>
      <c r="H13" s="127">
        <f>IF(G13="",IF((((E13-I13)/4)-155)&gt;0,((((E13-I13)/4)-155)*0.12)*4,0),IF((((G13-I13)/4)-155)&gt;0,((((G13-I13)/4)-155)*0.12)*4,0))</f>
        <v>0</v>
      </c>
      <c r="I13" s="127">
        <f t="shared" si="4"/>
        <v>0</v>
      </c>
      <c r="J13" s="127">
        <f>IF(SUM(E$2:E13)&gt;11000,E13-11000*0.2,0)</f>
        <v>0</v>
      </c>
      <c r="K13" s="134">
        <f t="shared" si="5"/>
        <v>0</v>
      </c>
      <c r="L13" s="135" t="str">
        <f t="shared" si="6"/>
        <v>Jan 28</v>
      </c>
      <c r="M13" s="144"/>
      <c r="N13" s="144"/>
      <c r="P13" s="131"/>
    </row>
    <row r="14" spans="1:20" ht="47.25" customHeight="1">
      <c r="A14" s="139"/>
      <c r="B14" s="130"/>
      <c r="C14" s="131"/>
      <c r="D14" s="131"/>
      <c r="E14" s="139"/>
      <c r="F14" s="127"/>
      <c r="G14" s="140"/>
      <c r="H14" s="127"/>
      <c r="I14" s="141" t="str">
        <f>"SUM: " &amp; ROUND(SUM(I8:I13),2)</f>
        <v>SUM: 0</v>
      </c>
      <c r="J14" s="139"/>
      <c r="K14" s="127" t="str">
        <f ca="1">"SUM: "&amp; ROUND(SUM(K2:K13),2)</f>
        <v>SUM: 2200.72</v>
      </c>
      <c r="L14" s="139"/>
      <c r="M14" s="127" t="str">
        <f>"SUM: " &amp; SUM(M2:M13)</f>
        <v>SUM: 2485.5</v>
      </c>
      <c r="N14" s="127" t="str">
        <f>"SUM: "&amp; ROUND(SUM(N2:N13),2)</f>
        <v>SUM: -241.82</v>
      </c>
      <c r="O14" s="134" t="str">
        <f>"SUM: "&amp; ROUND(SUM(O2:O13),2)</f>
        <v>SUM: 676.98</v>
      </c>
    </row>
    <row r="15" spans="1:20" ht="17.399999999999999">
      <c r="A15" s="129" t="s">
        <v>210</v>
      </c>
      <c r="B15" s="142">
        <v>7.3102</v>
      </c>
      <c r="C15" s="131"/>
      <c r="D15" s="131"/>
      <c r="E15" s="139"/>
      <c r="F15" s="127"/>
      <c r="G15" s="143"/>
      <c r="H15" s="127"/>
      <c r="I15" s="139"/>
      <c r="J15" s="139"/>
      <c r="K15" s="143"/>
      <c r="L15" s="139"/>
      <c r="M15" s="145"/>
      <c r="N15" s="145"/>
    </row>
    <row r="16" spans="1:20" ht="17.399999999999999">
      <c r="A16" s="129" t="s">
        <v>211</v>
      </c>
      <c r="B16" s="147">
        <v>0</v>
      </c>
      <c r="C16" s="1"/>
      <c r="D16" s="1"/>
      <c r="F16" s="3"/>
      <c r="H16" s="3"/>
      <c r="K16" s="38"/>
    </row>
    <row r="17" spans="1:10" ht="17.399999999999999">
      <c r="A17" s="129" t="s">
        <v>212</v>
      </c>
      <c r="B17" s="4" t="s">
        <v>213</v>
      </c>
      <c r="G17" s="73"/>
      <c r="I17" s="11"/>
      <c r="J17" s="11"/>
    </row>
    <row r="18" spans="1:10" ht="18" thickBot="1">
      <c r="B18" s="1"/>
      <c r="D18" s="3"/>
      <c r="E18" s="11"/>
      <c r="F18" s="3"/>
      <c r="H18" s="38"/>
    </row>
    <row r="19" spans="1:10" ht="18">
      <c r="A19" s="149" t="s">
        <v>214</v>
      </c>
      <c r="B19" s="150"/>
      <c r="C19" s="150"/>
      <c r="D19" s="151"/>
      <c r="E19" s="152"/>
      <c r="F19" s="3"/>
      <c r="H19" s="38"/>
    </row>
    <row r="20" spans="1:10" ht="18" thickBot="1">
      <c r="A20" s="153"/>
      <c r="B20" s="154"/>
      <c r="C20" s="154"/>
      <c r="D20" s="155"/>
      <c r="E20" s="156"/>
      <c r="F20" s="3"/>
      <c r="H20" s="38"/>
    </row>
    <row r="21" spans="1:10" ht="17.399999999999999">
      <c r="A21" s="157">
        <v>41820</v>
      </c>
      <c r="B21" s="158" t="s">
        <v>215</v>
      </c>
      <c r="C21" s="159">
        <v>7.5</v>
      </c>
      <c r="D21" s="160"/>
      <c r="E21" s="161"/>
      <c r="F21" s="3"/>
      <c r="H21" s="38"/>
      <c r="I21" s="11"/>
      <c r="J21" s="11"/>
    </row>
    <row r="22" spans="1:10" ht="17.399999999999999">
      <c r="A22" s="157">
        <v>41821</v>
      </c>
      <c r="B22" s="158" t="s">
        <v>215</v>
      </c>
      <c r="C22" s="159">
        <v>7.5</v>
      </c>
      <c r="D22" s="160"/>
      <c r="E22" s="161"/>
      <c r="F22" s="3"/>
      <c r="H22" s="38"/>
    </row>
    <row r="23" spans="1:10">
      <c r="A23" s="157">
        <v>41822</v>
      </c>
      <c r="B23" s="158" t="s">
        <v>215</v>
      </c>
      <c r="C23" s="159">
        <v>7.5</v>
      </c>
      <c r="D23" s="160"/>
      <c r="E23" s="161"/>
      <c r="F23" s="38"/>
      <c r="G23" s="38"/>
    </row>
    <row r="24" spans="1:10">
      <c r="A24" s="157">
        <v>41823</v>
      </c>
      <c r="B24" s="158" t="s">
        <v>215</v>
      </c>
      <c r="C24" s="159">
        <v>7.5</v>
      </c>
      <c r="D24" s="160"/>
      <c r="E24" s="161"/>
    </row>
    <row r="25" spans="1:10">
      <c r="A25" s="157">
        <v>41824</v>
      </c>
      <c r="B25" s="158" t="s">
        <v>215</v>
      </c>
      <c r="C25" s="159">
        <v>7.5</v>
      </c>
      <c r="D25" s="160"/>
      <c r="E25" s="161"/>
    </row>
    <row r="26" spans="1:10">
      <c r="A26" s="157">
        <v>41827</v>
      </c>
      <c r="B26" s="158" t="s">
        <v>215</v>
      </c>
      <c r="C26" s="159">
        <v>7.5</v>
      </c>
      <c r="D26" s="160"/>
      <c r="E26" s="161"/>
    </row>
    <row r="27" spans="1:10">
      <c r="A27" s="157">
        <v>41828</v>
      </c>
      <c r="B27" s="158" t="s">
        <v>215</v>
      </c>
      <c r="C27" s="159">
        <v>7.5</v>
      </c>
      <c r="D27" s="160"/>
      <c r="E27" s="161"/>
    </row>
    <row r="28" spans="1:10">
      <c r="A28" s="157">
        <v>41829</v>
      </c>
      <c r="B28" s="158" t="s">
        <v>215</v>
      </c>
      <c r="C28" s="159">
        <v>7.5</v>
      </c>
      <c r="D28" s="160"/>
      <c r="E28" s="161"/>
    </row>
    <row r="29" spans="1:10">
      <c r="A29" s="157">
        <v>41830</v>
      </c>
      <c r="B29" s="158" t="s">
        <v>215</v>
      </c>
      <c r="C29" s="159">
        <v>7.5</v>
      </c>
      <c r="D29" s="160"/>
      <c r="E29" s="161"/>
    </row>
    <row r="30" spans="1:10">
      <c r="A30" s="157">
        <v>41831</v>
      </c>
      <c r="B30" s="158" t="s">
        <v>215</v>
      </c>
      <c r="C30" s="159">
        <v>7.5</v>
      </c>
      <c r="D30" s="160"/>
      <c r="E30" s="161"/>
    </row>
    <row r="31" spans="1:10">
      <c r="A31" s="162" t="s">
        <v>216</v>
      </c>
      <c r="B31" s="159"/>
      <c r="C31" s="163">
        <f>SUM(C21:C30)/9</f>
        <v>8.3333333333333339</v>
      </c>
      <c r="D31" s="160"/>
      <c r="E31" s="161"/>
    </row>
    <row r="32" spans="1:10" ht="15" thickBot="1">
      <c r="A32" s="164" t="s">
        <v>217</v>
      </c>
      <c r="B32" s="165"/>
      <c r="C32" s="166"/>
      <c r="D32" s="167">
        <f>SUM(C21:C31)</f>
        <v>83.333333333333329</v>
      </c>
      <c r="E32" s="168">
        <f>SUM(D32*7.3102)</f>
        <v>609.18333333333328</v>
      </c>
    </row>
    <row r="33" spans="1:5">
      <c r="A33" s="169"/>
      <c r="B33" s="150"/>
      <c r="C33" s="150"/>
      <c r="D33" s="151"/>
      <c r="E33" s="152"/>
    </row>
    <row r="34" spans="1:5" ht="15" thickBot="1">
      <c r="A34" s="153" t="s">
        <v>218</v>
      </c>
      <c r="B34" s="154"/>
      <c r="C34" s="154"/>
      <c r="D34" s="167">
        <f>SUM(D32+D15)</f>
        <v>83.333333333333329</v>
      </c>
      <c r="E34" s="170">
        <f>SUM(E32+E15)</f>
        <v>609.18333333333328</v>
      </c>
    </row>
    <row r="35" spans="1:5">
      <c r="B35" s="55"/>
    </row>
    <row r="38" spans="1:5">
      <c r="A38" s="56"/>
      <c r="B38" s="55"/>
    </row>
    <row r="39" spans="1:5">
      <c r="A39" s="56"/>
      <c r="B39" s="55"/>
    </row>
    <row r="40" spans="1:5">
      <c r="A40" s="56"/>
      <c r="B40" s="55"/>
    </row>
    <row r="41" spans="1:5">
      <c r="A41" s="56"/>
      <c r="B41" s="55"/>
    </row>
    <row r="42" spans="1:5">
      <c r="A42" s="56"/>
      <c r="B42" s="55"/>
    </row>
    <row r="43" spans="1:5">
      <c r="A43" s="56"/>
      <c r="B43" s="55"/>
    </row>
    <row r="44" spans="1:5">
      <c r="A44" s="56"/>
      <c r="B44" s="55"/>
    </row>
    <row r="45" spans="1:5">
      <c r="A45" s="56"/>
      <c r="B45" s="55"/>
    </row>
    <row r="46" spans="1:5">
      <c r="A46" s="56"/>
      <c r="B46" s="55"/>
    </row>
    <row r="47" spans="1:5">
      <c r="A47" s="56"/>
      <c r="B47" s="55"/>
    </row>
    <row r="48" spans="1:5">
      <c r="A48" s="56"/>
      <c r="B48" s="55"/>
    </row>
    <row r="49" spans="1:2">
      <c r="A49" s="56"/>
      <c r="B49" s="55"/>
    </row>
    <row r="50" spans="1:2">
      <c r="A50" s="56"/>
      <c r="B50" s="55"/>
    </row>
    <row r="51" spans="1:2">
      <c r="A51" s="56"/>
      <c r="B51" s="55"/>
    </row>
  </sheetData>
  <conditionalFormatting sqref="L2:L13">
    <cfRule type="expression" dxfId="410" priority="1">
      <formula>(CONCACTENATE(L2," ",LEFT(A1,4)))&gt;TODAY()</formula>
    </cfRule>
  </conditionalFormatting>
  <conditionalFormatting sqref="M2:N13">
    <cfRule type="cellIs" dxfId="409" priority="2" operator="greaterThan">
      <formula>0</formula>
    </cfRule>
  </conditionalFormatting>
  <pageMargins left="0" right="0" top="0" bottom="0" header="0" footer="0"/>
  <ignoredErrors>
    <ignoredError sqref="L12" formula="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S51"/>
  <sheetViews>
    <sheetView workbookViewId="0"/>
  </sheetViews>
  <sheetFormatPr defaultColWidth="8.44140625" defaultRowHeight="14.4"/>
  <cols>
    <col min="1" max="1" width="15.44140625" customWidth="1"/>
    <col min="2" max="2" width="46.6640625" customWidth="1"/>
    <col min="3" max="3" width="10.33203125" customWidth="1"/>
    <col min="4" max="4" width="14" customWidth="1"/>
    <col min="5" max="6" width="18.33203125" customWidth="1"/>
    <col min="7" max="7" width="22.33203125" customWidth="1"/>
    <col min="8" max="8" width="14.6640625" customWidth="1"/>
    <col min="9" max="9" width="17.44140625" customWidth="1"/>
    <col min="10" max="10" width="23.6640625" customWidth="1"/>
    <col min="11" max="11" width="18.109375" customWidth="1"/>
    <col min="12" max="12" width="13.44140625" customWidth="1"/>
    <col min="13" max="13" width="23.6640625" style="7" customWidth="1"/>
    <col min="14" max="14" width="17.44140625" customWidth="1"/>
    <col min="15" max="15" width="28.109375" customWidth="1"/>
    <col min="17" max="19" width="17.44140625" customWidth="1"/>
  </cols>
  <sheetData>
    <row r="1" spans="1:19" ht="17.399999999999999">
      <c r="A1" s="128" t="s">
        <v>219</v>
      </c>
      <c r="B1" s="128" t="s">
        <v>191</v>
      </c>
      <c r="C1" s="128" t="s">
        <v>192</v>
      </c>
      <c r="D1" s="128" t="s">
        <v>193</v>
      </c>
      <c r="E1" s="128" t="s">
        <v>194</v>
      </c>
      <c r="F1" s="128" t="s">
        <v>195</v>
      </c>
      <c r="G1" s="128" t="s">
        <v>196</v>
      </c>
      <c r="H1" s="128" t="s">
        <v>197</v>
      </c>
      <c r="I1" s="128" t="s">
        <v>198</v>
      </c>
      <c r="J1" s="128" t="s">
        <v>199</v>
      </c>
      <c r="K1" s="128" t="s">
        <v>200</v>
      </c>
      <c r="L1" s="128" t="s">
        <v>201</v>
      </c>
      <c r="M1" s="128" t="s">
        <v>202</v>
      </c>
      <c r="N1" s="128" t="s">
        <v>220</v>
      </c>
      <c r="O1" s="128" t="s">
        <v>205</v>
      </c>
      <c r="Q1" s="6"/>
      <c r="R1" s="6"/>
      <c r="S1" s="6"/>
    </row>
    <row r="2" spans="1:19" ht="17.399999999999999">
      <c r="A2" s="129" t="s">
        <v>17</v>
      </c>
      <c r="B2" s="130"/>
      <c r="C2" s="131">
        <f>IF(B2&lt;&gt;"",((LEN(B2)-LEN(SUBSTITUTE(B2,",","")))/LEN(",")+1)+((LEN(B2)-LEN(SUBSTITUTE(B2,"/","")))/LEN("/")/2)- ((LEN(B2)-LEN(SUBSTITUTE(B2,"/","")))/LEN("/")),0)</f>
        <v>0</v>
      </c>
      <c r="D2" s="131">
        <f t="shared" ref="D2:D13" si="0">ROUND((((C2*7.5)/9)+(C2*7.5)), 2)</f>
        <v>0</v>
      </c>
      <c r="E2" s="127">
        <f>D2*B15</f>
        <v>0</v>
      </c>
      <c r="F2" s="132">
        <f>B$16*D2-E2</f>
        <v>0</v>
      </c>
      <c r="G2" s="133">
        <f ca="1">IF(B16&lt;&gt;0,IF(ISREF(INDIRECT("'"&amp;"Wages "&amp;LEFT(A1,4)-1&amp;"'!A1"))=TRUE,INDIRECT(CONCATENATE("'Wages ",LEFT(A1,4)-1,"'!F11")) + INDIRECT(CONCATENATE("'Wages ",LEFT(A1,4)-1,"'!F12")) + INDIRECT(CONCATENATE("'Wages ",LEFT(A1,4)-1,"'!F13")),""),0)</f>
        <v>0</v>
      </c>
      <c r="H2" s="127">
        <f ca="1">IF(G2="",IF((((E2-I2)/4)-155)&gt;0,((((E2-I2)/4)-155)*0.12)*4,0),IF((((G2-I2)/4)-155)&gt;0,((((G2-I2)/4)-155)*0.12)*4,0))</f>
        <v>0</v>
      </c>
      <c r="I2" s="127">
        <f ca="1">IF(G2="",E2*0.05,G2*0.05)</f>
        <v>0</v>
      </c>
      <c r="J2" s="127">
        <f>IF(E2&gt;11000,E2-11000*0.2,0)</f>
        <v>0</v>
      </c>
      <c r="K2" s="134">
        <f ca="1">IF(G2="",E2-H2-I2-J2,G2-H2-I2-J2)</f>
        <v>0</v>
      </c>
      <c r="L2" s="135" t="str">
        <f>TEXT(DATE(LEFT(A$1,4),IF(MONTH(DATEVALUE(A2&amp;" 1"))+1&gt;12,1,MONTH(DATEVALUE(A2&amp;" 1"))+1),1),"mmm")&amp;" " &amp;DAY(EOMONTH((DATE(LEFT(A$1,4),MONTH(DATEVALUE(A2&amp;" 1"))+1,1)),0)+1-WEEKDAY(EOMONTH((DATE(LEFT(A$1,4),MONTH(DATEVALUE(A2&amp;" 1"))+1,1)),0)+1-4))</f>
        <v>Feb 25</v>
      </c>
      <c r="M2" s="134"/>
      <c r="N2" s="134"/>
      <c r="O2" s="131"/>
      <c r="Q2" s="7"/>
      <c r="R2" s="7"/>
      <c r="S2" s="7"/>
    </row>
    <row r="3" spans="1:19" ht="17.399999999999999">
      <c r="A3" s="129" t="s">
        <v>29</v>
      </c>
      <c r="B3" s="130"/>
      <c r="C3" s="131">
        <f t="shared" ref="C3:C13" si="1">IF(B3&lt;&gt;"",((LEN(B3)-LEN(SUBSTITUTE(B3,",","")))/LEN(",")+1)+((LEN(B3)-LEN(SUBSTITUTE(B3,"/","")))/LEN("/")/2)- ((LEN(B3)-LEN(SUBSTITUTE(B3,"/","")))/LEN("/")),0)</f>
        <v>0</v>
      </c>
      <c r="D3" s="131">
        <f t="shared" si="0"/>
        <v>0</v>
      </c>
      <c r="E3" s="127">
        <f>D3*B15</f>
        <v>0</v>
      </c>
      <c r="F3" s="132">
        <f t="shared" ref="F3:F4" si="2">B$16*D3-E3</f>
        <v>0</v>
      </c>
      <c r="G3" s="127"/>
      <c r="H3" s="127">
        <f t="shared" ref="H3:H4" si="3">IF(G3="",IF((((E3-I3)/4)-155)&gt;0,((((E3-I3)/4)-155)*0.12)*4,0),IF((((G3-I3)/4)-155)&gt;0,((((G3-I3)/4)-155)*0.12)*4,0))</f>
        <v>0</v>
      </c>
      <c r="I3" s="127">
        <f t="shared" ref="I3:I8" si="4">IF(G3="",E3*0.05,G3*0.05)</f>
        <v>0</v>
      </c>
      <c r="J3" s="127">
        <f>IF(SUM(E$2:E3)&gt;11000,E3-11000*0.2,0)</f>
        <v>0</v>
      </c>
      <c r="K3" s="134">
        <f t="shared" ref="K3:K13" si="5">IF(G3="",E3-H3-I3-J3,G3-H3-I3-J3)</f>
        <v>0</v>
      </c>
      <c r="L3" s="135" t="str">
        <f t="shared" ref="L3:L13" si="6">TEXT(DATE(LEFT(A$1,4),IF(MONTH(DATEVALUE(A3&amp;" 1"))+1&gt;12,1,MONTH(DATEVALUE(A3&amp;" 1"))+1),1),"mmm")&amp;" " &amp;DAY(EOMONTH((DATE(LEFT(A$1,4),MONTH(DATEVALUE(A3&amp;" 1"))+1,1)),0)+1-WEEKDAY(EOMONTH((DATE(LEFT(A$1,4),MONTH(DATEVALUE(A3&amp;" 1"))+1,1)),0)+1-4))</f>
        <v>Mar 25</v>
      </c>
      <c r="M3" s="134"/>
      <c r="N3" s="134"/>
      <c r="O3" s="131"/>
      <c r="Q3" s="2"/>
      <c r="R3" s="2"/>
      <c r="S3" s="2"/>
    </row>
    <row r="4" spans="1:19" ht="17.399999999999999">
      <c r="A4" s="129" t="s">
        <v>37</v>
      </c>
      <c r="B4" s="130"/>
      <c r="C4" s="131">
        <f t="shared" si="1"/>
        <v>0</v>
      </c>
      <c r="D4" s="131">
        <f t="shared" si="0"/>
        <v>0</v>
      </c>
      <c r="E4" s="127">
        <f>D4*B15</f>
        <v>0</v>
      </c>
      <c r="F4" s="132">
        <f t="shared" si="2"/>
        <v>0</v>
      </c>
      <c r="G4" s="127"/>
      <c r="H4" s="127">
        <f t="shared" si="3"/>
        <v>0</v>
      </c>
      <c r="I4" s="127">
        <f t="shared" si="4"/>
        <v>0</v>
      </c>
      <c r="J4" s="127">
        <f>IF(SUM(E$2:E4)&gt;11000,E4-11000*0.2,0)</f>
        <v>0</v>
      </c>
      <c r="K4" s="134">
        <f t="shared" si="5"/>
        <v>0</v>
      </c>
      <c r="L4" s="135" t="str">
        <f t="shared" si="6"/>
        <v>Apr 29</v>
      </c>
      <c r="M4" s="134"/>
      <c r="N4" s="134"/>
      <c r="O4" s="131"/>
      <c r="Q4" s="3"/>
      <c r="R4" s="3"/>
      <c r="S4" s="8"/>
    </row>
    <row r="5" spans="1:19" ht="17.399999999999999">
      <c r="A5" s="129" t="s">
        <v>53</v>
      </c>
      <c r="B5" s="130"/>
      <c r="C5" s="131">
        <f t="shared" si="1"/>
        <v>0</v>
      </c>
      <c r="D5" s="131">
        <f t="shared" si="0"/>
        <v>0</v>
      </c>
      <c r="E5" s="127">
        <f>D5*B15</f>
        <v>0</v>
      </c>
      <c r="F5" s="136">
        <f>B$16*D5-E5</f>
        <v>0</v>
      </c>
      <c r="G5" s="132">
        <f>IF(B16&lt;&gt;0,E5+SUM(F2:F4),0)</f>
        <v>0</v>
      </c>
      <c r="H5" s="127">
        <f>IF(G5="",IF((((E5-I5)/4)-155)&gt;0,((((E5-I5)/4)-155)*0.12)*4,0),IF((((G5-I5)/4)-155)&gt;0,((((G5-I5)/4)-155)*0.12)*4,0))</f>
        <v>0</v>
      </c>
      <c r="I5" s="127">
        <f t="shared" si="4"/>
        <v>0</v>
      </c>
      <c r="J5" s="127">
        <f>IF(SUM(E$2:E5)&gt;11000,E5-11000*0.2,0)</f>
        <v>0</v>
      </c>
      <c r="K5" s="134">
        <f t="shared" si="5"/>
        <v>0</v>
      </c>
      <c r="L5" s="135" t="str">
        <f t="shared" si="6"/>
        <v>May 27</v>
      </c>
      <c r="M5" s="134">
        <v>317.47000000000003</v>
      </c>
      <c r="N5" s="134"/>
      <c r="O5" s="131"/>
      <c r="Q5" s="3"/>
      <c r="R5" s="3"/>
      <c r="S5" s="8"/>
    </row>
    <row r="6" spans="1:19" ht="17.399999999999999">
      <c r="A6" s="129" t="s">
        <v>59</v>
      </c>
      <c r="B6" s="137"/>
      <c r="C6" s="131">
        <f t="shared" si="1"/>
        <v>0</v>
      </c>
      <c r="D6" s="131">
        <f t="shared" si="0"/>
        <v>0</v>
      </c>
      <c r="E6" s="127">
        <f>D6*B15</f>
        <v>0</v>
      </c>
      <c r="F6" s="136">
        <f t="shared" ref="F6:F7" si="7">B$16*D6-E6</f>
        <v>0</v>
      </c>
      <c r="G6" s="127"/>
      <c r="H6" s="127">
        <f t="shared" ref="H6:H8" si="8">IF(G6="",IF((((E6-I6)/4)-155)&gt;0,((((E6-I6)/4)-155)*0.12)*4,0),IF((((G6-I6)/4)-155)&gt;0,((((G6-I6)/4)-155)*0.12)*4,0))</f>
        <v>0</v>
      </c>
      <c r="I6" s="127">
        <f t="shared" si="4"/>
        <v>0</v>
      </c>
      <c r="J6" s="127">
        <f>IF(SUM(E$2:E6)&gt;11000,E6-11000*0.2,0)</f>
        <v>0</v>
      </c>
      <c r="K6" s="134">
        <f t="shared" si="5"/>
        <v>0</v>
      </c>
      <c r="L6" s="135" t="str">
        <f t="shared" si="6"/>
        <v>Jun 24</v>
      </c>
      <c r="M6" s="134">
        <v>816.81</v>
      </c>
      <c r="N6" s="134"/>
      <c r="O6" s="146"/>
      <c r="Q6" s="3"/>
      <c r="R6" s="3"/>
      <c r="S6" s="8"/>
    </row>
    <row r="7" spans="1:19" ht="17.399999999999999">
      <c r="A7" s="129" t="s">
        <v>69</v>
      </c>
      <c r="B7" s="137"/>
      <c r="C7" s="131">
        <f t="shared" si="1"/>
        <v>0</v>
      </c>
      <c r="D7" s="131">
        <f t="shared" si="0"/>
        <v>0</v>
      </c>
      <c r="E7" s="127">
        <f>D7*B15</f>
        <v>0</v>
      </c>
      <c r="F7" s="136">
        <f t="shared" si="7"/>
        <v>0</v>
      </c>
      <c r="G7" s="127"/>
      <c r="H7" s="127">
        <f t="shared" si="8"/>
        <v>0</v>
      </c>
      <c r="I7" s="127">
        <f t="shared" si="4"/>
        <v>0</v>
      </c>
      <c r="J7" s="127">
        <f>IF(SUM(E$2:E7)&gt;11000,E7-11000*0.2,0)</f>
        <v>0</v>
      </c>
      <c r="K7" s="134">
        <f t="shared" si="5"/>
        <v>0</v>
      </c>
      <c r="L7" s="135" t="str">
        <f t="shared" si="6"/>
        <v>Jul 29</v>
      </c>
      <c r="M7" s="134">
        <v>760.21</v>
      </c>
      <c r="N7" s="134"/>
      <c r="O7" s="131"/>
      <c r="Q7" s="3"/>
      <c r="R7" s="3"/>
      <c r="S7" s="8"/>
    </row>
    <row r="8" spans="1:19" ht="17.399999999999999">
      <c r="A8" s="129" t="s">
        <v>81</v>
      </c>
      <c r="B8" s="137"/>
      <c r="C8" s="131">
        <f t="shared" si="1"/>
        <v>0</v>
      </c>
      <c r="D8" s="131">
        <f t="shared" si="0"/>
        <v>0</v>
      </c>
      <c r="E8" s="127">
        <f>D8*B15</f>
        <v>0</v>
      </c>
      <c r="F8" s="138">
        <f>B$16*D8-E8</f>
        <v>0</v>
      </c>
      <c r="G8" s="136">
        <f>IF(B16&lt;&gt;0,E8+SUM(F5:F7),0)</f>
        <v>0</v>
      </c>
      <c r="H8" s="127">
        <f t="shared" si="8"/>
        <v>0</v>
      </c>
      <c r="I8" s="127">
        <f t="shared" si="4"/>
        <v>0</v>
      </c>
      <c r="J8" s="127">
        <f>IF(SUM(E$2:E8)&gt;11000,E8-11000*0.2,0)</f>
        <v>0</v>
      </c>
      <c r="K8" s="134">
        <f t="shared" si="5"/>
        <v>0</v>
      </c>
      <c r="L8" s="135" t="str">
        <f t="shared" si="6"/>
        <v>Aug 26</v>
      </c>
      <c r="M8" s="134">
        <v>788.55</v>
      </c>
      <c r="N8" s="134"/>
      <c r="O8" s="131"/>
      <c r="Q8" s="3"/>
      <c r="R8" s="3"/>
      <c r="S8" s="8"/>
    </row>
    <row r="9" spans="1:19" ht="17.399999999999999">
      <c r="A9" s="129" t="s">
        <v>89</v>
      </c>
      <c r="B9" s="137"/>
      <c r="C9" s="131">
        <f t="shared" si="1"/>
        <v>0</v>
      </c>
      <c r="D9" s="131">
        <f t="shared" si="0"/>
        <v>0</v>
      </c>
      <c r="E9" s="127">
        <f>D9*B15</f>
        <v>0</v>
      </c>
      <c r="F9" s="138">
        <f t="shared" ref="F9:F10" si="9">B$16*D9-E9</f>
        <v>0</v>
      </c>
      <c r="G9" s="127"/>
      <c r="H9" s="127">
        <f>IF(G9="",IF((((E9-I9)/4)-155)&gt;0,((((E9-I9)/4)-155)*0.12)*4,0),IF((((G9-I9)/4)-155)&gt;0,((((G9-I9)/4)-155)*0.12)*4,0))</f>
        <v>0</v>
      </c>
      <c r="I9" s="127">
        <f>IF(G9="",E9*0.05,G9*0.05)</f>
        <v>0</v>
      </c>
      <c r="J9" s="127">
        <f>IF(SUM(E$2:E9)&gt;11000,E9-11000*0.2,0)</f>
        <v>0</v>
      </c>
      <c r="K9" s="134">
        <f t="shared" si="5"/>
        <v>0</v>
      </c>
      <c r="L9" s="135" t="str">
        <f t="shared" si="6"/>
        <v>Sep 30</v>
      </c>
      <c r="M9" s="134">
        <v>257.39</v>
      </c>
      <c r="N9" s="134"/>
      <c r="O9" s="131" t="s">
        <v>221</v>
      </c>
      <c r="Q9" s="3"/>
      <c r="R9" s="3"/>
      <c r="S9" s="8"/>
    </row>
    <row r="10" spans="1:19" ht="17.399999999999999">
      <c r="A10" s="129" t="s">
        <v>93</v>
      </c>
      <c r="B10" s="137"/>
      <c r="C10" s="131">
        <f t="shared" si="1"/>
        <v>0</v>
      </c>
      <c r="D10" s="131">
        <f t="shared" si="0"/>
        <v>0</v>
      </c>
      <c r="E10" s="127">
        <f>D10*B15</f>
        <v>0</v>
      </c>
      <c r="F10" s="138">
        <f t="shared" si="9"/>
        <v>0</v>
      </c>
      <c r="G10" s="127"/>
      <c r="H10" s="127">
        <f t="shared" ref="H10:H12" si="10">IF(G10="",IF((((E10-I10)/4)-155)&gt;0,((((E10-I10)/4)-155)*0.12)*4,0),IF((((G10-I10)/4)-155)&gt;0,((((G10-I10)/4)-155)*0.12)*4,0))</f>
        <v>0</v>
      </c>
      <c r="I10" s="127">
        <f>IF(G10="",E10*0.05,G10*0.05)</f>
        <v>0</v>
      </c>
      <c r="J10" s="127">
        <f>IF(SUM(E$2:E10)&gt;11000,E10-11000*0.2,0)</f>
        <v>0</v>
      </c>
      <c r="K10" s="134">
        <f t="shared" si="5"/>
        <v>0</v>
      </c>
      <c r="L10" s="135" t="str">
        <f t="shared" si="6"/>
        <v>Oct 28</v>
      </c>
      <c r="M10" s="134"/>
      <c r="N10" s="134"/>
      <c r="O10" s="131"/>
      <c r="Q10" s="3"/>
      <c r="R10" s="3"/>
      <c r="S10" s="8"/>
    </row>
    <row r="11" spans="1:19" ht="17.399999999999999">
      <c r="A11" s="129" t="s">
        <v>101</v>
      </c>
      <c r="B11" s="137"/>
      <c r="C11" s="131">
        <f t="shared" si="1"/>
        <v>0</v>
      </c>
      <c r="D11" s="131">
        <f t="shared" si="0"/>
        <v>0</v>
      </c>
      <c r="E11" s="127">
        <f>D11*B15</f>
        <v>0</v>
      </c>
      <c r="F11" s="133">
        <f>B$16*D11-E11</f>
        <v>0</v>
      </c>
      <c r="G11" s="138">
        <f>IF(B16&lt;&gt;0,E11+SUM(F8:F10),0)</f>
        <v>0</v>
      </c>
      <c r="H11" s="127">
        <f t="shared" si="10"/>
        <v>0</v>
      </c>
      <c r="I11" s="127">
        <f>IF(G11="",E11*0.05,G11*0.05)</f>
        <v>0</v>
      </c>
      <c r="J11" s="127">
        <f>IF(SUM(E$2:E11)&gt;11000,E11-11000*0.2,0)</f>
        <v>0</v>
      </c>
      <c r="K11" s="134">
        <f t="shared" si="5"/>
        <v>0</v>
      </c>
      <c r="L11" s="135" t="str">
        <f t="shared" si="6"/>
        <v>Nov 25</v>
      </c>
      <c r="M11" s="134">
        <v>321.79000000000002</v>
      </c>
      <c r="N11" s="134"/>
      <c r="O11" s="131" t="s">
        <v>221</v>
      </c>
    </row>
    <row r="12" spans="1:19" ht="17.399999999999999">
      <c r="A12" s="129" t="s">
        <v>111</v>
      </c>
      <c r="B12" s="137"/>
      <c r="C12" s="131">
        <f t="shared" si="1"/>
        <v>0</v>
      </c>
      <c r="D12" s="131">
        <f t="shared" si="0"/>
        <v>0</v>
      </c>
      <c r="E12" s="127">
        <f>D12*B15</f>
        <v>0</v>
      </c>
      <c r="F12" s="133">
        <f t="shared" ref="F12:F13" si="11">B$16*D12-E12</f>
        <v>0</v>
      </c>
      <c r="G12" s="127"/>
      <c r="H12" s="127">
        <f t="shared" si="10"/>
        <v>0</v>
      </c>
      <c r="I12" s="127"/>
      <c r="J12" s="127">
        <f>IF(SUM(E$2:E12)&gt;11000,E12-11000*0.2,0)</f>
        <v>0</v>
      </c>
      <c r="K12" s="134">
        <f t="shared" si="5"/>
        <v>0</v>
      </c>
      <c r="L12" s="135" t="str">
        <f>"Dec 23"</f>
        <v>Dec 23</v>
      </c>
      <c r="M12" s="134">
        <v>333.27</v>
      </c>
      <c r="O12" s="131" t="s">
        <v>221</v>
      </c>
    </row>
    <row r="13" spans="1:19" ht="17.399999999999999">
      <c r="A13" s="129" t="s">
        <v>118</v>
      </c>
      <c r="B13" s="137"/>
      <c r="C13" s="131">
        <f t="shared" si="1"/>
        <v>0</v>
      </c>
      <c r="D13" s="131">
        <f t="shared" si="0"/>
        <v>0</v>
      </c>
      <c r="E13" s="127">
        <f>D13*B15</f>
        <v>0</v>
      </c>
      <c r="F13" s="133">
        <f t="shared" si="11"/>
        <v>0</v>
      </c>
      <c r="G13" s="127"/>
      <c r="H13" s="127">
        <f>IF(G13="",IF((((E13-I13)/4)-155)&gt;0,((((E13-I13)/4)-155)*0.12)*4,0),IF((((G13-I13)/4)-155)&gt;0,((((G13-I13)/4)-155)*0.12)*4,0))</f>
        <v>0</v>
      </c>
      <c r="I13" s="127"/>
      <c r="J13" s="127">
        <f>IF(SUM(E$2:E13)&gt;11000,E13-11000*0.2,0)</f>
        <v>0</v>
      </c>
      <c r="K13" s="134">
        <f t="shared" si="5"/>
        <v>0</v>
      </c>
      <c r="L13" s="135" t="str">
        <f t="shared" si="6"/>
        <v>Jan 27</v>
      </c>
      <c r="M13" s="134">
        <v>411.84</v>
      </c>
      <c r="O13" s="131"/>
    </row>
    <row r="14" spans="1:19" ht="47.25" customHeight="1">
      <c r="A14" s="139"/>
      <c r="B14" s="130"/>
      <c r="C14" s="131"/>
      <c r="D14" s="131"/>
      <c r="E14" s="139"/>
      <c r="F14" s="127"/>
      <c r="G14" s="140"/>
      <c r="H14" s="127"/>
      <c r="I14" s="141" t="str">
        <f>"SUM: " &amp; ROUND(SUM(I8:I13),2)</f>
        <v>SUM: 0</v>
      </c>
      <c r="J14" s="139"/>
      <c r="K14" s="127" t="str">
        <f ca="1">"SUM: "&amp; ROUND(SUM(K2:K13),2)</f>
        <v>SUM: 0</v>
      </c>
      <c r="L14" s="139"/>
      <c r="M14" s="127" t="str">
        <f>"SUM: " &amp; SUM(M2:M13)</f>
        <v>SUM: 4007.33</v>
      </c>
    </row>
    <row r="15" spans="1:19" ht="17.399999999999999">
      <c r="A15" s="129" t="s">
        <v>210</v>
      </c>
      <c r="B15" s="142">
        <v>7.7224000000000004</v>
      </c>
      <c r="C15" s="131"/>
      <c r="D15" s="131"/>
      <c r="E15" s="139"/>
      <c r="F15" s="127"/>
      <c r="G15" s="143"/>
      <c r="H15" s="127"/>
      <c r="I15" s="139"/>
      <c r="J15" s="139"/>
      <c r="K15" s="143"/>
      <c r="L15" s="139"/>
      <c r="M15" s="145"/>
    </row>
    <row r="16" spans="1:19" ht="17.399999999999999">
      <c r="A16" s="129" t="s">
        <v>211</v>
      </c>
      <c r="B16" s="147">
        <v>0</v>
      </c>
      <c r="C16" s="1"/>
      <c r="D16" s="1"/>
      <c r="F16" s="3"/>
      <c r="H16" s="3"/>
      <c r="K16" s="38"/>
    </row>
    <row r="17" spans="1:10" ht="17.399999999999999">
      <c r="A17" s="129" t="s">
        <v>212</v>
      </c>
      <c r="B17" s="4" t="s">
        <v>213</v>
      </c>
      <c r="G17" s="73"/>
      <c r="I17" s="11"/>
      <c r="J17" s="11"/>
    </row>
    <row r="18" spans="1:10" ht="17.399999999999999">
      <c r="B18" s="1"/>
      <c r="D18" s="3"/>
      <c r="E18" s="11"/>
      <c r="F18" s="3"/>
      <c r="H18" s="38"/>
    </row>
    <row r="19" spans="1:10" ht="17.399999999999999">
      <c r="B19" s="1"/>
      <c r="D19" s="3"/>
      <c r="E19" s="11"/>
      <c r="F19" s="3"/>
      <c r="H19" s="38"/>
    </row>
    <row r="20" spans="1:10" ht="17.399999999999999">
      <c r="B20" s="1"/>
      <c r="D20" s="3"/>
      <c r="E20" s="38"/>
      <c r="F20" s="3"/>
      <c r="H20" s="38"/>
    </row>
    <row r="21" spans="1:10" ht="17.399999999999999">
      <c r="B21" s="1"/>
      <c r="D21" s="3"/>
      <c r="F21" s="3"/>
      <c r="H21" s="38"/>
      <c r="I21" s="11"/>
      <c r="J21" s="11"/>
    </row>
    <row r="22" spans="1:10" ht="17.399999999999999">
      <c r="C22" s="38"/>
      <c r="D22" s="3"/>
      <c r="E22" s="3"/>
      <c r="F22" s="3"/>
      <c r="H22" s="38"/>
    </row>
    <row r="23" spans="1:10" ht="17.399999999999999">
      <c r="E23" s="68"/>
      <c r="F23" s="38"/>
      <c r="G23" s="38"/>
    </row>
    <row r="24" spans="1:10" ht="17.399999999999999">
      <c r="B24" s="4"/>
      <c r="D24" s="3"/>
      <c r="E24" s="38"/>
    </row>
    <row r="25" spans="1:10" ht="17.399999999999999">
      <c r="B25" s="4"/>
      <c r="D25" s="3"/>
      <c r="E25" s="38"/>
    </row>
    <row r="26" spans="1:10" ht="18">
      <c r="B26" s="57"/>
    </row>
    <row r="27" spans="1:10" ht="18">
      <c r="B27" s="57"/>
    </row>
    <row r="28" spans="1:10" ht="18">
      <c r="B28" s="57"/>
    </row>
    <row r="29" spans="1:10">
      <c r="B29" s="55"/>
    </row>
    <row r="30" spans="1:10" ht="17.399999999999999">
      <c r="B30" s="4"/>
    </row>
    <row r="31" spans="1:10" ht="17.399999999999999">
      <c r="B31" s="4"/>
    </row>
    <row r="32" spans="1:10" ht="18">
      <c r="B32" s="57"/>
    </row>
    <row r="33" spans="1:2" ht="18">
      <c r="B33" s="57"/>
    </row>
    <row r="34" spans="1:2" ht="18">
      <c r="B34" s="57"/>
    </row>
    <row r="35" spans="1:2">
      <c r="B35" s="55"/>
    </row>
    <row r="38" spans="1:2">
      <c r="A38" s="56"/>
      <c r="B38" s="55"/>
    </row>
    <row r="39" spans="1:2">
      <c r="A39" s="56"/>
      <c r="B39" s="55"/>
    </row>
    <row r="40" spans="1:2">
      <c r="A40" s="56"/>
      <c r="B40" s="55"/>
    </row>
    <row r="41" spans="1:2">
      <c r="A41" s="56"/>
      <c r="B41" s="55"/>
    </row>
    <row r="42" spans="1:2">
      <c r="A42" s="56"/>
      <c r="B42" s="55"/>
    </row>
    <row r="43" spans="1:2">
      <c r="A43" s="56"/>
      <c r="B43" s="55"/>
    </row>
    <row r="44" spans="1:2">
      <c r="A44" s="56"/>
      <c r="B44" s="55"/>
    </row>
    <row r="45" spans="1:2">
      <c r="A45" s="56"/>
      <c r="B45" s="55"/>
    </row>
    <row r="46" spans="1:2">
      <c r="A46" s="56"/>
      <c r="B46" s="55"/>
    </row>
    <row r="47" spans="1:2">
      <c r="A47" s="56"/>
      <c r="B47" s="55"/>
    </row>
    <row r="48" spans="1:2">
      <c r="A48" s="56"/>
      <c r="B48" s="55"/>
    </row>
    <row r="49" spans="1:2">
      <c r="A49" s="56"/>
      <c r="B49" s="55"/>
    </row>
    <row r="50" spans="1:2">
      <c r="A50" s="56"/>
      <c r="B50" s="55"/>
    </row>
    <row r="51" spans="1:2">
      <c r="A51" s="56"/>
      <c r="B51" s="55"/>
    </row>
  </sheetData>
  <conditionalFormatting sqref="L2:L13">
    <cfRule type="expression" dxfId="408" priority="1">
      <formula>(CONCACTENATE(L2," ",LEFT(A1,4)))&gt;TODAY()</formula>
    </cfRule>
  </conditionalFormatting>
  <conditionalFormatting sqref="M2:M13">
    <cfRule type="cellIs" dxfId="407" priority="2" operator="greaterThan">
      <formula>0</formula>
    </cfRule>
  </conditionalFormatting>
  <pageMargins left="0" right="0" top="0" bottom="0" header="0" footer="0"/>
  <ignoredErrors>
    <ignoredError sqref="L12" formula="1"/>
  </ignoredErrors>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T59"/>
  <sheetViews>
    <sheetView workbookViewId="0"/>
  </sheetViews>
  <sheetFormatPr defaultColWidth="8.44140625" defaultRowHeight="14.4" outlineLevelRow="1"/>
  <cols>
    <col min="1" max="1" width="15.44140625" customWidth="1"/>
    <col min="2" max="2" width="46.6640625" customWidth="1"/>
    <col min="3" max="3" width="12.109375" customWidth="1"/>
    <col min="4" max="4" width="22.44140625" customWidth="1"/>
    <col min="5" max="5" width="21.109375" customWidth="1"/>
    <col min="6" max="7" width="18.33203125" customWidth="1"/>
    <col min="8" max="8" width="22.33203125" customWidth="1"/>
    <col min="9" max="9" width="14.6640625" customWidth="1"/>
    <col min="10" max="10" width="17.44140625" customWidth="1"/>
    <col min="11" max="11" width="23.6640625" customWidth="1"/>
    <col min="12" max="12" width="18.109375" customWidth="1"/>
    <col min="13" max="13" width="13.44140625" customWidth="1"/>
    <col min="14" max="14" width="23.6640625" style="7" customWidth="1"/>
    <col min="15" max="15" width="17.44140625" customWidth="1"/>
    <col min="16" max="17" width="28.109375" customWidth="1"/>
    <col min="18" max="20" width="17.44140625" customWidth="1"/>
  </cols>
  <sheetData>
    <row r="1" spans="1:20" ht="17.399999999999999">
      <c r="A1" s="128" t="s">
        <v>222</v>
      </c>
      <c r="B1" s="128" t="s">
        <v>223</v>
      </c>
      <c r="C1" s="128" t="s">
        <v>224</v>
      </c>
      <c r="D1" s="128" t="s">
        <v>225</v>
      </c>
      <c r="E1" s="128" t="s">
        <v>226</v>
      </c>
      <c r="F1" s="128" t="s">
        <v>194</v>
      </c>
      <c r="G1" s="128" t="s">
        <v>195</v>
      </c>
      <c r="H1" s="128" t="s">
        <v>196</v>
      </c>
      <c r="I1" s="128" t="s">
        <v>197</v>
      </c>
      <c r="J1" s="128" t="s">
        <v>198</v>
      </c>
      <c r="K1" s="128" t="s">
        <v>199</v>
      </c>
      <c r="L1" s="128" t="s">
        <v>200</v>
      </c>
      <c r="M1" s="128" t="s">
        <v>201</v>
      </c>
      <c r="N1" s="128" t="s">
        <v>202</v>
      </c>
      <c r="O1" s="128" t="s">
        <v>220</v>
      </c>
      <c r="P1" s="128" t="s">
        <v>205</v>
      </c>
      <c r="Q1" s="128" t="s">
        <v>227</v>
      </c>
      <c r="R1" s="6"/>
      <c r="S1" s="6"/>
      <c r="T1" s="6"/>
    </row>
    <row r="2" spans="1:20" ht="17.399999999999999">
      <c r="A2" s="129" t="s">
        <v>17</v>
      </c>
      <c r="B2" s="130" t="s">
        <v>228</v>
      </c>
      <c r="C2" s="130"/>
      <c r="D2" s="131">
        <f>IF(B2&lt;&gt;"",((LEN(B2)-LEN(SUBSTITUTE(B2,",","")))/LEN(",")+1)+((LEN(B2)-LEN(SUBSTITUTE(B2,"/","")))/LEN("/")/2)- ((LEN(B2)-LEN(SUBSTITUTE(B2,"/","")))/LEN("/")),0)</f>
        <v>4</v>
      </c>
      <c r="E2" s="131">
        <f t="shared" ref="E2:E9" si="0">ROUND((((D2*7.5)/9)+(D2*7.5)), 2)</f>
        <v>33.33</v>
      </c>
      <c r="F2" s="127">
        <f>E2*B19</f>
        <v>259.960668</v>
      </c>
      <c r="G2" s="132">
        <f t="shared" ref="G2:G12" si="1">8.25*E2-F2</f>
        <v>15.01183199999997</v>
      </c>
      <c r="H2" s="133">
        <f ca="1">IF(B20&lt;&gt;0,IF(ISREF(INDIRECT("'"&amp;"Wages "&amp;LEFT(A1,4)-1&amp;"'!A1"))=TRUE,INDIRECT(CONCATENATE("'Wages ",LEFT(A1,4)-1,"'!F11")) + INDIRECT(CONCATENATE("'Wages ",LEFT(A1,4)-1,"'!F12")) + INDIRECT(CONCATENATE("'Wages ",LEFT(A1,4)-1,"'!F13")),""),0)</f>
        <v>0</v>
      </c>
      <c r="I2" s="127">
        <f ca="1">IF(H2="",IF((((F2-J2)/4)-155)&gt;0,((((F2-J2)/4)-155)*0.12)*4,0),IF((((H2-J2)/4)-155)&gt;0,((((H2-J2)/4)-155)*0.12)*4,0))</f>
        <v>0</v>
      </c>
      <c r="J2" s="127">
        <f ca="1">IF(H2="",F2*0.05,H2*0.05)</f>
        <v>0</v>
      </c>
      <c r="K2" s="127">
        <f>IF(F2&gt;11000,F2-11000*0.2,0)</f>
        <v>0</v>
      </c>
      <c r="L2" s="134">
        <f ca="1">IF(H2="",F2-I2-J2-K2,H2-I2-J2-K2)</f>
        <v>0</v>
      </c>
      <c r="M2" s="135" t="str">
        <f>TEXT(DATE(LEFT(A$1,4),IF(MONTH(DATEVALUE(A2&amp;" 1"))+1&gt;12,1,MONTH(DATEVALUE(A2&amp;" 1"))+1),1),"mmm")&amp;" " &amp;DAY(EOMONTH((DATE(LEFT(A$1,4),MONTH(DATEVALUE(A2&amp;" 1"))+1,1)),0)+1-WEEKDAY(EOMONTH((DATE(LEFT(A$1,4),MONTH(DATEVALUE(A2&amp;" 1"))+1,1)),0)+1-4))</f>
        <v>Feb 24</v>
      </c>
      <c r="N2" s="134">
        <v>321.79000000000002</v>
      </c>
      <c r="O2" s="134"/>
      <c r="P2" s="131"/>
      <c r="Q2" s="11">
        <f>F2</f>
        <v>259.960668</v>
      </c>
      <c r="R2" s="7"/>
      <c r="S2" s="7"/>
      <c r="T2" s="7"/>
    </row>
    <row r="3" spans="1:20" ht="17.399999999999999">
      <c r="A3" s="129" t="s">
        <v>29</v>
      </c>
      <c r="B3" s="130" t="s">
        <v>229</v>
      </c>
      <c r="C3" s="130"/>
      <c r="D3" s="131">
        <f t="shared" ref="D3:D10" si="2">IF(B3&lt;&gt;"",((LEN(B3)-LEN(SUBSTITUTE(B3,",","")))/LEN(",")+1)+((LEN(B3)-LEN(SUBSTITUTE(B3,"/","")))/LEN("/")/2)- ((LEN(B3)-LEN(SUBSTITUTE(B3,"/","")))/LEN("/")),0)</f>
        <v>9</v>
      </c>
      <c r="E3" s="131">
        <f t="shared" si="0"/>
        <v>75</v>
      </c>
      <c r="F3" s="127">
        <f>E3*B19</f>
        <v>584.97</v>
      </c>
      <c r="G3" s="132">
        <f t="shared" si="1"/>
        <v>33.779999999999973</v>
      </c>
      <c r="H3" s="127"/>
      <c r="I3" s="127">
        <f t="shared" ref="I3:I4" si="3">IF(H3="",IF((((F3-J3)/4)-155)&gt;0,((((F3-J3)/4)-155)*0.12)*4,0),IF((((H3-J3)/4)-155)&gt;0,((((H3-J3)/4)-155)*0.12)*4,0))</f>
        <v>0</v>
      </c>
      <c r="J3" s="127">
        <f t="shared" ref="J3:J5" si="4">IF(H3="",F3*0.05,H3*0.05)</f>
        <v>29.248500000000003</v>
      </c>
      <c r="K3" s="127">
        <f>IF(SUM(F$2:F3)&gt;11000,F3-11000*0.2,0)</f>
        <v>0</v>
      </c>
      <c r="L3" s="134">
        <f t="shared" ref="L3:L13" si="5">IF(H3="",F3-I3-J3-K3,H3-I3-J3-K3)</f>
        <v>555.72149999999999</v>
      </c>
      <c r="M3" s="135" t="str">
        <f t="shared" ref="M3:M13" si="6">TEXT(DATE(LEFT(A$1,4),IF(MONTH(DATEVALUE(A3&amp;" 1"))+1&gt;12,1,MONTH(DATEVALUE(A3&amp;" 1"))+1),1),"mmm")&amp;" " &amp;DAY(EOMONTH((DATE(LEFT(A$1,4),MONTH(DATEVALUE(A3&amp;" 1"))+1,1)),0)+1-WEEKDAY(EOMONTH((DATE(LEFT(A$1,4),MONTH(DATEVALUE(A3&amp;" 1"))+1,1)),0)+1-4))</f>
        <v>Mar 30</v>
      </c>
      <c r="N3" s="134">
        <v>643.51</v>
      </c>
      <c r="O3" s="134">
        <f>L3-N3</f>
        <v>-87.788499999999999</v>
      </c>
      <c r="P3" s="131"/>
      <c r="Q3" s="11">
        <f>Q2+F3</f>
        <v>844.93066799999997</v>
      </c>
      <c r="R3" s="2"/>
      <c r="S3" s="2"/>
      <c r="T3" s="2"/>
    </row>
    <row r="4" spans="1:20" ht="17.399999999999999">
      <c r="A4" s="129" t="s">
        <v>37</v>
      </c>
      <c r="B4" s="130" t="s">
        <v>230</v>
      </c>
      <c r="C4" s="130"/>
      <c r="D4" s="131">
        <f t="shared" si="2"/>
        <v>8.5</v>
      </c>
      <c r="E4" s="131">
        <f t="shared" si="0"/>
        <v>70.83</v>
      </c>
      <c r="F4" s="127">
        <f>E4*B19</f>
        <v>552.44566799999996</v>
      </c>
      <c r="G4" s="132">
        <f t="shared" si="1"/>
        <v>31.901832000000013</v>
      </c>
      <c r="H4" s="127"/>
      <c r="I4" s="127">
        <f t="shared" si="3"/>
        <v>0</v>
      </c>
      <c r="J4" s="127">
        <f t="shared" si="4"/>
        <v>27.622283400000001</v>
      </c>
      <c r="K4" s="127">
        <f>IF(SUM(F$2:F4)&gt;11000,F4-11000*0.2,0)</f>
        <v>0</v>
      </c>
      <c r="L4" s="134">
        <f t="shared" si="5"/>
        <v>524.82338459999994</v>
      </c>
      <c r="M4" s="135" t="str">
        <f t="shared" si="6"/>
        <v>Apr 27</v>
      </c>
      <c r="N4" s="134">
        <v>579.76</v>
      </c>
      <c r="O4" s="134">
        <f t="shared" ref="O4:O12" si="7">L4-N4</f>
        <v>-54.936615400000051</v>
      </c>
      <c r="P4" s="131"/>
      <c r="Q4" s="11">
        <f>Q3+F4</f>
        <v>1397.3763359999998</v>
      </c>
      <c r="R4" s="3"/>
      <c r="S4" s="3"/>
      <c r="T4" s="8"/>
    </row>
    <row r="5" spans="1:20" ht="17.399999999999999">
      <c r="A5" s="129" t="s">
        <v>53</v>
      </c>
      <c r="B5" s="130" t="s">
        <v>231</v>
      </c>
      <c r="C5" s="130"/>
      <c r="D5" s="131">
        <f t="shared" si="2"/>
        <v>4</v>
      </c>
      <c r="E5" s="131">
        <f t="shared" si="0"/>
        <v>33.33</v>
      </c>
      <c r="F5" s="127">
        <f>E5*B19</f>
        <v>259.960668</v>
      </c>
      <c r="G5" s="136">
        <f t="shared" si="1"/>
        <v>15.01183199999997</v>
      </c>
      <c r="H5" s="132">
        <f>IF(B20&lt;&gt;0,F5+SUM(G2:G4),0)</f>
        <v>340.65433199999995</v>
      </c>
      <c r="I5" s="127">
        <f>IF(H5="",IF((((F5-J5)/4)-155)&gt;0,((((F5-J5)/4)-155)*0.12)*4,0),IF((((H5-J5)/4)-155)&gt;0,((((H5-J5)/4)-155)*0.12)*4,0))</f>
        <v>0</v>
      </c>
      <c r="J5" s="127">
        <f t="shared" si="4"/>
        <v>17.032716599999997</v>
      </c>
      <c r="K5" s="127">
        <f>IF(SUM(F$2:F5)&gt;11000,F5-11000*0.2,0)</f>
        <v>0</v>
      </c>
      <c r="L5" s="134">
        <f t="shared" si="5"/>
        <v>323.62161539999994</v>
      </c>
      <c r="M5" s="135" t="str">
        <f t="shared" si="6"/>
        <v>May 25</v>
      </c>
      <c r="N5" s="134">
        <v>259.95999999999998</v>
      </c>
      <c r="O5" s="134">
        <f t="shared" si="7"/>
        <v>63.66161539999996</v>
      </c>
      <c r="P5" s="131"/>
      <c r="Q5" s="11">
        <f>F5</f>
        <v>259.960668</v>
      </c>
      <c r="R5" s="3"/>
      <c r="S5" s="3"/>
      <c r="T5" s="8"/>
    </row>
    <row r="6" spans="1:20" ht="34.799999999999997">
      <c r="A6" s="129" t="s">
        <v>59</v>
      </c>
      <c r="B6" s="137" t="s">
        <v>232</v>
      </c>
      <c r="C6" s="137"/>
      <c r="D6" s="131">
        <f t="shared" si="2"/>
        <v>10</v>
      </c>
      <c r="E6" s="131">
        <f t="shared" si="0"/>
        <v>83.33</v>
      </c>
      <c r="F6" s="127">
        <f>E6*B19</f>
        <v>649.94066799999996</v>
      </c>
      <c r="G6" s="136">
        <f t="shared" si="1"/>
        <v>37.531832000000009</v>
      </c>
      <c r="H6" s="127"/>
      <c r="I6" s="127">
        <f t="shared" ref="I6:I8" si="8">IF(H6="",IF((((F6-J6)/4)-155)&gt;0,((((F6-J6)/4)-155)*0.12)*4,0),IF((((H6-J6)/4)-155)&gt;0,((((H6-J6)/4)-155)*0.12)*4,0))</f>
        <v>0</v>
      </c>
      <c r="J6" s="127">
        <f t="shared" ref="J6:J8" si="9">IF(H6="",F6*0.05,H6*0.05)</f>
        <v>32.497033399999999</v>
      </c>
      <c r="K6" s="127">
        <f>IF(SUM(F$2:F6)&gt;11000,F6-11000*0.2,0)</f>
        <v>0</v>
      </c>
      <c r="L6" s="134">
        <f t="shared" si="5"/>
        <v>617.4436346</v>
      </c>
      <c r="M6" s="135" t="str">
        <f t="shared" si="6"/>
        <v>Jun 29</v>
      </c>
      <c r="N6" s="134">
        <v>325.01</v>
      </c>
      <c r="O6" s="134">
        <v>305</v>
      </c>
      <c r="P6" s="146">
        <v>11110</v>
      </c>
      <c r="Q6" s="11">
        <f>Q5+N6</f>
        <v>584.97066799999993</v>
      </c>
      <c r="R6" s="3"/>
      <c r="S6" s="3"/>
      <c r="T6" s="8"/>
    </row>
    <row r="7" spans="1:20" ht="52.2">
      <c r="A7" s="129" t="s">
        <v>69</v>
      </c>
      <c r="B7" s="137" t="s">
        <v>233</v>
      </c>
      <c r="C7" s="137"/>
      <c r="D7" s="131">
        <f t="shared" si="2"/>
        <v>15</v>
      </c>
      <c r="E7" s="131">
        <f t="shared" si="0"/>
        <v>125</v>
      </c>
      <c r="F7" s="127">
        <f>E7*B19</f>
        <v>974.94999999999993</v>
      </c>
      <c r="G7" s="136">
        <f t="shared" si="1"/>
        <v>56.300000000000068</v>
      </c>
      <c r="H7" s="127"/>
      <c r="I7" s="127">
        <f t="shared" si="8"/>
        <v>36.744299999999981</v>
      </c>
      <c r="J7" s="127">
        <f t="shared" si="9"/>
        <v>48.747500000000002</v>
      </c>
      <c r="K7" s="127">
        <f>IF(SUM(F$2:F7)&gt;11000,F7-11000*0.2,0)</f>
        <v>0</v>
      </c>
      <c r="L7" s="134">
        <f t="shared" si="5"/>
        <v>889.45820000000003</v>
      </c>
      <c r="M7" s="135" t="str">
        <f t="shared" si="6"/>
        <v>Jul 27</v>
      </c>
      <c r="N7" s="134">
        <v>993.29</v>
      </c>
      <c r="O7" s="134">
        <f t="shared" si="7"/>
        <v>-103.83179999999993</v>
      </c>
      <c r="P7" s="131"/>
      <c r="Q7" s="11">
        <f>Q6+F7</f>
        <v>1559.9206679999998</v>
      </c>
      <c r="R7" s="3"/>
      <c r="S7" s="3"/>
      <c r="T7" s="8"/>
    </row>
    <row r="8" spans="1:20" ht="52.2">
      <c r="A8" s="129" t="s">
        <v>81</v>
      </c>
      <c r="B8" s="137" t="s">
        <v>234</v>
      </c>
      <c r="C8" s="137"/>
      <c r="D8" s="131">
        <f t="shared" si="2"/>
        <v>13</v>
      </c>
      <c r="E8" s="131">
        <f t="shared" si="0"/>
        <v>108.33</v>
      </c>
      <c r="F8" s="127">
        <f>E8*B19</f>
        <v>844.93066799999997</v>
      </c>
      <c r="G8" s="138">
        <f t="shared" si="1"/>
        <v>48.791831999999999</v>
      </c>
      <c r="H8" s="136">
        <f>IF(B20&lt;&gt;0,F8+SUM(G5:G7),0)</f>
        <v>953.77433199999996</v>
      </c>
      <c r="I8" s="127">
        <f t="shared" si="8"/>
        <v>34.33027384799999</v>
      </c>
      <c r="J8" s="127">
        <f t="shared" si="9"/>
        <v>47.688716599999999</v>
      </c>
      <c r="K8" s="127">
        <f>IF(SUM(F$2:F8)&gt;11000,F8-11000*0.2,0)</f>
        <v>0</v>
      </c>
      <c r="L8" s="134">
        <f t="shared" si="5"/>
        <v>871.755341552</v>
      </c>
      <c r="M8" s="135" t="str">
        <f t="shared" si="6"/>
        <v>Aug 31</v>
      </c>
      <c r="N8" s="134">
        <v>905.12</v>
      </c>
      <c r="O8" s="134">
        <f t="shared" si="7"/>
        <v>-33.364658448</v>
      </c>
      <c r="P8" s="131"/>
      <c r="Q8" s="11">
        <f t="shared" ref="Q8:Q13" si="10">Q7+F8</f>
        <v>2404.8513359999997</v>
      </c>
      <c r="R8" s="3"/>
      <c r="S8" s="3"/>
      <c r="T8" s="8"/>
    </row>
    <row r="9" spans="1:20" ht="34.799999999999997">
      <c r="A9" s="129" t="s">
        <v>89</v>
      </c>
      <c r="B9" s="137" t="s">
        <v>235</v>
      </c>
      <c r="C9" s="137"/>
      <c r="D9" s="131">
        <f t="shared" si="2"/>
        <v>15</v>
      </c>
      <c r="E9" s="131">
        <f t="shared" si="0"/>
        <v>125</v>
      </c>
      <c r="F9" s="127">
        <f>E9*B19</f>
        <v>974.94999999999993</v>
      </c>
      <c r="G9" s="138">
        <f t="shared" si="1"/>
        <v>56.300000000000068</v>
      </c>
      <c r="H9" s="127"/>
      <c r="I9" s="127">
        <f>IF(H9="",IF((((F9-J9)/4)-155)&gt;0,((((F9-J9)/4)-155)*0.12)*4,0),IF((((H9-J9)/4)-155)&gt;0,((((H9-J9)/4)-155)*0.12)*4,0))</f>
        <v>36.744299999999981</v>
      </c>
      <c r="J9" s="127">
        <f>IF(H9="",F9*0.05,H9*0.05)</f>
        <v>48.747500000000002</v>
      </c>
      <c r="K9" s="127">
        <f>IF(SUM(F$2:F9)&gt;11000,F9-11000*0.2,0)</f>
        <v>0</v>
      </c>
      <c r="L9" s="134">
        <f t="shared" si="5"/>
        <v>889.45820000000003</v>
      </c>
      <c r="M9" s="135" t="str">
        <f t="shared" si="6"/>
        <v>Sep 28</v>
      </c>
      <c r="N9" s="134">
        <v>910.51</v>
      </c>
      <c r="O9" s="134">
        <f t="shared" si="7"/>
        <v>-21.051799999999957</v>
      </c>
      <c r="P9" s="131"/>
      <c r="Q9" s="11">
        <f t="shared" si="10"/>
        <v>3379.8013359999995</v>
      </c>
      <c r="R9" s="3"/>
      <c r="S9" s="3"/>
      <c r="T9" s="8"/>
    </row>
    <row r="10" spans="1:20" ht="34.799999999999997">
      <c r="A10" s="129" t="s">
        <v>93</v>
      </c>
      <c r="B10" s="137" t="s">
        <v>236</v>
      </c>
      <c r="C10" s="137"/>
      <c r="D10" s="131">
        <f t="shared" si="2"/>
        <v>16.5</v>
      </c>
      <c r="E10" s="131">
        <f>ROUND((((D10*7.5)/9)+(D10*7.5)), 2)+1</f>
        <v>138.5</v>
      </c>
      <c r="F10" s="127">
        <f>E10*B19</f>
        <v>1080.2446</v>
      </c>
      <c r="G10" s="138">
        <f t="shared" si="1"/>
        <v>62.380400000000009</v>
      </c>
      <c r="H10" s="127"/>
      <c r="I10" s="127">
        <f t="shared" ref="I10:I12" si="11">IF(H10="",IF((((F10-J10)/4)-155)&gt;0,((((F10-J10)/4)-155)*0.12)*4,0),IF((((H10-J10)/4)-155)&gt;0,((((H10-J10)/4)-155)*0.12)*4,0))</f>
        <v>48.74788439999999</v>
      </c>
      <c r="J10" s="127">
        <f>IF(H10="",F10*0.05,H10*0.05)</f>
        <v>54.012230000000002</v>
      </c>
      <c r="K10" s="127">
        <f>IF(SUM(F$2:F10)&gt;11000,F10-11000*0.2,0)</f>
        <v>0</v>
      </c>
      <c r="L10" s="134">
        <f t="shared" si="5"/>
        <v>977.48448559999997</v>
      </c>
      <c r="M10" s="135" t="str">
        <f t="shared" si="6"/>
        <v>Oct 26</v>
      </c>
      <c r="N10" s="134">
        <v>979.78</v>
      </c>
      <c r="O10" s="134">
        <f t="shared" si="7"/>
        <v>-2.2955144000000018</v>
      </c>
      <c r="P10" s="131"/>
      <c r="Q10" s="11">
        <f t="shared" si="10"/>
        <v>4460.0459359999995</v>
      </c>
      <c r="R10" s="3"/>
      <c r="S10" s="3"/>
      <c r="T10" s="8"/>
    </row>
    <row r="11" spans="1:20" ht="52.2">
      <c r="A11" s="129" t="s">
        <v>101</v>
      </c>
      <c r="B11" s="137" t="s">
        <v>237</v>
      </c>
      <c r="C11" s="137"/>
      <c r="D11" s="131">
        <f>IF(B11&lt;&gt;"",((LEN(B11)-LEN(SUBSTITUTE(B11,",","")))+1))</f>
        <v>16</v>
      </c>
      <c r="E11" s="131">
        <f>(ROUND((((D11*7.5)/9)+(D11*7.5)), 2) + (LEN(B11)-LEN(SUBSTITUTE(B11,"+","")))) - ((((LEN(B11)-LEN(SUBSTITUTE(B11,"^","")))*7.5)-((LEN(B11)-LEN(SUBSTITUTE(B11,"^","")))*6))+(((LEN(B11)-LEN(SUBSTITUTE(B11,"£","")))*7.5)-((LEN(B11)-LEN(SUBSTITUTE(B11,"£","")))*3)))+1</f>
        <v>118.33000000000001</v>
      </c>
      <c r="F11" s="127">
        <f>E11*B19</f>
        <v>922.92666800000006</v>
      </c>
      <c r="G11" s="133">
        <f t="shared" si="1"/>
        <v>53.295832000000019</v>
      </c>
      <c r="H11" s="138">
        <f>IF(B20&lt;&gt;0,F11+SUM(G8:G10),0)</f>
        <v>1090.3989000000001</v>
      </c>
      <c r="I11" s="127">
        <f t="shared" si="11"/>
        <v>49.905474600000012</v>
      </c>
      <c r="J11" s="127">
        <f>IF(H11="",F11*0.05,H11*0.05)</f>
        <v>54.519945000000007</v>
      </c>
      <c r="K11" s="127">
        <f>IF(SUM(F$2:F11)&gt;11000,F11-11000*0.2,0)</f>
        <v>0</v>
      </c>
      <c r="L11" s="134">
        <f t="shared" si="5"/>
        <v>985.9734804000002</v>
      </c>
      <c r="M11" s="135" t="str">
        <f t="shared" si="6"/>
        <v>Nov 30</v>
      </c>
      <c r="N11" s="134">
        <v>950.62</v>
      </c>
      <c r="O11" s="134">
        <f t="shared" si="7"/>
        <v>35.353480400000194</v>
      </c>
      <c r="P11" s="131"/>
      <c r="Q11" s="11">
        <f t="shared" si="10"/>
        <v>5382.9726039999996</v>
      </c>
    </row>
    <row r="12" spans="1:20" ht="34.799999999999997">
      <c r="A12" s="129" t="s">
        <v>111</v>
      </c>
      <c r="B12" s="137" t="s">
        <v>238</v>
      </c>
      <c r="C12" s="137"/>
      <c r="D12" s="131">
        <f t="shared" ref="D12:D13" si="12">IF(B12&lt;&gt;"",((LEN(B12)-LEN(SUBSTITUTE(B12,",","")))+1))</f>
        <v>15</v>
      </c>
      <c r="E12" s="131">
        <f>ROUND((((D12*7.5)/9)+(D12*7.5)), 2) - ((((LEN(B12)-LEN(SUBSTITUTE(B12,"^","")))*7.5)-((LEN(B12)-LEN(SUBSTITUTE(B12,"^","")))*6))+(((LEN(B12)-LEN(SUBSTITUTE(B12,"£","")))*7.5)-((LEN(B12)-LEN(SUBSTITUTE(B12,"£","")))*3))) + (LEN(B12)-LEN(SUBSTITUTE(B12,"+","")))</f>
        <v>128.5</v>
      </c>
      <c r="F12" s="127">
        <f>E12*B19</f>
        <v>1002.2486</v>
      </c>
      <c r="G12" s="133">
        <f t="shared" si="1"/>
        <v>57.87639999999999</v>
      </c>
      <c r="H12" s="127"/>
      <c r="I12" s="127">
        <f t="shared" si="11"/>
        <v>39.856340400000001</v>
      </c>
      <c r="J12" s="127">
        <f>IF(H12="",F12*0.05,H12*0.05)</f>
        <v>50.112430000000003</v>
      </c>
      <c r="K12" s="127">
        <f>IF(SUM(F$2:F12)&gt;11000,F12-11000*0.2,0)</f>
        <v>0</v>
      </c>
      <c r="L12" s="134">
        <f t="shared" si="5"/>
        <v>912.27982959999997</v>
      </c>
      <c r="M12" s="135" t="str">
        <f>"Dec 21"</f>
        <v>Dec 21</v>
      </c>
      <c r="N12" s="134">
        <v>866.48</v>
      </c>
      <c r="O12" s="134">
        <f t="shared" si="7"/>
        <v>45.799829599999953</v>
      </c>
      <c r="P12" s="131"/>
      <c r="Q12" s="11">
        <f t="shared" si="10"/>
        <v>6385.2212039999995</v>
      </c>
    </row>
    <row r="13" spans="1:20" ht="17.399999999999999">
      <c r="A13" s="129" t="s">
        <v>118</v>
      </c>
      <c r="B13" s="131">
        <f>(IF(B14&lt;&gt;"",((LEN(B14)-LEN(SUBSTITUTE(B14,",","")))+1)))+(IF(B15&lt;&gt;"",((LEN(B15)-LEN(SUBSTITUTE(B15,",","")))+1)))+(IF(B16&lt;&gt;"",((LEN(B16)-LEN(SUBSTITUTE(B16,",","")))+1)))+(IF(B17&lt;&gt;"",((LEN(B17)-LEN(SUBSTITUTE(B17,",","")))+1)))</f>
        <v>14</v>
      </c>
      <c r="C13" s="174">
        <f>ROUND(SUM(C14:C16)/9,2)+SUM(C14:C16)</f>
        <v>102.22</v>
      </c>
      <c r="D13" s="131">
        <f t="shared" si="12"/>
        <v>1</v>
      </c>
      <c r="E13" s="172"/>
      <c r="F13" s="127">
        <f>C13*B19</f>
        <v>797.27511199999992</v>
      </c>
      <c r="G13" s="133">
        <f>8.25*C13-F13</f>
        <v>46.039888000000019</v>
      </c>
      <c r="H13" s="127"/>
      <c r="I13" s="127">
        <f>IF(H13="",IF((((F13-J13)/4)-155)&gt;0,((((F13-J13)/4)-155)*0.12)*4,0),IF((((H13-J13)/4)-155)&gt;0,((((H13-J13)/4)-155)*0.12)*4,0))</f>
        <v>21.273013439999989</v>
      </c>
      <c r="J13" s="127"/>
      <c r="K13" s="127">
        <f>IF(SUM(F$2:F13)&gt;11000,F13-11000*0.2,0)</f>
        <v>0</v>
      </c>
      <c r="L13" s="134">
        <f t="shared" si="5"/>
        <v>776.00209855999992</v>
      </c>
      <c r="M13" s="135" t="str">
        <f t="shared" si="6"/>
        <v>Jan 25</v>
      </c>
      <c r="N13" s="144">
        <v>798.12</v>
      </c>
      <c r="P13" s="131"/>
      <c r="Q13" s="11">
        <f t="shared" si="10"/>
        <v>7182.4963159999998</v>
      </c>
    </row>
    <row r="14" spans="1:20" ht="18" outlineLevel="1">
      <c r="A14" s="173">
        <v>42702</v>
      </c>
      <c r="B14" s="175" t="s">
        <v>239</v>
      </c>
      <c r="C14" s="137">
        <f>8+6+5+8</f>
        <v>27</v>
      </c>
      <c r="D14" s="131"/>
      <c r="E14" s="172"/>
      <c r="F14" s="127"/>
      <c r="G14" s="127"/>
      <c r="H14" s="127"/>
      <c r="I14" s="127"/>
      <c r="J14" s="127"/>
      <c r="K14" s="127"/>
      <c r="L14" s="134"/>
      <c r="M14" s="135"/>
      <c r="N14" s="144"/>
      <c r="P14" s="131"/>
    </row>
    <row r="15" spans="1:20" ht="18" outlineLevel="1">
      <c r="A15" s="173">
        <f>A14+7</f>
        <v>42709</v>
      </c>
      <c r="B15" s="175" t="s">
        <v>240</v>
      </c>
      <c r="C15" s="137">
        <f>8+6+3+8+7</f>
        <v>32</v>
      </c>
      <c r="D15" s="131"/>
      <c r="E15" s="172"/>
      <c r="F15" s="127"/>
      <c r="G15" s="127"/>
      <c r="H15" s="127"/>
      <c r="I15" s="127"/>
      <c r="J15" s="127"/>
      <c r="K15" s="127"/>
      <c r="L15" s="134"/>
      <c r="M15" s="135"/>
      <c r="N15" s="144"/>
      <c r="P15" s="131"/>
    </row>
    <row r="16" spans="1:20" ht="18" outlineLevel="1">
      <c r="A16" s="173">
        <f t="shared" ref="A16:A17" si="13">A15+7</f>
        <v>42716</v>
      </c>
      <c r="B16" s="175" t="s">
        <v>241</v>
      </c>
      <c r="C16" s="137">
        <f>8+6+3+8+8</f>
        <v>33</v>
      </c>
      <c r="D16" s="131"/>
      <c r="E16" s="172"/>
      <c r="F16" s="127"/>
      <c r="G16" s="127"/>
      <c r="H16" s="127"/>
      <c r="I16" s="127"/>
      <c r="J16" s="127"/>
      <c r="K16" s="127"/>
      <c r="L16" s="134"/>
      <c r="M16" s="135"/>
      <c r="N16" s="144"/>
      <c r="P16" s="131"/>
    </row>
    <row r="17" spans="1:14" ht="18" customHeight="1" outlineLevel="1">
      <c r="A17" s="173">
        <f t="shared" si="13"/>
        <v>42723</v>
      </c>
      <c r="B17" s="176"/>
      <c r="C17" s="130"/>
      <c r="D17" s="131"/>
      <c r="E17" s="131"/>
      <c r="F17" s="139"/>
      <c r="G17" s="127"/>
      <c r="H17" s="140"/>
      <c r="I17" s="127"/>
      <c r="J17" s="141" t="str">
        <f>"SUM: " &amp; ROUND(SUM(J8:J13),2)</f>
        <v>SUM: 255.08</v>
      </c>
      <c r="K17" s="139"/>
      <c r="L17" s="127" t="str">
        <f ca="1">"SUM: "&amp; ROUND(SUM(L2:L13),2)</f>
        <v>SUM: 8324.02</v>
      </c>
      <c r="M17" s="139"/>
      <c r="N17" s="127" t="str">
        <f>"SUM: " &amp; SUM(N2:N13)</f>
        <v>SUM: 8533.95</v>
      </c>
    </row>
    <row r="18" spans="1:14" ht="19.5" customHeight="1">
      <c r="A18" s="173"/>
      <c r="B18" s="176"/>
      <c r="C18" s="130"/>
      <c r="D18" s="131"/>
      <c r="E18" s="131"/>
      <c r="F18" s="139"/>
      <c r="G18" s="127"/>
      <c r="H18" s="140"/>
      <c r="I18" s="127"/>
      <c r="J18" s="141"/>
      <c r="K18" s="139"/>
      <c r="L18" s="127"/>
      <c r="M18" s="139"/>
      <c r="N18" s="127"/>
    </row>
    <row r="19" spans="1:14" ht="17.399999999999999">
      <c r="A19" s="129" t="s">
        <v>210</v>
      </c>
      <c r="B19" s="142">
        <v>7.7995999999999999</v>
      </c>
      <c r="C19" s="142"/>
      <c r="D19" s="131"/>
      <c r="E19" s="131"/>
      <c r="F19" s="139"/>
      <c r="G19" s="127"/>
      <c r="H19" s="143"/>
      <c r="I19" s="127"/>
      <c r="J19" s="139"/>
      <c r="K19" s="139"/>
      <c r="L19" s="143"/>
      <c r="M19" s="139"/>
      <c r="N19" s="145"/>
    </row>
    <row r="20" spans="1:14" ht="17.399999999999999">
      <c r="A20" s="129" t="s">
        <v>211</v>
      </c>
      <c r="B20" s="147">
        <v>8.25</v>
      </c>
      <c r="C20" s="147"/>
      <c r="D20" s="1"/>
      <c r="E20" s="1"/>
      <c r="G20" s="3"/>
      <c r="I20" s="3"/>
      <c r="L20" s="38"/>
    </row>
    <row r="21" spans="1:14" ht="17.399999999999999">
      <c r="A21" s="129" t="s">
        <v>212</v>
      </c>
      <c r="B21" s="4" t="s">
        <v>213</v>
      </c>
      <c r="C21" s="4"/>
      <c r="H21" s="73"/>
      <c r="J21" s="11"/>
      <c r="K21" s="11"/>
    </row>
    <row r="22" spans="1:14" ht="17.399999999999999">
      <c r="B22" s="1"/>
      <c r="C22" s="1"/>
      <c r="E22" s="3"/>
      <c r="F22" s="11"/>
      <c r="G22" s="3"/>
      <c r="I22" s="38"/>
    </row>
    <row r="23" spans="1:14" ht="17.399999999999999">
      <c r="B23" s="187"/>
      <c r="C23" s="187"/>
      <c r="E23" s="3"/>
      <c r="F23" s="11"/>
      <c r="G23" s="3"/>
      <c r="I23" s="38"/>
    </row>
    <row r="24" spans="1:14" ht="17.399999999999999">
      <c r="B24" s="171"/>
      <c r="C24" s="171"/>
      <c r="E24" s="3"/>
      <c r="F24" s="38"/>
      <c r="G24" s="3"/>
      <c r="I24" s="38"/>
    </row>
    <row r="25" spans="1:14" ht="17.399999999999999">
      <c r="B25" s="1"/>
      <c r="C25" s="1"/>
      <c r="E25" s="3"/>
      <c r="G25" s="3"/>
      <c r="I25" s="38"/>
      <c r="J25" s="11"/>
      <c r="K25" s="11"/>
    </row>
    <row r="26" spans="1:14" ht="17.399999999999999">
      <c r="D26" s="38"/>
      <c r="E26" s="3"/>
      <c r="F26" s="3"/>
      <c r="G26" s="3"/>
      <c r="I26" s="38"/>
    </row>
    <row r="27" spans="1:14" ht="17.399999999999999">
      <c r="F27" s="68"/>
      <c r="G27" s="38"/>
      <c r="H27" s="38"/>
    </row>
    <row r="28" spans="1:14" ht="17.399999999999999">
      <c r="B28" s="4"/>
      <c r="C28" s="4"/>
      <c r="E28" s="3"/>
      <c r="F28" s="38"/>
    </row>
    <row r="29" spans="1:14" ht="17.399999999999999">
      <c r="B29" s="4"/>
      <c r="C29" s="4"/>
      <c r="E29" s="3"/>
      <c r="F29" s="38"/>
    </row>
    <row r="30" spans="1:14" ht="17.399999999999999">
      <c r="A30" t="s">
        <v>242</v>
      </c>
      <c r="B30" s="1">
        <f>ROUND((8.5*5)+((8.5*5)/9),2)*52</f>
        <v>2455.44</v>
      </c>
      <c r="C30" s="188">
        <f>B30*8.25</f>
        <v>20257.38</v>
      </c>
      <c r="D30" s="72">
        <f>C30/12</f>
        <v>1688.115</v>
      </c>
      <c r="E30" s="3">
        <f>(D30/4-155)*0.12*4</f>
        <v>128.1738</v>
      </c>
      <c r="F30" s="79">
        <f>ROUND((C30-11000)*0.2,2)</f>
        <v>1851.48</v>
      </c>
      <c r="G30" s="38">
        <f>C30-F30-E30</f>
        <v>18277.726200000001</v>
      </c>
    </row>
    <row r="31" spans="1:14" ht="17.399999999999999">
      <c r="A31" t="s">
        <v>243</v>
      </c>
      <c r="B31" s="1">
        <f>ROUND((7.5*5)+((7.5*5)/9),2)*52</f>
        <v>2166.84</v>
      </c>
      <c r="C31" s="188">
        <f>B31*8.25</f>
        <v>17876.43</v>
      </c>
      <c r="D31" s="72">
        <f>C31/12</f>
        <v>1489.7025000000001</v>
      </c>
      <c r="E31" s="3">
        <f>(D31/4-155)*0.12*4</f>
        <v>104.36430000000001</v>
      </c>
      <c r="F31" s="79">
        <f>ROUND((C31-11000)*0.2,2)</f>
        <v>1375.29</v>
      </c>
      <c r="G31" s="38">
        <f>C31-F31-E31</f>
        <v>16396.775699999998</v>
      </c>
    </row>
    <row r="32" spans="1:14" ht="17.399999999999999">
      <c r="A32" t="s">
        <v>244</v>
      </c>
      <c r="B32" s="1">
        <f>37.78*52</f>
        <v>1964.56</v>
      </c>
      <c r="C32" s="188">
        <f>B32*8.25</f>
        <v>16207.619999999999</v>
      </c>
      <c r="D32" s="72">
        <f>C32/12</f>
        <v>1350.635</v>
      </c>
      <c r="E32" s="3">
        <f>(D32/4-155)*0.12*4</f>
        <v>87.676199999999994</v>
      </c>
      <c r="F32" s="79">
        <f>ROUND((C32-11000)*0.2,2)</f>
        <v>1041.52</v>
      </c>
      <c r="G32" s="38">
        <f>C32-F32-E32</f>
        <v>15078.423799999999</v>
      </c>
    </row>
    <row r="33" spans="1:7" ht="17.399999999999999">
      <c r="A33" t="s">
        <v>245</v>
      </c>
      <c r="B33" s="1">
        <f>ROUND((7.5*4)+((7.5*4)/9),2)*52</f>
        <v>1733.1599999999999</v>
      </c>
      <c r="C33" s="188">
        <f>B33*8.25</f>
        <v>14298.57</v>
      </c>
      <c r="D33" s="72">
        <f>C33/12</f>
        <v>1191.5474999999999</v>
      </c>
      <c r="E33" s="3">
        <f>(D33/4-155)*0.12*4</f>
        <v>68.585699999999989</v>
      </c>
      <c r="F33" s="79">
        <f>ROUND((C33-11000)*0.2,2)</f>
        <v>659.71</v>
      </c>
      <c r="G33" s="38">
        <f>C33-F33-E33</f>
        <v>13570.274300000001</v>
      </c>
    </row>
    <row r="34" spans="1:7" ht="17.399999999999999">
      <c r="B34" s="4"/>
      <c r="C34" s="1"/>
      <c r="F34" s="38"/>
    </row>
    <row r="35" spans="1:7" ht="17.399999999999999">
      <c r="B35" s="4"/>
      <c r="C35" s="1"/>
      <c r="F35" s="11"/>
    </row>
    <row r="36" spans="1:7" ht="18">
      <c r="B36" s="57"/>
      <c r="C36" s="1"/>
    </row>
    <row r="37" spans="1:7" ht="18">
      <c r="B37" s="57"/>
      <c r="C37" s="1"/>
      <c r="F37" s="11"/>
    </row>
    <row r="38" spans="1:7" ht="18">
      <c r="B38" s="57"/>
      <c r="C38" s="4"/>
    </row>
    <row r="39" spans="1:7" ht="17.399999999999999">
      <c r="B39" s="55"/>
      <c r="C39" s="4"/>
    </row>
    <row r="40" spans="1:7" ht="18">
      <c r="C40" s="57"/>
    </row>
    <row r="41" spans="1:7" ht="18">
      <c r="C41" s="57"/>
    </row>
    <row r="42" spans="1:7" ht="18">
      <c r="A42" s="56"/>
      <c r="B42" s="55"/>
      <c r="C42" s="57"/>
    </row>
    <row r="43" spans="1:7">
      <c r="A43" s="56"/>
      <c r="B43" s="55"/>
      <c r="C43" s="55"/>
    </row>
    <row r="44" spans="1:7">
      <c r="A44" s="56"/>
      <c r="B44" s="55"/>
    </row>
    <row r="45" spans="1:7">
      <c r="A45" s="56"/>
      <c r="B45" s="55"/>
    </row>
    <row r="46" spans="1:7">
      <c r="A46" s="56"/>
      <c r="B46" s="55"/>
      <c r="C46" s="55"/>
    </row>
    <row r="47" spans="1:7">
      <c r="A47" s="56"/>
      <c r="B47" s="55"/>
      <c r="C47" s="55"/>
    </row>
    <row r="48" spans="1:7">
      <c r="A48" s="56"/>
      <c r="B48" s="55"/>
      <c r="C48" s="55"/>
    </row>
    <row r="49" spans="1:3">
      <c r="A49" s="56"/>
      <c r="B49" s="55"/>
      <c r="C49" s="55"/>
    </row>
    <row r="50" spans="1:3">
      <c r="A50" s="56"/>
      <c r="B50" s="55"/>
      <c r="C50" s="55"/>
    </row>
    <row r="51" spans="1:3">
      <c r="A51" s="56"/>
      <c r="B51" s="55"/>
      <c r="C51" s="55"/>
    </row>
    <row r="52" spans="1:3">
      <c r="A52" s="56"/>
      <c r="B52" s="55"/>
      <c r="C52" s="55"/>
    </row>
    <row r="53" spans="1:3">
      <c r="A53" s="56"/>
      <c r="B53" s="55"/>
      <c r="C53" s="55"/>
    </row>
    <row r="54" spans="1:3">
      <c r="A54" s="56"/>
      <c r="B54" s="55"/>
      <c r="C54" s="55"/>
    </row>
    <row r="55" spans="1:3">
      <c r="A55" s="56"/>
      <c r="B55" s="55"/>
      <c r="C55" s="55"/>
    </row>
    <row r="56" spans="1:3">
      <c r="C56" s="55"/>
    </row>
    <row r="57" spans="1:3">
      <c r="C57" s="55"/>
    </row>
    <row r="58" spans="1:3">
      <c r="C58" s="55"/>
    </row>
    <row r="59" spans="1:3">
      <c r="C59" s="55"/>
    </row>
  </sheetData>
  <conditionalFormatting sqref="M2:M16">
    <cfRule type="expression" dxfId="406" priority="1">
      <formula>(CONCACTENATE(M2," ",LEFT(A1,4)))&gt;TODAY()</formula>
    </cfRule>
  </conditionalFormatting>
  <conditionalFormatting sqref="N2:N16">
    <cfRule type="cellIs" dxfId="405" priority="4" operator="greaterThan">
      <formula>0</formula>
    </cfRule>
  </conditionalFormatting>
  <pageMargins left="0" right="0" top="0" bottom="0" header="0" footer="0"/>
  <ignoredErrors>
    <ignoredError sqref="M12 Q7" formula="1"/>
  </ignoredErrors>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S76"/>
  <sheetViews>
    <sheetView workbookViewId="0"/>
  </sheetViews>
  <sheetFormatPr defaultColWidth="8.44140625" defaultRowHeight="18" outlineLevelRow="1" outlineLevelCol="1"/>
  <cols>
    <col min="1" max="1" width="15.44140625" customWidth="1"/>
    <col min="2" max="2" width="20.44140625" customWidth="1"/>
    <col min="3" max="3" width="19.44140625" customWidth="1"/>
    <col min="4" max="5" width="18.33203125" customWidth="1"/>
    <col min="6" max="6" width="22.33203125" customWidth="1"/>
    <col min="7" max="7" width="14.6640625" customWidth="1" outlineLevel="1"/>
    <col min="8" max="8" width="17.44140625" customWidth="1" outlineLevel="1"/>
    <col min="9" max="9" width="25" customWidth="1" outlineLevel="1"/>
    <col min="10" max="10" width="13.44140625" customWidth="1"/>
    <col min="11" max="11" width="13.44140625" style="117" customWidth="1"/>
    <col min="12" max="13" width="16.6640625" customWidth="1"/>
    <col min="14" max="14" width="35.109375" customWidth="1"/>
    <col min="15" max="15" width="11.109375" customWidth="1"/>
    <col min="17" max="19" width="17.44140625" customWidth="1"/>
  </cols>
  <sheetData>
    <row r="1" spans="1:19" ht="17.399999999999999">
      <c r="A1" s="29" t="s">
        <v>246</v>
      </c>
      <c r="B1" s="29" t="s">
        <v>223</v>
      </c>
      <c r="C1" s="29" t="s">
        <v>193</v>
      </c>
      <c r="D1" s="29" t="s">
        <v>247</v>
      </c>
      <c r="E1" s="29" t="s">
        <v>195</v>
      </c>
      <c r="F1" s="29" t="s">
        <v>248</v>
      </c>
      <c r="G1" s="29" t="s">
        <v>197</v>
      </c>
      <c r="H1" s="29" t="s">
        <v>198</v>
      </c>
      <c r="I1" s="29" t="s">
        <v>199</v>
      </c>
      <c r="J1" s="29" t="s">
        <v>249</v>
      </c>
      <c r="K1" s="29" t="s">
        <v>201</v>
      </c>
      <c r="L1" s="29" t="s">
        <v>250</v>
      </c>
      <c r="M1" s="29" t="s">
        <v>251</v>
      </c>
      <c r="N1" s="29" t="s">
        <v>252</v>
      </c>
      <c r="Q1" s="6"/>
      <c r="R1" s="6"/>
      <c r="S1" s="6"/>
    </row>
    <row r="2" spans="1:19" ht="19.2">
      <c r="A2" s="30" t="s">
        <v>17</v>
      </c>
      <c r="B2" s="131">
        <f>(IF(B3&lt;&gt;"",((LEN(B3)-LEN(SUBSTITUTE(B3,",","")))+1)))+(IF(B4&lt;&gt;"",((LEN(B4)-LEN(SUBSTITUTE(B4,",","")))+1)))+(IF(B5&lt;&gt;"",((LEN(B5)-LEN(SUBSTITUTE(B5,",","")))+1)))+(IF(B6&lt;&gt;"",((LEN(B6)-LEN(SUBSTITUTE(B6,",","")))+1)))</f>
        <v>18</v>
      </c>
      <c r="C2" s="174">
        <f>ROUND(SUM(C3:C6)/9,2)+SUM(C3:C6)</f>
        <v>150</v>
      </c>
      <c r="D2" s="3">
        <f>C2*B41</f>
        <v>1181.6849999999999</v>
      </c>
      <c r="E2" s="71">
        <f t="shared" ref="E2:E34" si="0">8.25*C2-D2</f>
        <v>55.815000000000055</v>
      </c>
      <c r="F2" s="133">
        <f ca="1">IF(ISREF(INDIRECT("'"&amp;"Wages "&amp;LEFT(A1,4)-1&amp;"'!A1"))=TRUE,INDIRECT(CONCATENATE("'Wages ",LEFT(A1,4)-1,"'!G11")) + INDIRECT(CONCATENATE("'Wages ",LEFT(A1,4)-1,"'!G12")) + INDIRECT(CONCATENATE("'Wages ",LEFT(A1,4)-1,"'!G13")) + D2,"")</f>
        <v>1338.8971200000001</v>
      </c>
      <c r="G2" s="3">
        <f ca="1">IF(F2="",IF((((D2-H2)/4)-155)&gt;0,((((D2-H2)/4)-155)*0.12)*4,0),IF((((F2-H2)/4)-155)&gt;0,((((F2-H2)/4)-155)*0.12)*4,0))</f>
        <v>78.234271679999992</v>
      </c>
      <c r="H2" s="127">
        <f ca="1">IF(B$43&lt;&gt;"N",IF(F2="",D2*0.05,F2*0.05),0)</f>
        <v>66.944856000000001</v>
      </c>
      <c r="I2" s="127">
        <f ca="1">IF(N2&gt;11000,IF(F2="",(D2-11000)*0.2,(F2-11000)*0.2),0)</f>
        <v>0</v>
      </c>
      <c r="J2" s="65">
        <f ca="1">IF(F2="",D2-G2-H2,F2-G2-H2)</f>
        <v>1193.7179923200001</v>
      </c>
      <c r="K2" s="116" t="str">
        <f>TEXT(DATE(LEFT(A$1,4),IF(MONTH(DATEVALUE(A2&amp;" 1"))+1&gt;12,1,MONTH(DATEVALUE(A2&amp;" 1"))+1),1),"mmm")&amp;" " &amp;DAY(EOMONTH((DATE(LEFT(A$1,4),MONTH(DATEVALUE(A2&amp;" 1"))+1,1)),0)+1-WEEKDAY(EOMONTH((DATE(LEFT(A$1,4),MONTH(DATEVALUE(A2&amp;" 1"))+1,1)),0)+1-4))</f>
        <v>Feb 22</v>
      </c>
      <c r="L2" s="3">
        <v>1110.3900000000001</v>
      </c>
      <c r="M2" s="200">
        <f ca="1">IF(L2&lt;&gt;"",J2-L2,"")</f>
        <v>83.327992320000021</v>
      </c>
      <c r="N2" s="199">
        <f ca="1">IF(ISREF(INDIRECT("'"&amp;"Wages "&amp;LEFT(A1,4)-1&amp;"'!A1"))=TRUE,INDIRECT(CONCATENATE("'Wages ",LEFT(A1,4)-1,"'!Q13")))+(IF(F2="",D2,F2))</f>
        <v>8521.3934360000003</v>
      </c>
      <c r="Q2" s="7"/>
      <c r="R2" s="7"/>
      <c r="S2" s="7"/>
    </row>
    <row r="3" spans="1:19" ht="19.2" outlineLevel="1">
      <c r="A3" s="190">
        <v>42737</v>
      </c>
      <c r="B3" s="190" t="s">
        <v>253</v>
      </c>
      <c r="C3" s="1">
        <f>8.5+8.5+8.5+5</f>
        <v>30.5</v>
      </c>
      <c r="D3" s="3"/>
      <c r="E3" s="71"/>
      <c r="F3" s="133"/>
      <c r="G3" s="3"/>
      <c r="H3" s="127"/>
      <c r="I3" s="127"/>
      <c r="J3" s="65"/>
      <c r="K3" s="116"/>
      <c r="L3" s="3"/>
      <c r="M3" s="3"/>
      <c r="N3" s="199"/>
      <c r="Q3" s="7"/>
      <c r="R3" s="7"/>
      <c r="S3" s="7"/>
    </row>
    <row r="4" spans="1:19" ht="19.2" outlineLevel="1">
      <c r="A4" s="190">
        <f>A3+7</f>
        <v>42744</v>
      </c>
      <c r="B4" s="190" t="s">
        <v>254</v>
      </c>
      <c r="C4" s="1">
        <f>8.5+8.5+8.5+8+8.5</f>
        <v>42</v>
      </c>
      <c r="D4" s="3"/>
      <c r="E4" s="71"/>
      <c r="F4" s="133"/>
      <c r="G4" s="3"/>
      <c r="H4" s="127"/>
      <c r="I4" s="127"/>
      <c r="J4" s="65"/>
      <c r="K4" s="116"/>
      <c r="L4" s="3"/>
      <c r="M4" s="3"/>
      <c r="N4" s="199"/>
      <c r="Q4" s="7"/>
      <c r="R4" s="7"/>
      <c r="S4" s="7"/>
    </row>
    <row r="5" spans="1:19" ht="19.2" outlineLevel="1">
      <c r="A5" s="190">
        <f t="shared" ref="A5:A6" si="1">A4+7</f>
        <v>42751</v>
      </c>
      <c r="B5" s="190" t="s">
        <v>255</v>
      </c>
      <c r="C5" s="1">
        <f>8.5+6+3+8.5+5</f>
        <v>31</v>
      </c>
      <c r="D5" s="3"/>
      <c r="E5" s="71"/>
      <c r="F5" s="133"/>
      <c r="G5" s="3"/>
      <c r="H5" s="127"/>
      <c r="I5" s="127"/>
      <c r="J5" s="65"/>
      <c r="K5" s="116"/>
      <c r="L5" s="3"/>
      <c r="M5" s="3"/>
      <c r="N5" s="199"/>
      <c r="Q5" s="7"/>
      <c r="R5" s="7"/>
      <c r="S5" s="7"/>
    </row>
    <row r="6" spans="1:19" ht="19.2" outlineLevel="1">
      <c r="A6" s="190">
        <f t="shared" si="1"/>
        <v>42758</v>
      </c>
      <c r="B6" s="190" t="s">
        <v>256</v>
      </c>
      <c r="C6" s="1">
        <f>8.5+6+8.5+8.5</f>
        <v>31.5</v>
      </c>
      <c r="D6" s="3"/>
      <c r="E6" s="71"/>
      <c r="F6" s="133"/>
      <c r="G6" s="3"/>
      <c r="H6" s="127"/>
      <c r="I6" s="127"/>
      <c r="J6" s="65"/>
      <c r="K6" s="116"/>
      <c r="L6" s="3"/>
      <c r="M6" s="3"/>
      <c r="N6" s="199"/>
      <c r="Q6" s="7"/>
      <c r="R6" s="7"/>
      <c r="S6" s="7"/>
    </row>
    <row r="7" spans="1:19" ht="19.2">
      <c r="A7" s="30" t="s">
        <v>29</v>
      </c>
      <c r="B7" s="131">
        <f>(IF(B8&lt;&gt;"",((LEN(B8)-LEN(SUBSTITUTE(B8,",","")))+1)))+(IF(B9&lt;&gt;"",((LEN(B9)-LEN(SUBSTITUTE(B9,",","")))+1)))+(IF(B10&lt;&gt;"",((LEN(B10)-LEN(SUBSTITUTE(B10,",","")))+1)))+(IF(B11&lt;&gt;"",((LEN(B11)-LEN(SUBSTITUTE(B11,",","")))+1)))+(IF(B12&lt;&gt;"",((LEN(B12)-LEN(SUBSTITUTE(B12,",","")))+1)))</f>
        <v>20</v>
      </c>
      <c r="C7" s="174">
        <f>ROUND(SUM(C8:C12)/9,2)+SUM(C8:C12)</f>
        <v>135.56</v>
      </c>
      <c r="D7" s="3">
        <f>C7*B41</f>
        <v>1067.928124</v>
      </c>
      <c r="E7" s="71">
        <f t="shared" si="0"/>
        <v>50.441876000000093</v>
      </c>
      <c r="F7" s="127"/>
      <c r="G7" s="3">
        <f t="shared" ref="G7:G13" si="2">IF(F7="",IF((((D7-H7)/4)-155)&gt;0,((((D7-H7)/4)-155)*0.12)*4,0),IF((((F7-H7)/4)-155)&gt;0,((((F7-H7)/4)-155)*0.12)*4,0))</f>
        <v>47.343806135999998</v>
      </c>
      <c r="H7" s="127">
        <f>IF(B$43&lt;&gt;"N",IF(F7="",D7*0.05,F7*0.05),0)</f>
        <v>53.396406200000001</v>
      </c>
      <c r="I7" s="127">
        <f ca="1">IF(N7&gt;11000,(D7-(11000-N2))*0.2,0)</f>
        <v>0</v>
      </c>
      <c r="J7" s="65">
        <f t="shared" ref="J7" si="3">IF(F7="",D7-G7-H7,F7-G7-H7)</f>
        <v>967.18791166400001</v>
      </c>
      <c r="K7" s="116" t="str">
        <f>TEXT(DATE(LEFT(A$1,4),IF(MONTH(DATEVALUE(A7&amp;" 1"))+1&gt;12,1,MONTH(DATEVALUE(A7&amp;" 1"))+1),1),"mmm")&amp;" " &amp;DAY(EOMONTH((DATE(LEFT(A$1,4),MONTH(DATEVALUE(A7&amp;" 1"))+1,1)),0)+1-WEEKDAY(EOMONTH((DATE(LEFT(A$1,4),MONTH(DATEVALUE(A7&amp;" 1"))+1,1)),0)+1-4))</f>
        <v>Mar 29</v>
      </c>
      <c r="L7" s="3">
        <v>945.16</v>
      </c>
      <c r="M7" s="200">
        <f>IF(L7&lt;&gt;"",J7-L7,"")</f>
        <v>22.027911664000044</v>
      </c>
      <c r="N7" s="199">
        <f ca="1">N2+D7</f>
        <v>9589.3215600000003</v>
      </c>
      <c r="Q7" s="2"/>
      <c r="R7" s="2"/>
      <c r="S7" s="2"/>
    </row>
    <row r="8" spans="1:19" ht="19.2" outlineLevel="1">
      <c r="A8" s="191">
        <v>42765</v>
      </c>
      <c r="B8" s="5" t="s">
        <v>257</v>
      </c>
      <c r="C8" s="1">
        <f>8.5+6+8.5</f>
        <v>23</v>
      </c>
      <c r="D8" s="3"/>
      <c r="E8" s="71"/>
      <c r="F8" s="127"/>
      <c r="G8" s="3"/>
      <c r="H8" s="127"/>
      <c r="I8" s="127"/>
      <c r="J8" s="65"/>
      <c r="K8" s="116"/>
      <c r="L8" s="3"/>
      <c r="M8" s="3"/>
      <c r="N8" s="199"/>
      <c r="Q8" s="2"/>
      <c r="R8" s="2"/>
      <c r="S8" s="2"/>
    </row>
    <row r="9" spans="1:19" ht="19.2" outlineLevel="1">
      <c r="A9" s="191">
        <f>A8+7</f>
        <v>42772</v>
      </c>
      <c r="B9" s="5" t="s">
        <v>258</v>
      </c>
      <c r="C9" s="1">
        <f>7.25+6+7.5+7.5</f>
        <v>28.25</v>
      </c>
      <c r="D9" s="3"/>
      <c r="E9" s="71"/>
      <c r="F9" s="127"/>
      <c r="G9" s="3"/>
      <c r="H9" s="127"/>
      <c r="I9" s="127"/>
      <c r="J9" s="65"/>
      <c r="K9" s="116"/>
      <c r="L9" s="3"/>
      <c r="M9" s="3"/>
      <c r="N9" s="199"/>
      <c r="Q9" s="2"/>
      <c r="R9" s="2"/>
      <c r="S9" s="2"/>
    </row>
    <row r="10" spans="1:19" ht="19.2" outlineLevel="1">
      <c r="A10" s="191">
        <f t="shared" ref="A10:A11" si="4">A9+7</f>
        <v>42779</v>
      </c>
      <c r="B10" s="5"/>
      <c r="C10" s="1">
        <v>9</v>
      </c>
      <c r="D10" s="3"/>
      <c r="E10" s="71"/>
      <c r="F10" s="127"/>
      <c r="G10" s="3"/>
      <c r="H10" s="127"/>
      <c r="I10" s="127"/>
      <c r="J10" s="65"/>
      <c r="K10" s="116"/>
      <c r="L10" s="3"/>
      <c r="M10" s="3"/>
      <c r="N10" s="199"/>
      <c r="Q10" s="2"/>
      <c r="R10" s="2"/>
      <c r="S10" s="2"/>
    </row>
    <row r="11" spans="1:19" ht="34.799999999999997" outlineLevel="1">
      <c r="A11" s="191">
        <f t="shared" si="4"/>
        <v>42786</v>
      </c>
      <c r="B11" s="5" t="s">
        <v>259</v>
      </c>
      <c r="C11" s="1">
        <f>7.5+7.5+4.75+7.5+7.5+3</f>
        <v>37.75</v>
      </c>
      <c r="D11" s="3"/>
      <c r="E11" s="71"/>
      <c r="F11" s="127"/>
      <c r="G11" s="3"/>
      <c r="H11" s="127"/>
      <c r="I11" s="127"/>
      <c r="J11" s="65"/>
      <c r="K11" s="116"/>
      <c r="L11" s="3"/>
      <c r="M11" s="3"/>
      <c r="N11" s="199"/>
      <c r="Q11" s="2"/>
      <c r="R11" s="2"/>
      <c r="S11" s="2"/>
    </row>
    <row r="12" spans="1:19" ht="19.2" outlineLevel="1">
      <c r="A12" s="191">
        <v>42793</v>
      </c>
      <c r="B12" s="5" t="s">
        <v>260</v>
      </c>
      <c r="C12" s="1">
        <f>7.5+6+3+7.5</f>
        <v>24</v>
      </c>
      <c r="D12" s="3"/>
      <c r="E12" s="71"/>
      <c r="F12" s="127"/>
      <c r="G12" s="3"/>
      <c r="H12" s="127"/>
      <c r="I12" s="127"/>
      <c r="J12" s="65"/>
      <c r="K12" s="116"/>
      <c r="L12" s="3"/>
      <c r="M12" s="3"/>
      <c r="N12" s="199"/>
      <c r="Q12" s="2"/>
      <c r="R12" s="2"/>
      <c r="S12" s="2"/>
    </row>
    <row r="13" spans="1:19" ht="19.2">
      <c r="A13" s="30" t="s">
        <v>37</v>
      </c>
      <c r="B13" s="131">
        <f>(IF(B14&lt;&gt;"",((LEN(B14)-LEN(SUBSTITUTE(B14,",","")))+1)))+(IF(B15&lt;&gt;"",((LEN(B15)-LEN(SUBSTITUTE(B15,",","")))+1)))+(IF(B16&lt;&gt;"",((LEN(B16)-LEN(SUBSTITUTE(B16,",","")))+1)))+(IF(B17&lt;&gt;"",((LEN(B17)-LEN(SUBSTITUTE(B17,",","")))+1)))</f>
        <v>20</v>
      </c>
      <c r="C13" s="174">
        <f>ROUND(SUM(C14:C17)/9,2)+SUM(C14:C17)</f>
        <v>131.66999999999999</v>
      </c>
      <c r="D13" s="3">
        <f>C13*B41</f>
        <v>1037.283093</v>
      </c>
      <c r="E13" s="71">
        <f t="shared" si="0"/>
        <v>48.99440699999991</v>
      </c>
      <c r="F13" s="127"/>
      <c r="G13" s="3">
        <f t="shared" si="2"/>
        <v>43.850272601999997</v>
      </c>
      <c r="H13" s="127">
        <f>IF(B$43&lt;&gt;"N",IF(F13="",D13*0.05,F13*0.05),0)</f>
        <v>51.864154650000003</v>
      </c>
      <c r="I13" s="127">
        <f ca="1">IF(N13&gt;11000,(D13-(11000-N7))*0.2,0)</f>
        <v>0</v>
      </c>
      <c r="J13" s="65">
        <f>IF(F13="",D13-G13-H13,F13-G13-H13-I13)</f>
        <v>941.56866574799994</v>
      </c>
      <c r="K13" s="116" t="str">
        <f>TEXT(DATE(LEFT(A$1,4),IF(MONTH(DATEVALUE(A13&amp;" 1"))+1&gt;12,1,MONTH(DATEVALUE(A13&amp;" 1"))+1),1),"mmm")&amp;" " &amp;DAY(EOMONTH((DATE(LEFT(A$1,4),MONTH(DATEVALUE(A13&amp;" 1"))+1,1)),0)+1-WEEKDAY(EOMONTH((DATE(LEFT(A$1,4),MONTH(DATEVALUE(A13&amp;" 1"))+1,1)),0)+1-4))</f>
        <v>Apr 26</v>
      </c>
      <c r="L13" s="3">
        <v>973.15</v>
      </c>
      <c r="M13" s="200">
        <f>IF(L13&lt;&gt;"",J13-L13,"")</f>
        <v>-31.581334252000033</v>
      </c>
      <c r="N13" s="199">
        <f ca="1">N7+D13</f>
        <v>10626.604653</v>
      </c>
      <c r="Q13" s="3"/>
      <c r="R13" s="3"/>
      <c r="S13" s="8"/>
    </row>
    <row r="14" spans="1:19" ht="19.2" outlineLevel="1">
      <c r="A14" s="191">
        <f>A12+7</f>
        <v>42800</v>
      </c>
      <c r="B14" s="5" t="s">
        <v>261</v>
      </c>
      <c r="C14" s="1">
        <f>7.5+7.5+3+7.5+5+3.5</f>
        <v>34</v>
      </c>
      <c r="D14" s="3"/>
      <c r="E14" s="71"/>
      <c r="F14" s="127"/>
      <c r="G14" s="3"/>
      <c r="H14" s="127"/>
      <c r="I14" s="127"/>
      <c r="J14" s="65"/>
      <c r="K14" s="116"/>
      <c r="L14" s="3"/>
      <c r="M14" s="3"/>
      <c r="N14" s="199"/>
      <c r="Q14" s="3"/>
      <c r="R14" s="3"/>
      <c r="S14" s="8"/>
    </row>
    <row r="15" spans="1:19" ht="34.799999999999997" outlineLevel="1">
      <c r="A15" s="191">
        <f t="shared" ref="A15:A17" si="5">A14+7</f>
        <v>42807</v>
      </c>
      <c r="B15" s="5" t="s">
        <v>262</v>
      </c>
      <c r="C15" s="1">
        <f>7.5+7.5+3+5+7.5+4</f>
        <v>34.5</v>
      </c>
      <c r="D15" s="3"/>
      <c r="E15" s="71"/>
      <c r="F15" s="127"/>
      <c r="G15" s="3"/>
      <c r="H15" s="127"/>
      <c r="I15" s="127"/>
      <c r="J15" s="65"/>
      <c r="K15" s="116"/>
      <c r="L15" s="3"/>
      <c r="M15" s="3"/>
      <c r="N15" s="199"/>
      <c r="Q15" s="3"/>
      <c r="R15" s="3"/>
      <c r="S15" s="8"/>
    </row>
    <row r="16" spans="1:19" ht="19.2" outlineLevel="1">
      <c r="A16" s="191">
        <f t="shared" si="5"/>
        <v>42814</v>
      </c>
      <c r="B16" s="5" t="s">
        <v>263</v>
      </c>
      <c r="C16" s="1">
        <f>7.5+7.5+7.5+5</f>
        <v>27.5</v>
      </c>
      <c r="D16" s="3"/>
      <c r="E16" s="71"/>
      <c r="F16" s="127"/>
      <c r="G16" s="3"/>
      <c r="H16" s="127"/>
      <c r="I16" s="127"/>
      <c r="J16" s="65"/>
      <c r="K16" s="116"/>
      <c r="L16" s="3"/>
      <c r="M16" s="3"/>
      <c r="N16" s="199"/>
      <c r="Q16" s="3"/>
      <c r="R16" s="3"/>
      <c r="S16" s="8"/>
    </row>
    <row r="17" spans="1:19" ht="19.2" outlineLevel="1">
      <c r="A17" s="191">
        <f t="shared" si="5"/>
        <v>42821</v>
      </c>
      <c r="B17" s="4" t="s">
        <v>264</v>
      </c>
      <c r="C17" s="1">
        <f>7.5+7.5+7.5</f>
        <v>22.5</v>
      </c>
      <c r="D17" s="3"/>
      <c r="E17" s="71"/>
      <c r="F17" s="127"/>
      <c r="G17" s="3"/>
      <c r="H17" s="127"/>
      <c r="I17" s="127"/>
      <c r="J17" s="65"/>
      <c r="K17" s="116"/>
      <c r="L17" s="3"/>
      <c r="M17" s="3"/>
      <c r="N17" s="199"/>
      <c r="Q17" s="3"/>
      <c r="R17" s="3"/>
      <c r="S17" s="8"/>
    </row>
    <row r="18" spans="1:19" ht="19.2">
      <c r="A18" s="30" t="s">
        <v>53</v>
      </c>
      <c r="B18" s="131">
        <f>(IF(B19&lt;&gt;"",((LEN(B19)-LEN(SUBSTITUTE(B19,",","")))+1)))+(IF(B20&lt;&gt;"",((LEN(B20)-LEN(SUBSTITUTE(B20,",","")))+1)))+(IF(B21&lt;&gt;"",((LEN(B21)-LEN(SUBSTITUTE(B21,",","")))+1)))+(IF(B22&lt;&gt;"",((LEN(B22)-LEN(SUBSTITUTE(B22,",","")))+1)))</f>
        <v>21</v>
      </c>
      <c r="C18" s="174">
        <f>ROUND(SUM(C19:C22)/9,2)+SUM(C19:C22)</f>
        <v>145.28</v>
      </c>
      <c r="D18" s="3">
        <f>C18*B41</f>
        <v>1144.5013120000001</v>
      </c>
      <c r="E18" s="70">
        <f t="shared" si="0"/>
        <v>54.058687999999847</v>
      </c>
      <c r="F18" s="132">
        <f>IF(B42&lt;&gt;0,D18+SUM(E2:E13),0)</f>
        <v>1299.7525950000002</v>
      </c>
      <c r="G18" s="3">
        <f>IF(F18="",IF((((D18-H18)/4)-155)&gt;0,((((D18-H18)/4)-155)*0.12)*4,0),IF((((F18-H18)/4)-155)&gt;0,((((F18-H18)/4)-155)*0.12)*4,0))</f>
        <v>73.771795830000016</v>
      </c>
      <c r="H18" s="127">
        <f>IF(B$43&lt;&gt;"N",IF(F18="",D18*0.05,F18*0.05),0)</f>
        <v>64.987629750000011</v>
      </c>
      <c r="I18" s="127">
        <f>IF(N18&gt;11000,(D18-(11000-N13))*0.2,0)</f>
        <v>0</v>
      </c>
      <c r="J18" s="65">
        <f>IF(F18="",D18-G18-H18-I18,F18-G18-H18-I18)</f>
        <v>1160.9931694200002</v>
      </c>
      <c r="K18" s="116" t="str">
        <f>TEXT(DATE(LEFT(A$1,4),IF(MONTH(DATEVALUE(A18&amp;" 1"))+1&gt;12,1,MONTH(DATEVALUE(A18&amp;" 1"))+1),1),"mmm")&amp;" " &amp;DAY(EOMONTH((DATE(LEFT(A$1,4),MONTH(DATEVALUE(A18&amp;" 1"))+1,1)),0)+1-WEEKDAY(EOMONTH((DATE(LEFT(A$1,4),MONTH(DATEVALUE(A18&amp;" 1"))+1,1)),0)+1-4))</f>
        <v>May 31</v>
      </c>
      <c r="L18" s="3">
        <v>1156.56</v>
      </c>
      <c r="M18" s="200">
        <f>IF(L18&lt;&gt;"",J18-L18,"")</f>
        <v>4.4331694200002403</v>
      </c>
      <c r="N18" s="199">
        <f>IF(F18="",D18,F18)</f>
        <v>1299.7525950000002</v>
      </c>
      <c r="O18" s="196" t="s">
        <v>265</v>
      </c>
      <c r="Q18" s="3"/>
      <c r="R18" s="3"/>
      <c r="S18" s="8"/>
    </row>
    <row r="19" spans="1:19" ht="19.2" outlineLevel="1">
      <c r="A19" s="191">
        <f>A17+7</f>
        <v>42828</v>
      </c>
      <c r="B19" s="4" t="s">
        <v>266</v>
      </c>
      <c r="C19" s="1">
        <f>4+7.5+3+7.5+7.5+5</f>
        <v>34.5</v>
      </c>
      <c r="D19" s="3"/>
      <c r="E19" s="70"/>
      <c r="F19" s="132"/>
      <c r="G19" s="3"/>
      <c r="H19" s="127"/>
      <c r="I19" s="127"/>
      <c r="J19" s="65"/>
      <c r="K19" s="116"/>
      <c r="L19" s="3"/>
      <c r="M19" s="3"/>
      <c r="N19" s="199"/>
      <c r="Q19" s="3"/>
      <c r="R19" s="3"/>
      <c r="S19" s="8"/>
    </row>
    <row r="20" spans="1:19" ht="19.2" outlineLevel="1">
      <c r="A20" s="191">
        <f>A19+7</f>
        <v>42835</v>
      </c>
      <c r="B20" s="4" t="s">
        <v>267</v>
      </c>
      <c r="C20" s="1">
        <f>7.5+7.5+3.75+7.5+5</f>
        <v>31.25</v>
      </c>
      <c r="D20" s="3"/>
      <c r="E20" s="70"/>
      <c r="F20" s="132"/>
      <c r="G20" s="3"/>
      <c r="H20" s="127"/>
      <c r="I20" s="127"/>
      <c r="J20" s="65"/>
      <c r="K20" s="116"/>
      <c r="L20" s="3"/>
      <c r="M20" s="3"/>
      <c r="N20" s="199"/>
      <c r="Q20" s="3"/>
      <c r="R20" s="3"/>
      <c r="S20" s="8"/>
    </row>
    <row r="21" spans="1:19" ht="19.2" outlineLevel="1">
      <c r="A21" s="191">
        <f t="shared" ref="A21:A22" si="6">A20+7</f>
        <v>42842</v>
      </c>
      <c r="B21" s="4" t="s">
        <v>268</v>
      </c>
      <c r="C21" s="1">
        <f>5+7.5+7.5+7.5</f>
        <v>27.5</v>
      </c>
      <c r="D21" s="3"/>
      <c r="E21" s="70"/>
      <c r="F21" s="132"/>
      <c r="G21" s="3"/>
      <c r="H21" s="127"/>
      <c r="I21" s="127"/>
      <c r="J21" s="65"/>
      <c r="K21" s="116"/>
      <c r="L21" s="3"/>
      <c r="M21" s="3"/>
      <c r="N21" s="199"/>
      <c r="Q21" s="3"/>
      <c r="R21" s="3"/>
      <c r="S21" s="8"/>
    </row>
    <row r="22" spans="1:19" ht="19.2" outlineLevel="1">
      <c r="A22" s="191">
        <f t="shared" si="6"/>
        <v>42849</v>
      </c>
      <c r="B22" s="4" t="s">
        <v>269</v>
      </c>
      <c r="C22" s="1">
        <f>7.5+7.5+7.5+7.5+7.5</f>
        <v>37.5</v>
      </c>
      <c r="D22" s="3"/>
      <c r="E22" s="70"/>
      <c r="F22" s="132"/>
      <c r="G22" s="3"/>
      <c r="H22" s="127"/>
      <c r="I22" s="127"/>
      <c r="J22" s="65"/>
      <c r="K22" s="116"/>
      <c r="L22" s="3"/>
      <c r="M22" s="3"/>
      <c r="N22" s="199"/>
      <c r="Q22" s="3"/>
      <c r="R22" s="3"/>
      <c r="S22" s="8"/>
    </row>
    <row r="23" spans="1:19" ht="19.2">
      <c r="A23" s="30" t="s">
        <v>59</v>
      </c>
      <c r="B23" s="131">
        <f>(IF(B24&lt;&gt;"",((LEN(B24)-LEN(SUBSTITUTE(B24,",","")))+1)))+(IF(B25&lt;&gt;"",((LEN(B25)-LEN(SUBSTITUTE(B25,",","")))+1)))+(IF(B26&lt;&gt;"",((LEN(B26)-LEN(SUBSTITUTE(B26,",","")))+1)))+(IF(B27&lt;&gt;"",((LEN(B27)-LEN(SUBSTITUTE(B27,",","")))+1)))+(IF(B28&lt;&gt;"",((LEN(B28)-LEN(SUBSTITUTE(B28,",","")))+1)))</f>
        <v>6</v>
      </c>
      <c r="C23" s="174">
        <f>ROUND(SUM(C24:C28)/9,2)+SUM(C24:C28)</f>
        <v>50</v>
      </c>
      <c r="D23" s="3">
        <f>C23*B41</f>
        <v>393.89500000000004</v>
      </c>
      <c r="E23" s="70">
        <f t="shared" si="0"/>
        <v>18.604999999999961</v>
      </c>
      <c r="F23" s="127"/>
      <c r="G23" s="3">
        <f t="shared" ref="G23:G34" si="7">IF(F23="",IF((((D23-H23)/4)-155)&gt;0,((((D23-H23)/4)-155)*0.12)*4,0),IF((((F23-H23)/4)-155)&gt;0,((((F23-H23)/4)-155)*0.12)*4,0))</f>
        <v>0</v>
      </c>
      <c r="H23" s="127">
        <f>IF(B$43&lt;&gt;"N",IF(F23="",D23*0.05,F23*0.05),0)</f>
        <v>19.694750000000003</v>
      </c>
      <c r="I23" s="127">
        <f>IF(N23&gt;11000,(D23-(11000-N18))*0.2,0)</f>
        <v>0</v>
      </c>
      <c r="J23" s="65">
        <f>IF(F23="",D23-G23-H23-I23,F23-G23-H23-I23)</f>
        <v>374.20025000000004</v>
      </c>
      <c r="K23" s="116" t="str">
        <f>TEXT(DATE(LEFT(A$1,4),IF(MONTH(DATEVALUE(A23&amp;" 1"))+1&gt;12,1,MONTH(DATEVALUE(A23&amp;" 1"))+1),1),"mmm")&amp;" " &amp;DAY(EOMONTH((DATE(LEFT(A$1,4),MONTH(DATEVALUE(A23&amp;" 1"))+1,1)),0)+1-WEEKDAY(EOMONTH((DATE(LEFT(A$1,4),MONTH(DATEVALUE(A23&amp;" 1"))+1,1)),0)+1-4))</f>
        <v>Jun 28</v>
      </c>
      <c r="L23" s="3">
        <v>368.55</v>
      </c>
      <c r="M23" s="200">
        <f>IF(L23&lt;&gt;"",J23-L23,"")</f>
        <v>5.6502500000000282</v>
      </c>
      <c r="N23" s="199">
        <f>IF(F23="",D23,F23)+N18</f>
        <v>1693.6475950000001</v>
      </c>
      <c r="Q23" s="3"/>
      <c r="R23" s="3"/>
      <c r="S23" s="8"/>
    </row>
    <row r="24" spans="1:19" ht="19.2" outlineLevel="1">
      <c r="A24" s="191">
        <f>A22+7</f>
        <v>42856</v>
      </c>
      <c r="B24" s="4" t="s">
        <v>270</v>
      </c>
      <c r="C24" s="1">
        <f>7.5+7.5+7.5+7.5+7.5</f>
        <v>37.5</v>
      </c>
      <c r="D24" s="3"/>
      <c r="E24" s="70"/>
      <c r="F24" s="127"/>
      <c r="G24" s="3"/>
      <c r="H24" s="127"/>
      <c r="I24" s="127"/>
      <c r="J24" s="65"/>
      <c r="K24" s="116"/>
      <c r="L24" s="3"/>
      <c r="M24" s="3"/>
      <c r="N24" s="199"/>
      <c r="Q24" s="3"/>
      <c r="R24" s="3"/>
      <c r="S24" s="8"/>
    </row>
    <row r="25" spans="1:19" ht="19.2" outlineLevel="1">
      <c r="A25" s="191">
        <f>A24+7</f>
        <v>42863</v>
      </c>
      <c r="B25" s="5"/>
      <c r="C25" s="1"/>
      <c r="D25" s="3"/>
      <c r="E25" s="70"/>
      <c r="F25" s="127"/>
      <c r="G25" s="3"/>
      <c r="H25" s="127"/>
      <c r="I25" s="127"/>
      <c r="J25" s="65"/>
      <c r="K25" s="116"/>
      <c r="L25" s="3"/>
      <c r="M25" s="3"/>
      <c r="N25" s="199"/>
      <c r="Q25" s="3"/>
      <c r="R25" s="3"/>
      <c r="S25" s="8"/>
    </row>
    <row r="26" spans="1:19" ht="19.2" outlineLevel="1">
      <c r="A26" s="191">
        <f>A25+7</f>
        <v>42870</v>
      </c>
      <c r="B26" s="5"/>
      <c r="C26" s="1"/>
      <c r="D26" s="3"/>
      <c r="E26" s="70"/>
      <c r="F26" s="127"/>
      <c r="G26" s="3"/>
      <c r="H26" s="127"/>
      <c r="I26" s="127"/>
      <c r="J26" s="65"/>
      <c r="K26" s="116"/>
      <c r="L26" s="3"/>
      <c r="M26" s="3"/>
      <c r="N26" s="199"/>
      <c r="Q26" s="3"/>
      <c r="R26" s="3"/>
      <c r="S26" s="8"/>
    </row>
    <row r="27" spans="1:19" ht="19.2" outlineLevel="1">
      <c r="A27" s="191">
        <f t="shared" ref="A27:A28" si="8">A26+7</f>
        <v>42877</v>
      </c>
      <c r="B27" s="5"/>
      <c r="C27" s="1"/>
      <c r="D27" s="3"/>
      <c r="E27" s="70"/>
      <c r="F27" s="127"/>
      <c r="G27" s="3"/>
      <c r="H27" s="127"/>
      <c r="I27" s="127"/>
      <c r="J27" s="65"/>
      <c r="K27" s="116"/>
      <c r="L27" s="3"/>
      <c r="M27" s="3"/>
      <c r="N27" s="199"/>
      <c r="Q27" s="3"/>
      <c r="R27" s="3"/>
      <c r="S27" s="8"/>
    </row>
    <row r="28" spans="1:19" ht="19.2" outlineLevel="1">
      <c r="A28" s="191">
        <f t="shared" si="8"/>
        <v>42884</v>
      </c>
      <c r="B28" s="5">
        <v>31</v>
      </c>
      <c r="C28" s="1">
        <v>7.5</v>
      </c>
      <c r="D28" s="3"/>
      <c r="E28" s="70"/>
      <c r="F28" s="127"/>
      <c r="G28" s="3"/>
      <c r="H28" s="127"/>
      <c r="I28" s="127"/>
      <c r="J28" s="65"/>
      <c r="K28" s="116"/>
      <c r="L28" s="3"/>
      <c r="M28" s="3"/>
      <c r="N28" s="199"/>
      <c r="Q28" s="3"/>
      <c r="R28" s="3"/>
      <c r="S28" s="8"/>
    </row>
    <row r="29" spans="1:19" ht="19.2">
      <c r="A29" s="30" t="s">
        <v>69</v>
      </c>
      <c r="B29" s="131">
        <f>(IF(B30&lt;&gt;"",((LEN(B30)-LEN(SUBSTITUTE(B30,",","")))+1)))+(IF(B31&lt;&gt;"",((LEN(B31)-LEN(SUBSTITUTE(B31,",","")))+1)))+(IF(B32&lt;&gt;"",((LEN(B32)-LEN(SUBSTITUTE(B32,",","")))+1)))+(IF(B33&lt;&gt;"",((LEN(B33)-LEN(SUBSTITUTE(B33,",","")))+1)))</f>
        <v>5</v>
      </c>
      <c r="C29" s="174">
        <f>ROUND(SUM(C30:C33)/9,2)+SUM(C30:C33)</f>
        <v>38.89</v>
      </c>
      <c r="D29" s="3">
        <f>C29*B41</f>
        <v>306.371531</v>
      </c>
      <c r="E29" s="70">
        <f t="shared" si="0"/>
        <v>14.470969000000025</v>
      </c>
      <c r="F29" s="127"/>
      <c r="G29" s="3">
        <f t="shared" si="7"/>
        <v>0</v>
      </c>
      <c r="H29" s="127">
        <f>IF(B$43&lt;&gt;"N",IF(F29="",D29*0.05,F29*0.05),0)</f>
        <v>15.318576550000001</v>
      </c>
      <c r="I29" s="127">
        <f>IF(N29&gt;11000,(D29-(11000-N23))*0.2,0)</f>
        <v>0</v>
      </c>
      <c r="J29" s="65">
        <f>IF(F29="",D29-G29-H29-I29,F29-G29-H29-I29)</f>
        <v>291.05295445000002</v>
      </c>
      <c r="K29" s="116" t="str">
        <f>TEXT(DATE(LEFT(A$1,4),IF(MONTH(DATEVALUE(A29&amp;" 1"))+1&gt;12,1,MONTH(DATEVALUE(A29&amp;" 1"))+1),1),"mmm")&amp;" " &amp;DAY(EOMONTH((DATE(LEFT(A$1,4),MONTH(DATEVALUE(A29&amp;" 1"))+1,1)),0)+1-WEEKDAY(EOMONTH((DATE(LEFT(A$1,4),MONTH(DATEVALUE(A29&amp;" 1"))+1,1)),0)+1-4))</f>
        <v>Jul 26</v>
      </c>
      <c r="L29" s="3">
        <v>405.41</v>
      </c>
      <c r="M29" s="200">
        <f>IF(L29&lt;&gt;"",J29-L29,"")</f>
        <v>-114.35704555000001</v>
      </c>
      <c r="N29" s="199">
        <f>IF(F29="",D29,F29)+N23</f>
        <v>2000.0191260000001</v>
      </c>
      <c r="Q29" s="3"/>
      <c r="R29" s="3"/>
      <c r="S29" s="8"/>
    </row>
    <row r="30" spans="1:19" ht="19.2" outlineLevel="1">
      <c r="A30" s="191">
        <f>A28+7</f>
        <v>42891</v>
      </c>
      <c r="B30" s="5" t="s">
        <v>271</v>
      </c>
      <c r="C30" s="1">
        <f>7.5+7.5+7.5+7.5+5</f>
        <v>35</v>
      </c>
      <c r="D30" s="3"/>
      <c r="E30" s="70"/>
      <c r="F30" s="127"/>
      <c r="G30" s="3"/>
      <c r="H30" s="127"/>
      <c r="I30" s="127"/>
      <c r="J30" s="65"/>
      <c r="K30" s="116"/>
      <c r="L30" s="3"/>
      <c r="M30" s="3"/>
      <c r="N30" s="199"/>
      <c r="Q30" s="3"/>
      <c r="R30" s="3"/>
      <c r="S30" s="8"/>
    </row>
    <row r="31" spans="1:19" ht="19.2" outlineLevel="1">
      <c r="A31" s="191">
        <f>A30+7</f>
        <v>42898</v>
      </c>
      <c r="B31" s="5"/>
      <c r="C31" s="1"/>
      <c r="D31" s="3"/>
      <c r="E31" s="70"/>
      <c r="F31" s="127"/>
      <c r="G31" s="3"/>
      <c r="H31" s="127"/>
      <c r="I31" s="127"/>
      <c r="J31" s="65"/>
      <c r="K31" s="116"/>
      <c r="L31" s="3"/>
      <c r="M31" s="3"/>
      <c r="N31" s="199"/>
      <c r="Q31" s="3"/>
      <c r="R31" s="3"/>
      <c r="S31" s="8"/>
    </row>
    <row r="32" spans="1:19" ht="19.2" outlineLevel="1">
      <c r="A32" s="191">
        <f>A31+7</f>
        <v>42905</v>
      </c>
      <c r="B32" s="5"/>
      <c r="C32" s="1"/>
      <c r="D32" s="3"/>
      <c r="E32" s="70"/>
      <c r="F32" s="127"/>
      <c r="G32" s="3"/>
      <c r="H32" s="127"/>
      <c r="I32" s="127"/>
      <c r="J32" s="65"/>
      <c r="K32" s="116"/>
      <c r="L32" s="3"/>
      <c r="M32" s="3"/>
      <c r="N32" s="199"/>
      <c r="Q32" s="3"/>
      <c r="R32" s="3"/>
      <c r="S32" s="8"/>
    </row>
    <row r="33" spans="1:19" ht="19.2" outlineLevel="1">
      <c r="A33" s="191">
        <f>A32+7</f>
        <v>42912</v>
      </c>
      <c r="B33" s="5"/>
      <c r="C33" s="1"/>
      <c r="D33" s="3"/>
      <c r="E33" s="70"/>
      <c r="F33" s="127"/>
      <c r="G33" s="3"/>
      <c r="H33" s="127"/>
      <c r="I33" s="127"/>
      <c r="J33" s="65"/>
      <c r="K33" s="116"/>
      <c r="L33" s="3"/>
      <c r="M33" s="3"/>
      <c r="N33" s="199"/>
      <c r="Q33" s="3"/>
      <c r="R33" s="3"/>
      <c r="S33" s="8"/>
    </row>
    <row r="34" spans="1:19" ht="19.2">
      <c r="A34" s="30" t="s">
        <v>81</v>
      </c>
      <c r="B34" s="131">
        <f>(IF(B35&lt;&gt;"",((LEN(B35)-LEN(SUBSTITUTE(B35,",","")))+1)))+(IF(B36&lt;&gt;"",((LEN(B36)-LEN(SUBSTITUTE(B36,",","")))+1)))+(IF(B37&lt;&gt;"",((LEN(B37)-LEN(SUBSTITUTE(B37,",","")))+1)))+(IF(B38&lt;&gt;"",((LEN(B38)-LEN(SUBSTITUTE(B38,",","")))+1)))</f>
        <v>0</v>
      </c>
      <c r="C34" s="174">
        <f>ROUND(SUM(C35:C38)/9,2)+SUM(C35:C38)</f>
        <v>0</v>
      </c>
      <c r="D34" s="3">
        <f>C34*B41</f>
        <v>0</v>
      </c>
      <c r="E34" s="69">
        <f t="shared" si="0"/>
        <v>0</v>
      </c>
      <c r="F34" s="136">
        <f>IF(B42&lt;&gt;0,D34+SUM(E18:E29),0)</f>
        <v>87.134656999999834</v>
      </c>
      <c r="G34" s="3">
        <f t="shared" si="7"/>
        <v>0</v>
      </c>
      <c r="H34" s="127">
        <f>IF(B$43&lt;&gt;"N",IF(F34="",D34*0.05,F34*0.05),0)</f>
        <v>4.3567328499999922</v>
      </c>
      <c r="I34" s="127">
        <f>IF(N34&gt;11000,(D34-(11000-N29))*0.2,0)</f>
        <v>0</v>
      </c>
      <c r="J34" s="65">
        <f>IF(F34="",D34-G34-H34-I34,F34-G34-H34-I34)</f>
        <v>82.777924149999848</v>
      </c>
      <c r="K34" s="116" t="str">
        <f>TEXT(DATE(LEFT(A$1,4),IF(MONTH(DATEVALUE(A34&amp;" 1"))+1&gt;12,1,MONTH(DATEVALUE(A34&amp;" 1"))+1),1),"mmm")&amp;" " &amp;DAY(EOMONTH((DATE(LEFT(A$1,4),MONTH(DATEVALUE(A34&amp;" 1"))+1,1)),0)+1-WEEKDAY(EOMONTH((DATE(LEFT(A$1,4),MONTH(DATEVALUE(A34&amp;" 1"))+1,1)),0)+1-4))</f>
        <v>Aug 30</v>
      </c>
      <c r="L34" s="3"/>
      <c r="M34" s="200" t="str">
        <f>IF(L34&lt;&gt;"",J34-L34,"")</f>
        <v/>
      </c>
      <c r="N34" s="199">
        <f>IF(F34="",D34,F34)+N29</f>
        <v>2087.1537829999997</v>
      </c>
      <c r="Q34" s="3"/>
      <c r="R34" s="3"/>
      <c r="S34" s="8"/>
    </row>
    <row r="35" spans="1:19" ht="19.2" outlineLevel="1">
      <c r="A35" s="191">
        <f>A33+7</f>
        <v>42919</v>
      </c>
      <c r="B35" s="5"/>
      <c r="C35" s="1"/>
      <c r="D35" s="3"/>
      <c r="E35" s="69"/>
      <c r="F35" s="136"/>
      <c r="G35" s="3"/>
      <c r="H35" s="127"/>
      <c r="I35" s="127"/>
      <c r="J35" s="65"/>
      <c r="K35" s="116"/>
      <c r="L35" s="3"/>
      <c r="M35" s="3"/>
      <c r="N35" s="199"/>
      <c r="Q35" s="3"/>
      <c r="R35" s="3"/>
      <c r="S35" s="8"/>
    </row>
    <row r="36" spans="1:19" ht="19.2" outlineLevel="1">
      <c r="A36" s="191">
        <f>A35+7</f>
        <v>42926</v>
      </c>
      <c r="B36" s="5"/>
      <c r="C36" s="1"/>
      <c r="D36" s="3"/>
      <c r="E36" s="69"/>
      <c r="F36" s="136"/>
      <c r="G36" s="3"/>
      <c r="H36" s="127"/>
      <c r="I36" s="127"/>
      <c r="J36" s="65"/>
      <c r="K36" s="116"/>
      <c r="L36" s="3"/>
      <c r="M36" s="3"/>
      <c r="N36" s="199"/>
      <c r="Q36" s="3"/>
      <c r="R36" s="3"/>
      <c r="S36" s="8"/>
    </row>
    <row r="37" spans="1:19" ht="19.2" outlineLevel="1">
      <c r="A37" s="191">
        <f t="shared" ref="A37:A38" si="9">A36+7</f>
        <v>42933</v>
      </c>
      <c r="B37" s="5"/>
      <c r="C37" s="1"/>
      <c r="D37" s="3"/>
      <c r="E37" s="69"/>
      <c r="F37" s="136"/>
      <c r="G37" s="3"/>
      <c r="H37" s="127"/>
      <c r="I37" s="127"/>
      <c r="J37" s="65"/>
      <c r="K37" s="116"/>
      <c r="L37" s="3"/>
      <c r="M37" s="3"/>
      <c r="N37" s="199"/>
      <c r="Q37" s="3"/>
      <c r="R37" s="3"/>
      <c r="S37" s="8"/>
    </row>
    <row r="38" spans="1:19" ht="19.2" outlineLevel="1">
      <c r="A38" s="191">
        <f t="shared" si="9"/>
        <v>42940</v>
      </c>
      <c r="B38" s="5"/>
      <c r="C38" s="1"/>
      <c r="D38" s="3"/>
      <c r="E38" s="69"/>
      <c r="F38" s="136"/>
      <c r="G38" s="3"/>
      <c r="H38" s="127"/>
      <c r="I38" s="127"/>
      <c r="J38" s="65"/>
      <c r="K38" s="116"/>
      <c r="L38" s="3"/>
      <c r="M38" s="3"/>
      <c r="N38" s="199"/>
      <c r="Q38" s="3"/>
      <c r="R38" s="3"/>
      <c r="S38" s="8"/>
    </row>
    <row r="39" spans="1:19" s="195" customFormat="1" ht="14.4">
      <c r="A39" s="203"/>
      <c r="B39" s="196"/>
      <c r="C39" s="196"/>
      <c r="F39" s="197"/>
      <c r="G39" s="198" t="str">
        <f ca="1">"SUM: " &amp; ROUND(SUM(G2:G38),2)</f>
        <v>SUM: 243.2</v>
      </c>
      <c r="H39" s="198" t="str">
        <f ca="1">"SUM: " &amp; ROUND(SUM(H2:H38),2)</f>
        <v>SUM: 276.56</v>
      </c>
      <c r="I39" s="198" t="str">
        <f ca="1">"SUM: " &amp; ROUND(SUM(I2:I38),2)</f>
        <v>SUM: 0</v>
      </c>
      <c r="J39" s="197" t="str">
        <f ca="1">"SUM: " &amp; ROUND(SUM(J2:J38),2)</f>
        <v>SUM: 5011.5</v>
      </c>
      <c r="K39" s="196"/>
      <c r="L39" s="195" t="str">
        <f>"SUM: " &amp; ROUND(SUM(L2:L38),2)</f>
        <v>SUM: 4959.22</v>
      </c>
    </row>
    <row r="40" spans="1:19" s="195" customFormat="1" ht="14.4">
      <c r="B40" s="196"/>
      <c r="C40" s="196"/>
      <c r="F40" s="197"/>
      <c r="G40" s="198"/>
      <c r="H40" s="198"/>
      <c r="I40" s="198"/>
      <c r="J40" s="197"/>
      <c r="K40" s="196"/>
    </row>
    <row r="41" spans="1:19">
      <c r="A41" s="30" t="s">
        <v>210</v>
      </c>
      <c r="B41" s="45">
        <v>7.8779000000000003</v>
      </c>
      <c r="C41" s="1"/>
      <c r="D41" s="114"/>
      <c r="E41" s="114"/>
      <c r="F41" s="38"/>
    </row>
    <row r="42" spans="1:19">
      <c r="A42" s="129" t="s">
        <v>211</v>
      </c>
      <c r="B42" s="147">
        <v>8.25</v>
      </c>
      <c r="C42" s="1"/>
      <c r="D42" s="114"/>
      <c r="E42" s="114"/>
    </row>
    <row r="43" spans="1:19">
      <c r="A43" s="129" t="s">
        <v>212</v>
      </c>
      <c r="B43" s="4" t="s">
        <v>20</v>
      </c>
      <c r="F43" s="73"/>
      <c r="H43" s="11"/>
      <c r="I43" s="11"/>
      <c r="L43" s="42"/>
      <c r="M43" s="42"/>
    </row>
    <row r="44" spans="1:19">
      <c r="B44" s="4"/>
      <c r="E44" s="3"/>
      <c r="F44" s="3"/>
      <c r="L44" s="42"/>
      <c r="M44" s="42"/>
    </row>
    <row r="45" spans="1:19">
      <c r="B45" s="57"/>
      <c r="D45" s="11"/>
      <c r="E45" s="3"/>
      <c r="F45" s="3"/>
      <c r="L45" s="42"/>
      <c r="M45" s="42"/>
    </row>
    <row r="46" spans="1:19">
      <c r="B46" s="57"/>
      <c r="E46" s="3"/>
      <c r="F46" s="3"/>
      <c r="H46" s="11"/>
      <c r="I46" s="11"/>
      <c r="L46" s="42"/>
      <c r="M46" s="42"/>
    </row>
    <row r="47" spans="1:19">
      <c r="C47" s="1"/>
      <c r="D47" s="3"/>
      <c r="E47" s="3"/>
      <c r="F47" s="3"/>
      <c r="L47" s="42"/>
      <c r="M47" s="42"/>
    </row>
    <row r="48" spans="1:19">
      <c r="D48" s="68"/>
      <c r="E48" s="38"/>
      <c r="F48" s="38"/>
      <c r="L48" s="42"/>
      <c r="M48" s="42"/>
    </row>
    <row r="49" spans="1:13">
      <c r="B49" s="4"/>
      <c r="L49" s="42"/>
      <c r="M49" s="42"/>
    </row>
    <row r="50" spans="1:13">
      <c r="B50" s="4"/>
    </row>
    <row r="51" spans="1:13">
      <c r="B51" s="57"/>
    </row>
    <row r="52" spans="1:13">
      <c r="B52" s="57"/>
    </row>
    <row r="53" spans="1:13">
      <c r="B53" s="57"/>
    </row>
    <row r="54" spans="1:13">
      <c r="B54" s="55"/>
    </row>
    <row r="55" spans="1:13">
      <c r="B55" s="4"/>
    </row>
    <row r="56" spans="1:13">
      <c r="B56" s="4"/>
    </row>
    <row r="57" spans="1:13">
      <c r="B57" s="57"/>
    </row>
    <row r="58" spans="1:13">
      <c r="B58" s="57"/>
    </row>
    <row r="59" spans="1:13">
      <c r="B59" s="57"/>
    </row>
    <row r="60" spans="1:13">
      <c r="B60" s="55"/>
    </row>
    <row r="63" spans="1:13">
      <c r="A63" s="56"/>
      <c r="B63" s="55"/>
    </row>
    <row r="64" spans="1:13">
      <c r="A64" s="56"/>
      <c r="B64" s="55"/>
    </row>
    <row r="65" spans="1:2">
      <c r="A65" s="56"/>
      <c r="B65" s="55"/>
    </row>
    <row r="66" spans="1:2">
      <c r="A66" s="56"/>
      <c r="B66" s="55"/>
    </row>
    <row r="67" spans="1:2">
      <c r="A67" s="56"/>
      <c r="B67" s="55"/>
    </row>
    <row r="68" spans="1:2">
      <c r="A68" s="56"/>
      <c r="B68" s="55"/>
    </row>
    <row r="69" spans="1:2">
      <c r="A69" s="56"/>
      <c r="B69" s="55"/>
    </row>
    <row r="70" spans="1:2">
      <c r="A70" s="56"/>
      <c r="B70" s="55"/>
    </row>
    <row r="71" spans="1:2">
      <c r="A71" s="56"/>
      <c r="B71" s="55"/>
    </row>
    <row r="72" spans="1:2">
      <c r="A72" s="56"/>
      <c r="B72" s="55"/>
    </row>
    <row r="73" spans="1:2">
      <c r="A73" s="56"/>
      <c r="B73" s="55"/>
    </row>
    <row r="74" spans="1:2">
      <c r="A74" s="56"/>
      <c r="B74" s="55"/>
    </row>
    <row r="75" spans="1:2">
      <c r="A75" s="56"/>
      <c r="B75" s="55"/>
    </row>
    <row r="76" spans="1:2">
      <c r="A76" s="56"/>
      <c r="B76" s="55"/>
    </row>
  </sheetData>
  <conditionalFormatting sqref="L2 L21">
    <cfRule type="cellIs" dxfId="404" priority="2" operator="greaterThan">
      <formula>0</formula>
    </cfRule>
  </conditionalFormatting>
  <pageMargins left="0" right="0" top="0" bottom="0" header="0" footer="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L29"/>
  <sheetViews>
    <sheetView workbookViewId="0"/>
  </sheetViews>
  <sheetFormatPr defaultColWidth="11.33203125" defaultRowHeight="14.4"/>
  <cols>
    <col min="1" max="1" width="16.109375" customWidth="1"/>
    <col min="2" max="2" width="13.44140625" customWidth="1"/>
    <col min="7" max="7" width="16" customWidth="1"/>
    <col min="8" max="8" width="20.44140625" customWidth="1"/>
    <col min="9" max="10" width="31.44140625" customWidth="1"/>
  </cols>
  <sheetData>
    <row r="1" spans="1:12" ht="17.399999999999999">
      <c r="A1" s="75" t="s">
        <v>246</v>
      </c>
      <c r="B1" s="75" t="s">
        <v>272</v>
      </c>
      <c r="D1" t="s">
        <v>273</v>
      </c>
    </row>
    <row r="2" spans="1:12" ht="17.399999999999999">
      <c r="A2" s="76" t="s">
        <v>17</v>
      </c>
      <c r="B2" s="74" t="e">
        <f ca="1">IF(ISREF(INDIRECT(CONCATENATE("'",A13,"-",A2," ",RIGHT(YEAR(TODAY())-1,2),"'!B18")))=TRUE,(INDIRECT(CONCATENATE("'Savings ",YEAR(TODAY())-1,"'!B13"))+INDIRECT(CONCATENATE("'",A13,"-",A2," ",RIGHT(YEAR(TODAY())-1,2),"'!B18")))-INDIRECT(CONCATENATE("'",A13,"-",A2," ",RIGHT(YEAR(TODAY())-1,2),"'!B19")),"")</f>
        <v>#REF!</v>
      </c>
      <c r="D2">
        <v>450</v>
      </c>
    </row>
    <row r="3" spans="1:12" ht="17.399999999999999">
      <c r="A3" s="76" t="s">
        <v>29</v>
      </c>
      <c r="B3" s="74" t="e">
        <f t="shared" ref="B3:B5" ca="1" si="0">IF(ISREF(INDIRECT(CONCATENATE("'",A2,"-",A3," ",RIGHT(YEAR(TODAY()),2),"'!B18")))=TRUE,(B2+INDIRECT(CONCATENATE("'",A2,"-",A3," ",RIGHT(YEAR(TODAY()),2),"'!B18")))-INDIRECT(CONCATENATE("'",A2,"-",A3," ",RIGHT(YEAR(TODAY()),2),"'!B19")),"")</f>
        <v>#REF!</v>
      </c>
    </row>
    <row r="4" spans="1:12" ht="17.399999999999999">
      <c r="A4" s="76" t="s">
        <v>37</v>
      </c>
      <c r="B4" s="74" t="e">
        <f t="shared" ca="1" si="0"/>
        <v>#REF!</v>
      </c>
    </row>
    <row r="5" spans="1:12" ht="17.399999999999999">
      <c r="A5" s="76" t="s">
        <v>53</v>
      </c>
      <c r="B5" s="74" t="e">
        <f t="shared" ca="1" si="0"/>
        <v>#REF!</v>
      </c>
    </row>
    <row r="6" spans="1:12" ht="17.399999999999999">
      <c r="A6" s="76" t="s">
        <v>59</v>
      </c>
      <c r="B6" s="74">
        <v>1072.33</v>
      </c>
    </row>
    <row r="7" spans="1:12" ht="17.399999999999999">
      <c r="A7" s="76" t="s">
        <v>69</v>
      </c>
      <c r="B7" s="74">
        <f ca="1">IF(ISREF(INDIRECT(CONCATENATE("'",A6,"-",A7," ",LEFT(A$1,4),"'!B32")))=TRUE(),INDIRECT(CONCATENATE("'",A6,"-",A7," ",LEFT(A$1,4),"'!B31"))+B6-INDIRECT(CONCATENATE("'",A6,"-",A7," ",LEFT(A$1,4),"'!B32"))+200,0)</f>
        <v>1000</v>
      </c>
      <c r="G7" t="s">
        <v>274</v>
      </c>
      <c r="H7" t="s">
        <v>275</v>
      </c>
      <c r="I7" t="s">
        <v>276</v>
      </c>
      <c r="J7" s="215">
        <f>4605.23</f>
        <v>4605.2299999999996</v>
      </c>
      <c r="K7" s="38">
        <f>J7/2</f>
        <v>2302.6149999999998</v>
      </c>
    </row>
    <row r="8" spans="1:12" ht="17.399999999999999">
      <c r="A8" s="76" t="s">
        <v>81</v>
      </c>
      <c r="B8" s="74">
        <f ca="1">IF(ISREF(INDIRECT(CONCATENATE("'",A7,"-",A8," ",LEFT(A$1,4),"'!B31")))=TRUE(),INDIRECT(CONCATENATE("'",A7,"-",A8," ",LEFT(A$1,4),"'!B33"))+B7-INDIRECT(CONCATENATE("'",A7,"-",A8," ",LEFT(A$1,4),"'!B34"))+200-301.69,0)</f>
        <v>2100</v>
      </c>
      <c r="C8" s="11"/>
      <c r="D8" s="11"/>
      <c r="E8">
        <v>2017</v>
      </c>
      <c r="F8" t="s">
        <v>277</v>
      </c>
      <c r="G8" s="214">
        <v>1</v>
      </c>
      <c r="H8" s="214">
        <v>1200</v>
      </c>
      <c r="I8" s="214">
        <v>300</v>
      </c>
      <c r="J8" s="214"/>
      <c r="K8">
        <v>2302.62</v>
      </c>
      <c r="L8" s="38">
        <v>500</v>
      </c>
    </row>
    <row r="9" spans="1:12" ht="17.399999999999999">
      <c r="A9" s="76" t="s">
        <v>89</v>
      </c>
      <c r="B9" s="74">
        <f ca="1">IF(ISREF(INDIRECT(CONCATENATE("'",A8,"-",A9," ",LEFT(A$1,4),"'!B31")))=TRUE(),INDIRECT(CONCATENATE("'",A8,"-",A9," ",LEFT(A$1,4),"'!B33"))+B8-INDIRECT(CONCATENATE("'",A8,"-",A9," ",LEFT(A$1,4),"'!B34"))+200-301.69,0)</f>
        <v>0</v>
      </c>
      <c r="C9" s="11"/>
      <c r="F9" t="s">
        <v>278</v>
      </c>
      <c r="H9" s="214">
        <f>H8+200</f>
        <v>1400</v>
      </c>
      <c r="I9" s="214">
        <f>I8+300</f>
        <v>600</v>
      </c>
      <c r="J9" s="214"/>
      <c r="K9" s="38">
        <f>K8+L8</f>
        <v>2802.62</v>
      </c>
      <c r="L9" s="38">
        <v>500</v>
      </c>
    </row>
    <row r="10" spans="1:12" ht="17.399999999999999">
      <c r="A10" s="76" t="s">
        <v>93</v>
      </c>
      <c r="B10" s="74">
        <f ca="1">IF(ISREF(INDIRECT(CONCATENATE("'",A9,"-",A10," ",LEFT(A$1,4),"'!B31")))=TRUE(),INDIRECT(CONCATENATE("'",A9,"-",A10," ",LEFT(A$1,4),"'!B31")))+B19</f>
        <v>400</v>
      </c>
      <c r="C10" s="11"/>
      <c r="F10" t="s">
        <v>279</v>
      </c>
      <c r="H10" s="214">
        <f t="shared" ref="H10:H29" si="1">H9+200</f>
        <v>1600</v>
      </c>
      <c r="I10" s="214">
        <f t="shared" ref="I10:I29" si="2">I9+300</f>
        <v>900</v>
      </c>
      <c r="J10" s="214"/>
      <c r="K10" s="38">
        <f t="shared" ref="K10:K14" si="3">K9+L9</f>
        <v>3302.62</v>
      </c>
      <c r="L10" s="38">
        <v>500</v>
      </c>
    </row>
    <row r="11" spans="1:12" ht="17.399999999999999">
      <c r="A11" s="76" t="s">
        <v>101</v>
      </c>
      <c r="B11" s="74"/>
      <c r="C11" s="11"/>
      <c r="E11">
        <v>2018</v>
      </c>
      <c r="F11" t="s">
        <v>280</v>
      </c>
      <c r="H11" s="214">
        <f t="shared" si="1"/>
        <v>1800</v>
      </c>
      <c r="I11" s="214">
        <f t="shared" si="2"/>
        <v>1200</v>
      </c>
      <c r="J11" s="214"/>
      <c r="K11" s="38">
        <f t="shared" si="3"/>
        <v>3802.62</v>
      </c>
      <c r="L11" s="38">
        <v>200</v>
      </c>
    </row>
    <row r="12" spans="1:12" ht="17.399999999999999">
      <c r="A12" s="76" t="s">
        <v>111</v>
      </c>
      <c r="B12" s="74"/>
      <c r="C12" s="11"/>
      <c r="F12" t="s">
        <v>281</v>
      </c>
      <c r="H12" s="214">
        <f t="shared" si="1"/>
        <v>2000</v>
      </c>
      <c r="I12" s="214">
        <f t="shared" si="2"/>
        <v>1500</v>
      </c>
      <c r="J12" s="214"/>
      <c r="K12" s="38">
        <f t="shared" si="3"/>
        <v>4002.62</v>
      </c>
      <c r="L12" s="38">
        <v>500</v>
      </c>
    </row>
    <row r="13" spans="1:12" ht="17.399999999999999">
      <c r="A13" s="76" t="s">
        <v>118</v>
      </c>
      <c r="B13" s="74"/>
      <c r="C13" s="11"/>
      <c r="F13" t="s">
        <v>282</v>
      </c>
      <c r="G13">
        <v>3999</v>
      </c>
      <c r="H13" s="214">
        <f t="shared" si="1"/>
        <v>2200</v>
      </c>
      <c r="I13" s="214">
        <f t="shared" si="2"/>
        <v>1800</v>
      </c>
      <c r="J13" s="214"/>
      <c r="K13" s="38">
        <f t="shared" si="3"/>
        <v>4502.62</v>
      </c>
      <c r="L13" s="38">
        <v>500</v>
      </c>
    </row>
    <row r="14" spans="1:12">
      <c r="C14" s="11"/>
      <c r="E14" t="s">
        <v>283</v>
      </c>
      <c r="F14" t="s">
        <v>284</v>
      </c>
      <c r="H14" s="214">
        <v>200</v>
      </c>
      <c r="I14" s="214">
        <v>300</v>
      </c>
      <c r="J14" s="214"/>
      <c r="K14" s="38">
        <f t="shared" si="3"/>
        <v>5002.62</v>
      </c>
      <c r="L14" s="38">
        <v>500</v>
      </c>
    </row>
    <row r="15" spans="1:12">
      <c r="C15" s="11"/>
      <c r="F15" t="s">
        <v>285</v>
      </c>
      <c r="H15" s="214">
        <f t="shared" si="1"/>
        <v>400</v>
      </c>
      <c r="I15" s="214">
        <f t="shared" si="2"/>
        <v>600</v>
      </c>
      <c r="J15" s="214"/>
      <c r="K15" s="38">
        <f>K14+L14</f>
        <v>5502.62</v>
      </c>
      <c r="L15" s="38">
        <v>500</v>
      </c>
    </row>
    <row r="16" spans="1:12">
      <c r="C16" s="11"/>
      <c r="F16" t="s">
        <v>286</v>
      </c>
      <c r="H16" s="214">
        <f t="shared" si="1"/>
        <v>600</v>
      </c>
      <c r="I16" s="214">
        <f t="shared" si="2"/>
        <v>900</v>
      </c>
      <c r="J16" s="214"/>
      <c r="K16" s="38">
        <f>K15+L15</f>
        <v>6002.62</v>
      </c>
      <c r="L16" s="38">
        <v>500</v>
      </c>
    </row>
    <row r="17" spans="3:12">
      <c r="C17" s="11"/>
      <c r="F17" t="s">
        <v>287</v>
      </c>
      <c r="H17" s="214">
        <f t="shared" si="1"/>
        <v>800</v>
      </c>
      <c r="I17" s="214">
        <f t="shared" si="2"/>
        <v>1200</v>
      </c>
      <c r="J17" s="214"/>
      <c r="K17" s="38">
        <f t="shared" ref="K17:K28" si="4">K16+L16</f>
        <v>6502.62</v>
      </c>
      <c r="L17" s="38">
        <v>500</v>
      </c>
    </row>
    <row r="18" spans="3:12">
      <c r="C18" s="11"/>
      <c r="F18" t="s">
        <v>288</v>
      </c>
      <c r="H18" s="214">
        <f t="shared" si="1"/>
        <v>1000</v>
      </c>
      <c r="I18" s="214">
        <f t="shared" si="2"/>
        <v>1500</v>
      </c>
      <c r="J18" s="214"/>
      <c r="K18" s="38">
        <f t="shared" si="4"/>
        <v>7002.62</v>
      </c>
      <c r="L18" s="38">
        <v>500</v>
      </c>
    </row>
    <row r="19" spans="3:12">
      <c r="C19" s="11"/>
      <c r="F19" t="s">
        <v>289</v>
      </c>
      <c r="G19" s="214"/>
      <c r="H19" s="214">
        <f t="shared" si="1"/>
        <v>1200</v>
      </c>
      <c r="I19" s="214">
        <f t="shared" si="2"/>
        <v>1800</v>
      </c>
      <c r="J19" s="214"/>
      <c r="K19" s="38">
        <f t="shared" si="4"/>
        <v>7502.62</v>
      </c>
      <c r="L19" s="38">
        <v>500</v>
      </c>
    </row>
    <row r="20" spans="3:12">
      <c r="C20" s="11"/>
      <c r="F20" t="s">
        <v>277</v>
      </c>
      <c r="G20" s="214"/>
      <c r="H20" s="214">
        <f t="shared" si="1"/>
        <v>1400</v>
      </c>
      <c r="I20" s="214">
        <f t="shared" si="2"/>
        <v>2100</v>
      </c>
      <c r="J20" s="214"/>
      <c r="K20" s="38">
        <f t="shared" si="4"/>
        <v>8002.62</v>
      </c>
      <c r="L20" s="38">
        <v>500</v>
      </c>
    </row>
    <row r="21" spans="3:12">
      <c r="C21" s="11"/>
      <c r="E21" s="214">
        <f>SUM(G8:G21)+(SUM(G8:G21)*0.25)</f>
        <v>10000</v>
      </c>
      <c r="F21" t="s">
        <v>278</v>
      </c>
      <c r="G21" s="214">
        <v>4000</v>
      </c>
      <c r="H21" s="214">
        <f t="shared" si="1"/>
        <v>1600</v>
      </c>
      <c r="I21" s="214">
        <f t="shared" si="2"/>
        <v>2400</v>
      </c>
      <c r="J21" s="214"/>
      <c r="K21" s="38">
        <f t="shared" si="4"/>
        <v>8502.619999999999</v>
      </c>
      <c r="L21" s="38">
        <v>500</v>
      </c>
    </row>
    <row r="22" spans="3:12">
      <c r="C22" s="11"/>
      <c r="F22" t="s">
        <v>279</v>
      </c>
      <c r="G22" s="214"/>
      <c r="H22" s="214">
        <v>200</v>
      </c>
      <c r="I22" s="214">
        <v>300</v>
      </c>
      <c r="J22" s="214"/>
      <c r="K22" s="38">
        <f t="shared" si="4"/>
        <v>9002.619999999999</v>
      </c>
      <c r="L22" s="38">
        <v>500</v>
      </c>
    </row>
    <row r="23" spans="3:12">
      <c r="C23" s="11"/>
      <c r="E23">
        <v>2019</v>
      </c>
      <c r="F23" t="s">
        <v>280</v>
      </c>
      <c r="G23" s="214"/>
      <c r="H23" s="214">
        <f t="shared" si="1"/>
        <v>400</v>
      </c>
      <c r="I23" s="214">
        <f t="shared" si="2"/>
        <v>600</v>
      </c>
      <c r="K23" s="38">
        <f t="shared" si="4"/>
        <v>9502.619999999999</v>
      </c>
      <c r="L23" s="38">
        <v>500</v>
      </c>
    </row>
    <row r="24" spans="3:12">
      <c r="C24" s="11"/>
      <c r="F24" t="s">
        <v>281</v>
      </c>
      <c r="G24" s="38"/>
      <c r="H24" s="214">
        <f t="shared" si="1"/>
        <v>600</v>
      </c>
      <c r="I24" s="214">
        <f t="shared" si="2"/>
        <v>900</v>
      </c>
      <c r="K24" s="38">
        <f t="shared" si="4"/>
        <v>10002.619999999999</v>
      </c>
      <c r="L24" s="38">
        <v>500</v>
      </c>
    </row>
    <row r="25" spans="3:12">
      <c r="F25" t="s">
        <v>282</v>
      </c>
      <c r="G25" s="38"/>
      <c r="H25" s="214">
        <f t="shared" si="1"/>
        <v>800</v>
      </c>
      <c r="I25" s="214">
        <f t="shared" si="2"/>
        <v>1200</v>
      </c>
      <c r="K25" s="38">
        <f t="shared" si="4"/>
        <v>10502.619999999999</v>
      </c>
      <c r="L25" s="38">
        <v>500</v>
      </c>
    </row>
    <row r="26" spans="3:12">
      <c r="E26" t="s">
        <v>283</v>
      </c>
      <c r="F26" t="s">
        <v>284</v>
      </c>
      <c r="H26" s="214">
        <f t="shared" si="1"/>
        <v>1000</v>
      </c>
      <c r="I26" s="214">
        <f t="shared" si="2"/>
        <v>1500</v>
      </c>
      <c r="K26" s="38">
        <f t="shared" si="4"/>
        <v>11002.619999999999</v>
      </c>
      <c r="L26" s="38">
        <v>500</v>
      </c>
    </row>
    <row r="27" spans="3:12">
      <c r="F27" t="s">
        <v>285</v>
      </c>
      <c r="H27" s="214">
        <f t="shared" si="1"/>
        <v>1200</v>
      </c>
      <c r="I27" s="214">
        <f t="shared" si="2"/>
        <v>1800</v>
      </c>
      <c r="K27" s="38">
        <f t="shared" si="4"/>
        <v>11502.619999999999</v>
      </c>
      <c r="L27" s="38">
        <v>500</v>
      </c>
    </row>
    <row r="28" spans="3:12">
      <c r="F28" t="s">
        <v>286</v>
      </c>
      <c r="H28" s="214">
        <f t="shared" si="1"/>
        <v>1400</v>
      </c>
      <c r="I28" s="214">
        <f t="shared" si="2"/>
        <v>2100</v>
      </c>
      <c r="K28" s="38">
        <f t="shared" si="4"/>
        <v>12002.619999999999</v>
      </c>
      <c r="L28" s="38">
        <v>500</v>
      </c>
    </row>
    <row r="29" spans="3:12">
      <c r="E29" s="214">
        <f>SUM(G8:G29)+(SUM(G8:G29)*0.25)</f>
        <v>15000</v>
      </c>
      <c r="F29" t="s">
        <v>287</v>
      </c>
      <c r="G29">
        <v>4000</v>
      </c>
      <c r="H29" s="214">
        <f t="shared" si="1"/>
        <v>1600</v>
      </c>
      <c r="I29" s="214">
        <f t="shared" si="2"/>
        <v>2400</v>
      </c>
      <c r="L29" s="3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I41"/>
  <sheetViews>
    <sheetView workbookViewId="0"/>
  </sheetViews>
  <sheetFormatPr defaultColWidth="11.33203125" defaultRowHeight="14.4"/>
  <cols>
    <col min="1" max="1" width="18.33203125" customWidth="1"/>
    <col min="2" max="3" width="20.44140625" customWidth="1"/>
    <col min="8" max="8" width="16" customWidth="1"/>
    <col min="9" max="9" width="23.109375" customWidth="1"/>
  </cols>
  <sheetData>
    <row r="1" spans="1:9" ht="18">
      <c r="A1" s="105" t="s">
        <v>290</v>
      </c>
      <c r="B1" s="105" t="s">
        <v>291</v>
      </c>
      <c r="C1" s="105" t="s">
        <v>292</v>
      </c>
      <c r="D1" s="105" t="s">
        <v>293</v>
      </c>
      <c r="E1" s="105" t="s">
        <v>294</v>
      </c>
      <c r="F1" s="105" t="s">
        <v>295</v>
      </c>
      <c r="H1" s="105" t="s">
        <v>296</v>
      </c>
      <c r="I1" s="106" t="s">
        <v>297</v>
      </c>
    </row>
    <row r="2" spans="1:9" ht="18">
      <c r="A2" s="104">
        <f>17*1000</f>
        <v>17000</v>
      </c>
      <c r="B2" s="57">
        <f>A2/12</f>
        <v>1416.6666666666667</v>
      </c>
      <c r="C2" s="57">
        <f>A2/52</f>
        <v>326.92307692307691</v>
      </c>
      <c r="D2" s="9">
        <f>IF(A2&gt;21000,A2-21000,0)*0.09/12</f>
        <v>0</v>
      </c>
      <c r="E2" s="9">
        <f>IF(A2&gt;21000,A2-21000,0)*0.06/12</f>
        <v>0</v>
      </c>
      <c r="F2" s="9">
        <f>D2+E2</f>
        <v>0</v>
      </c>
      <c r="H2" s="9" t="s">
        <v>298</v>
      </c>
      <c r="I2" s="57">
        <v>10000</v>
      </c>
    </row>
    <row r="3" spans="1:9" ht="18">
      <c r="A3" s="104">
        <v>18000</v>
      </c>
      <c r="B3" s="57">
        <f t="shared" ref="B3:B15" si="0">A3/12</f>
        <v>1500</v>
      </c>
      <c r="C3" s="57">
        <f t="shared" ref="C3:C15" si="1">A3/52</f>
        <v>346.15384615384613</v>
      </c>
      <c r="D3" s="9">
        <f t="shared" ref="D3:D15" si="2">IF(A3&gt;21000,A3-21000,0)*0.09/12</f>
        <v>0</v>
      </c>
      <c r="E3" s="9">
        <f t="shared" ref="E3:E15" si="3">IF(A3&gt;21000,A3-21000,0)*0.06/12</f>
        <v>0</v>
      </c>
      <c r="F3" s="9">
        <f t="shared" ref="F3:F15" si="4">D3+E3</f>
        <v>0</v>
      </c>
      <c r="H3" s="9" t="s">
        <v>299</v>
      </c>
      <c r="I3" s="57">
        <f>(I2-(E$15*12))*1.039</f>
        <v>9828.9399999999987</v>
      </c>
    </row>
    <row r="4" spans="1:9" ht="18">
      <c r="A4" s="104">
        <v>19000</v>
      </c>
      <c r="B4" s="57">
        <f t="shared" si="0"/>
        <v>1583.3333333333333</v>
      </c>
      <c r="C4" s="57">
        <f t="shared" si="1"/>
        <v>365.38461538461536</v>
      </c>
      <c r="D4" s="9">
        <f t="shared" si="2"/>
        <v>0</v>
      </c>
      <c r="E4" s="9">
        <f t="shared" si="3"/>
        <v>0</v>
      </c>
      <c r="F4" s="9">
        <f t="shared" si="4"/>
        <v>0</v>
      </c>
      <c r="H4" s="9" t="s">
        <v>300</v>
      </c>
      <c r="I4" s="57">
        <f t="shared" ref="I4:I33" si="5">(I3-(E$15*12))*1.039</f>
        <v>9651.2086599999984</v>
      </c>
    </row>
    <row r="5" spans="1:9" ht="18">
      <c r="A5" s="104">
        <v>20000</v>
      </c>
      <c r="B5" s="57">
        <f t="shared" si="0"/>
        <v>1666.6666666666667</v>
      </c>
      <c r="C5" s="57">
        <f t="shared" si="1"/>
        <v>384.61538461538464</v>
      </c>
      <c r="D5" s="9">
        <f t="shared" si="2"/>
        <v>0</v>
      </c>
      <c r="E5" s="9">
        <f t="shared" si="3"/>
        <v>0</v>
      </c>
      <c r="F5" s="9">
        <f t="shared" si="4"/>
        <v>0</v>
      </c>
      <c r="H5" s="9" t="s">
        <v>301</v>
      </c>
      <c r="I5" s="57">
        <f t="shared" si="5"/>
        <v>9466.5457977399983</v>
      </c>
    </row>
    <row r="6" spans="1:9" ht="18">
      <c r="A6" s="104">
        <v>21000</v>
      </c>
      <c r="B6" s="57">
        <f t="shared" si="0"/>
        <v>1750</v>
      </c>
      <c r="C6" s="57">
        <f t="shared" si="1"/>
        <v>403.84615384615387</v>
      </c>
      <c r="D6" s="9">
        <f t="shared" si="2"/>
        <v>0</v>
      </c>
      <c r="E6" s="9">
        <f t="shared" si="3"/>
        <v>0</v>
      </c>
      <c r="F6" s="9">
        <f t="shared" si="4"/>
        <v>0</v>
      </c>
      <c r="H6" s="9" t="s">
        <v>302</v>
      </c>
      <c r="I6" s="57">
        <f t="shared" si="5"/>
        <v>9274.6810838518577</v>
      </c>
    </row>
    <row r="7" spans="1:9" ht="18">
      <c r="A7" s="104">
        <v>22000</v>
      </c>
      <c r="B7" s="57">
        <f t="shared" si="0"/>
        <v>1833.3333333333333</v>
      </c>
      <c r="C7" s="57">
        <f t="shared" si="1"/>
        <v>423.07692307692309</v>
      </c>
      <c r="D7" s="9">
        <f t="shared" si="2"/>
        <v>7.5</v>
      </c>
      <c r="E7" s="9">
        <f t="shared" si="3"/>
        <v>5</v>
      </c>
      <c r="F7" s="9">
        <f t="shared" si="4"/>
        <v>12.5</v>
      </c>
      <c r="H7" s="9" t="s">
        <v>303</v>
      </c>
      <c r="I7" s="57">
        <f t="shared" si="5"/>
        <v>9075.3336461220788</v>
      </c>
    </row>
    <row r="8" spans="1:9" ht="18">
      <c r="A8" s="104">
        <v>23000</v>
      </c>
      <c r="B8" s="57">
        <f t="shared" si="0"/>
        <v>1916.6666666666667</v>
      </c>
      <c r="C8" s="57">
        <f t="shared" si="1"/>
        <v>442.30769230769232</v>
      </c>
      <c r="D8" s="9">
        <f t="shared" si="2"/>
        <v>15</v>
      </c>
      <c r="E8" s="9">
        <f t="shared" si="3"/>
        <v>10</v>
      </c>
      <c r="F8" s="9">
        <f t="shared" si="4"/>
        <v>25</v>
      </c>
      <c r="H8" s="9" t="s">
        <v>304</v>
      </c>
      <c r="I8" s="57">
        <f t="shared" si="5"/>
        <v>8868.211658320839</v>
      </c>
    </row>
    <row r="9" spans="1:9" ht="18">
      <c r="A9" s="104">
        <v>24000</v>
      </c>
      <c r="B9" s="57">
        <f t="shared" si="0"/>
        <v>2000</v>
      </c>
      <c r="C9" s="57">
        <f t="shared" si="1"/>
        <v>461.53846153846155</v>
      </c>
      <c r="D9" s="9">
        <f t="shared" si="2"/>
        <v>22.5</v>
      </c>
      <c r="E9" s="9">
        <f t="shared" si="3"/>
        <v>15</v>
      </c>
      <c r="F9" s="9">
        <f t="shared" si="4"/>
        <v>37.5</v>
      </c>
      <c r="H9" s="9" t="s">
        <v>305</v>
      </c>
      <c r="I9" s="57">
        <f t="shared" si="5"/>
        <v>8653.0119129953509</v>
      </c>
    </row>
    <row r="10" spans="1:9" ht="18">
      <c r="A10" s="104">
        <v>25000</v>
      </c>
      <c r="B10" s="57">
        <f t="shared" si="0"/>
        <v>2083.3333333333335</v>
      </c>
      <c r="C10" s="57">
        <f t="shared" si="1"/>
        <v>480.76923076923077</v>
      </c>
      <c r="D10" s="9">
        <f t="shared" si="2"/>
        <v>30</v>
      </c>
      <c r="E10" s="9">
        <f t="shared" si="3"/>
        <v>20</v>
      </c>
      <c r="F10" s="9">
        <f t="shared" si="4"/>
        <v>50</v>
      </c>
      <c r="H10" s="9" t="s">
        <v>306</v>
      </c>
      <c r="I10" s="57">
        <f t="shared" si="5"/>
        <v>8429.4193776021693</v>
      </c>
    </row>
    <row r="11" spans="1:9" ht="18">
      <c r="A11" s="104">
        <v>26000</v>
      </c>
      <c r="B11" s="57">
        <f t="shared" si="0"/>
        <v>2166.6666666666665</v>
      </c>
      <c r="C11" s="57">
        <f t="shared" si="1"/>
        <v>500</v>
      </c>
      <c r="D11" s="9">
        <f t="shared" si="2"/>
        <v>37.5</v>
      </c>
      <c r="E11" s="9">
        <f t="shared" si="3"/>
        <v>25</v>
      </c>
      <c r="F11" s="9">
        <f t="shared" si="4"/>
        <v>62.5</v>
      </c>
      <c r="H11" s="9" t="s">
        <v>307</v>
      </c>
      <c r="I11" s="57">
        <f t="shared" si="5"/>
        <v>8197.1067333286537</v>
      </c>
    </row>
    <row r="12" spans="1:9" ht="18">
      <c r="A12" s="104">
        <v>27000</v>
      </c>
      <c r="B12" s="57">
        <f t="shared" si="0"/>
        <v>2250</v>
      </c>
      <c r="C12" s="57">
        <f t="shared" si="1"/>
        <v>519.23076923076928</v>
      </c>
      <c r="D12" s="9">
        <f t="shared" si="2"/>
        <v>45</v>
      </c>
      <c r="E12" s="9">
        <f t="shared" si="3"/>
        <v>30</v>
      </c>
      <c r="F12" s="9">
        <f t="shared" si="4"/>
        <v>75</v>
      </c>
      <c r="H12" s="9" t="s">
        <v>308</v>
      </c>
      <c r="I12" s="57">
        <f t="shared" si="5"/>
        <v>7955.7338959284707</v>
      </c>
    </row>
    <row r="13" spans="1:9" ht="18">
      <c r="A13" s="104">
        <v>28000</v>
      </c>
      <c r="B13" s="57">
        <f t="shared" si="0"/>
        <v>2333.3333333333335</v>
      </c>
      <c r="C13" s="57">
        <f t="shared" si="1"/>
        <v>538.46153846153845</v>
      </c>
      <c r="D13" s="9">
        <f t="shared" si="2"/>
        <v>52.5</v>
      </c>
      <c r="E13" s="9">
        <f t="shared" si="3"/>
        <v>35</v>
      </c>
      <c r="F13" s="9">
        <f t="shared" si="4"/>
        <v>87.5</v>
      </c>
      <c r="H13" s="9" t="s">
        <v>309</v>
      </c>
      <c r="I13" s="57">
        <f t="shared" si="5"/>
        <v>7704.9475178696803</v>
      </c>
    </row>
    <row r="14" spans="1:9" ht="18">
      <c r="A14" s="104">
        <v>29000</v>
      </c>
      <c r="B14" s="57">
        <f t="shared" si="0"/>
        <v>2416.6666666666665</v>
      </c>
      <c r="C14" s="57">
        <f t="shared" si="1"/>
        <v>557.69230769230774</v>
      </c>
      <c r="D14" s="9">
        <f t="shared" si="2"/>
        <v>60</v>
      </c>
      <c r="E14" s="9">
        <f t="shared" si="3"/>
        <v>40</v>
      </c>
      <c r="F14" s="9">
        <f t="shared" si="4"/>
        <v>100</v>
      </c>
      <c r="H14" s="9" t="s">
        <v>310</v>
      </c>
      <c r="I14" s="57">
        <f t="shared" si="5"/>
        <v>7444.3804710665972</v>
      </c>
    </row>
    <row r="15" spans="1:9" ht="18">
      <c r="A15" s="104">
        <v>30000</v>
      </c>
      <c r="B15" s="57">
        <f t="shared" si="0"/>
        <v>2500</v>
      </c>
      <c r="C15" s="57">
        <f t="shared" si="1"/>
        <v>576.92307692307691</v>
      </c>
      <c r="D15" s="9">
        <f t="shared" si="2"/>
        <v>67.5</v>
      </c>
      <c r="E15" s="9">
        <f t="shared" si="3"/>
        <v>45</v>
      </c>
      <c r="F15" s="9">
        <f t="shared" si="4"/>
        <v>112.5</v>
      </c>
      <c r="H15" s="9" t="s">
        <v>311</v>
      </c>
      <c r="I15" s="57">
        <f t="shared" si="5"/>
        <v>7173.6513094381944</v>
      </c>
    </row>
    <row r="16" spans="1:9" ht="18">
      <c r="A16" s="58"/>
      <c r="B16" s="57"/>
      <c r="C16" s="57"/>
      <c r="D16" s="9"/>
      <c r="E16" s="9"/>
      <c r="F16" s="9"/>
      <c r="H16" s="9" t="s">
        <v>312</v>
      </c>
      <c r="I16" s="57">
        <f t="shared" si="5"/>
        <v>6892.3637105062835</v>
      </c>
    </row>
    <row r="17" spans="1:9" ht="18">
      <c r="A17" s="58"/>
      <c r="B17" s="57"/>
      <c r="C17" s="57"/>
      <c r="D17" s="9"/>
      <c r="E17" s="9"/>
      <c r="F17" s="9"/>
      <c r="H17" s="9" t="s">
        <v>313</v>
      </c>
      <c r="I17" s="57">
        <f t="shared" si="5"/>
        <v>6600.1058952160283</v>
      </c>
    </row>
    <row r="18" spans="1:9" ht="18">
      <c r="A18" s="58"/>
      <c r="B18" s="57"/>
      <c r="C18" s="57"/>
      <c r="D18" s="9"/>
      <c r="E18" s="9"/>
      <c r="F18" s="9"/>
      <c r="H18" s="9" t="s">
        <v>314</v>
      </c>
      <c r="I18" s="57">
        <f t="shared" si="5"/>
        <v>6296.450025129453</v>
      </c>
    </row>
    <row r="19" spans="1:9" ht="18">
      <c r="A19" s="58"/>
      <c r="B19" s="57"/>
      <c r="C19" s="57"/>
      <c r="D19" s="9"/>
      <c r="E19" s="9"/>
      <c r="F19" s="9"/>
      <c r="H19" s="9" t="s">
        <v>315</v>
      </c>
      <c r="I19" s="57">
        <f t="shared" si="5"/>
        <v>5980.9515761095008</v>
      </c>
    </row>
    <row r="20" spans="1:9" ht="18">
      <c r="A20" s="58"/>
      <c r="B20" s="57"/>
      <c r="C20" s="57"/>
      <c r="D20" s="9"/>
      <c r="E20" s="9"/>
      <c r="F20" s="9"/>
      <c r="H20" s="9" t="s">
        <v>316</v>
      </c>
      <c r="I20" s="57">
        <f t="shared" si="5"/>
        <v>5653.1486875777709</v>
      </c>
    </row>
    <row r="21" spans="1:9" ht="18">
      <c r="A21" s="58"/>
      <c r="B21" s="57"/>
      <c r="C21" s="57"/>
      <c r="D21" s="9"/>
      <c r="E21" s="9"/>
      <c r="F21" s="9"/>
      <c r="H21" s="9" t="s">
        <v>317</v>
      </c>
      <c r="I21" s="57">
        <f t="shared" si="5"/>
        <v>5312.5614863933033</v>
      </c>
    </row>
    <row r="22" spans="1:9" ht="18">
      <c r="A22" s="58"/>
      <c r="B22" s="57"/>
      <c r="C22" s="57"/>
      <c r="D22" s="9"/>
      <c r="E22" s="9"/>
      <c r="F22" s="9"/>
      <c r="H22" s="9" t="s">
        <v>318</v>
      </c>
      <c r="I22" s="57">
        <f t="shared" si="5"/>
        <v>4958.6913843626417</v>
      </c>
    </row>
    <row r="23" spans="1:9" ht="18">
      <c r="A23" s="58"/>
      <c r="B23" s="57"/>
      <c r="C23" s="57"/>
      <c r="D23" s="9"/>
      <c r="E23" s="9"/>
      <c r="F23" s="9"/>
      <c r="H23" s="9" t="s">
        <v>319</v>
      </c>
      <c r="I23" s="57">
        <f t="shared" si="5"/>
        <v>4591.0203483527839</v>
      </c>
    </row>
    <row r="24" spans="1:9" ht="18">
      <c r="A24" s="58"/>
      <c r="B24" s="57"/>
      <c r="C24" s="57"/>
      <c r="D24" s="9"/>
      <c r="E24" s="9"/>
      <c r="F24" s="9"/>
      <c r="H24" s="9" t="s">
        <v>320</v>
      </c>
      <c r="I24" s="57">
        <f t="shared" si="5"/>
        <v>4209.0101419385419</v>
      </c>
    </row>
    <row r="25" spans="1:9" ht="18">
      <c r="A25" s="58"/>
      <c r="B25" s="57"/>
      <c r="C25" s="57"/>
      <c r="D25" s="9"/>
      <c r="E25" s="9"/>
      <c r="F25" s="9"/>
      <c r="H25" s="9" t="s">
        <v>321</v>
      </c>
      <c r="I25" s="57">
        <f t="shared" si="5"/>
        <v>3812.1015374741446</v>
      </c>
    </row>
    <row r="26" spans="1:9" ht="18">
      <c r="A26" s="58"/>
      <c r="B26" s="57"/>
      <c r="C26" s="57"/>
      <c r="D26" s="9"/>
      <c r="E26" s="9"/>
      <c r="F26" s="9"/>
      <c r="H26" s="9" t="s">
        <v>322</v>
      </c>
      <c r="I26" s="57">
        <f t="shared" si="5"/>
        <v>3399.7134974356359</v>
      </c>
    </row>
    <row r="27" spans="1:9" ht="18">
      <c r="H27" s="9" t="s">
        <v>323</v>
      </c>
      <c r="I27" s="57">
        <f t="shared" si="5"/>
        <v>2971.2423238356255</v>
      </c>
    </row>
    <row r="28" spans="1:9" ht="18">
      <c r="H28" s="9" t="s">
        <v>324</v>
      </c>
      <c r="I28" s="57">
        <f t="shared" si="5"/>
        <v>2526.0607744652148</v>
      </c>
    </row>
    <row r="29" spans="1:9" ht="18">
      <c r="H29" s="9" t="s">
        <v>325</v>
      </c>
      <c r="I29" s="57">
        <f t="shared" si="5"/>
        <v>2063.517144669358</v>
      </c>
    </row>
    <row r="30" spans="1:9" ht="18">
      <c r="H30" s="9" t="s">
        <v>326</v>
      </c>
      <c r="I30" s="57">
        <f t="shared" si="5"/>
        <v>1582.9343133114628</v>
      </c>
    </row>
    <row r="31" spans="1:9" ht="18">
      <c r="H31" s="9" t="s">
        <v>327</v>
      </c>
      <c r="I31" s="57">
        <f t="shared" si="5"/>
        <v>1083.6087515306099</v>
      </c>
    </row>
    <row r="32" spans="1:9" ht="18">
      <c r="H32" s="9" t="s">
        <v>328</v>
      </c>
      <c r="I32" s="57">
        <f t="shared" si="5"/>
        <v>564.80949284030362</v>
      </c>
    </row>
    <row r="33" spans="8:9" ht="18">
      <c r="H33" s="9" t="s">
        <v>329</v>
      </c>
      <c r="I33" s="57">
        <f t="shared" si="5"/>
        <v>25.777063061075459</v>
      </c>
    </row>
    <row r="34" spans="8:9" ht="18">
      <c r="H34" s="9"/>
      <c r="I34" s="57"/>
    </row>
    <row r="35" spans="8:9" ht="18">
      <c r="H35" s="9"/>
      <c r="I35" s="57"/>
    </row>
    <row r="36" spans="8:9" ht="18">
      <c r="H36" s="9"/>
      <c r="I36" s="57"/>
    </row>
    <row r="37" spans="8:9" ht="18">
      <c r="H37" s="9"/>
      <c r="I37" s="57"/>
    </row>
    <row r="38" spans="8:9" ht="18">
      <c r="H38" s="9"/>
      <c r="I38" s="57"/>
    </row>
    <row r="39" spans="8:9" ht="18">
      <c r="H39" s="9"/>
      <c r="I39" s="57"/>
    </row>
    <row r="40" spans="8:9" ht="18">
      <c r="H40" s="9"/>
      <c r="I40" s="57"/>
    </row>
    <row r="41" spans="8:9" ht="18">
      <c r="H41" s="9"/>
      <c r="I41" s="5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S103"/>
  <sheetViews>
    <sheetView workbookViewId="0"/>
  </sheetViews>
  <sheetFormatPr defaultColWidth="8.44140625" defaultRowHeight="18" outlineLevelRow="1" outlineLevelCol="1"/>
  <cols>
    <col min="1" max="1" width="15.44140625" customWidth="1"/>
    <col min="2" max="2" width="20.44140625" customWidth="1"/>
    <col min="3" max="3" width="19.44140625" customWidth="1"/>
    <col min="4" max="5" width="18.33203125" customWidth="1"/>
    <col min="6" max="6" width="22.33203125" customWidth="1"/>
    <col min="7" max="7" width="14.6640625" customWidth="1" outlineLevel="1"/>
    <col min="8" max="8" width="17.44140625" customWidth="1" outlineLevel="1"/>
    <col min="9" max="9" width="25" customWidth="1" outlineLevel="1"/>
    <col min="10" max="10" width="13.44140625" customWidth="1"/>
    <col min="11" max="11" width="13.44140625" style="117" customWidth="1"/>
    <col min="12" max="13" width="16.6640625" customWidth="1"/>
    <col min="14" max="14" width="35.109375" customWidth="1"/>
    <col min="15" max="15" width="11.109375" customWidth="1"/>
    <col min="17" max="19" width="17.44140625" customWidth="1"/>
  </cols>
  <sheetData>
    <row r="1" spans="1:19" ht="17.399999999999999">
      <c r="A1" s="29" t="s">
        <v>330</v>
      </c>
      <c r="B1" s="29" t="s">
        <v>223</v>
      </c>
      <c r="C1" s="29" t="s">
        <v>193</v>
      </c>
      <c r="D1" s="29" t="s">
        <v>247</v>
      </c>
      <c r="E1" s="29" t="s">
        <v>195</v>
      </c>
      <c r="F1" s="29" t="s">
        <v>248</v>
      </c>
      <c r="G1" s="29" t="s">
        <v>197</v>
      </c>
      <c r="H1" s="29" t="s">
        <v>198</v>
      </c>
      <c r="I1" s="29" t="s">
        <v>199</v>
      </c>
      <c r="J1" s="29" t="s">
        <v>249</v>
      </c>
      <c r="K1" s="29" t="s">
        <v>201</v>
      </c>
      <c r="L1" s="29" t="s">
        <v>250</v>
      </c>
      <c r="M1" s="29" t="s">
        <v>251</v>
      </c>
      <c r="N1" s="29" t="s">
        <v>252</v>
      </c>
      <c r="Q1" s="6"/>
      <c r="R1" s="6"/>
      <c r="S1" s="6"/>
    </row>
    <row r="2" spans="1:19" ht="19.2">
      <c r="A2" s="30" t="s">
        <v>17</v>
      </c>
      <c r="B2" s="131">
        <f>(IF(B3&lt;&gt;"",((LEN(B3)-LEN(SUBSTITUTE(B3,",","")))+1)))+(IF(B4&lt;&gt;"",((LEN(B4)-LEN(SUBSTITUTE(B4,",","")))+1)))+(IF(B5&lt;&gt;"",((LEN(B5)-LEN(SUBSTITUTE(B5,",","")))+1)))+(IF(B6&lt;&gt;"",((LEN(B6)-LEN(SUBSTITUTE(B6,",","")))+1)))</f>
        <v>0</v>
      </c>
      <c r="C2" s="174">
        <f>ROUND(SUM(C3:C6)/9,2)+SUM(C3:C6)</f>
        <v>0</v>
      </c>
      <c r="D2" s="3">
        <f>C2*B68</f>
        <v>0</v>
      </c>
      <c r="E2" s="71">
        <f t="shared" ref="E2:E61" si="0">8.25*C2-D2</f>
        <v>0</v>
      </c>
      <c r="F2" s="133" t="str">
        <f ca="1">IF(ISREF(INDIRECT("'"&amp;"Wages "&amp;LEFT(A1,4)-1&amp;"'!A1"))=TRUE,INDIRECT(CONCATENATE("'Wages ",LEFT(A1,4)-1,"'!G11")) + INDIRECT(CONCATENATE("'Wages ",LEFT(A1,4)-1,"'!G12")) + INDIRECT(CONCATENATE("'Wages ",LEFT(A1,4)-1,"'!G13")) + D2,"")</f>
        <v/>
      </c>
      <c r="G2" s="3">
        <f ca="1">IF(F2="",IF((((D2-H2)/4)-155)&gt;0,((((D2-H2)/4)-155)*0.12)*4,0),IF((((F2-H2)/4)-155)&gt;0,((((F2-H2)/4)-155)*0.12)*4,0))</f>
        <v>0</v>
      </c>
      <c r="H2" s="127">
        <f ca="1">IF(B$70&lt;&gt;"N",IF(F2="",D2*0.05,F2*0.05),0)</f>
        <v>0</v>
      </c>
      <c r="I2" s="127">
        <f ca="1">IF(N2&gt;11000,IF(F2="",(D2-11000)*0.2,(F2-11000)*0.2),0)</f>
        <v>0</v>
      </c>
      <c r="J2" s="65">
        <f ca="1">IF(F2="",D2-G2-H2,F2-G2-H2)</f>
        <v>0</v>
      </c>
      <c r="K2" s="116" t="str">
        <f>TEXT(DATE(LEFT(A$1,4),IF(MONTH(DATEVALUE(A2&amp;" 1"))+1&gt;12,1,MONTH(DATEVALUE(A2&amp;" 1"))+1),1),"mmm")&amp;" " &amp;DAY(EOMONTH((DATE(LEFT(A$1,4),MONTH(DATEVALUE(A2&amp;" 1"))+1,1)),0)+1-WEEKDAY(EOMONTH((DATE(LEFT(A$1,4),MONTH(DATEVALUE(A2&amp;" 1"))+1,1)),0)+1-4))</f>
        <v>Feb 28</v>
      </c>
      <c r="L2" s="3"/>
      <c r="M2" s="200"/>
      <c r="N2" s="199">
        <f ca="1">IF(ISREF(INDIRECT("'"&amp;"Wages "&amp;LEFT(A1,4)-1&amp;"'!A1"))=TRUE,INDIRECT(CONCATENATE("'Wages ",LEFT(A1,4)-1,"'!Q13")))+(IF(F2="",D2,F2))</f>
        <v>0</v>
      </c>
      <c r="Q2" s="7"/>
      <c r="R2" s="7"/>
      <c r="S2" s="7"/>
    </row>
    <row r="3" spans="1:19" ht="19.2" outlineLevel="1">
      <c r="A3" s="190" t="b">
        <f ca="1">IF(ISREF(INDIRECT("'"&amp;"Wages "&amp;LEFT(A1,4)-1&amp;"'!A1"))=TRUE,INDIRECT(CONCATENATE("'Wages ",LEFT(A1,4)-1,"'!A65"))+7)</f>
        <v>0</v>
      </c>
      <c r="B3" s="190"/>
      <c r="C3" s="1"/>
      <c r="D3" s="3"/>
      <c r="E3" s="71"/>
      <c r="F3" s="133"/>
      <c r="G3" s="3"/>
      <c r="H3" s="127"/>
      <c r="I3" s="127"/>
      <c r="J3" s="65"/>
      <c r="K3" s="116"/>
      <c r="L3" s="3"/>
      <c r="M3" s="3"/>
      <c r="N3" s="199"/>
      <c r="Q3" s="7"/>
      <c r="R3" s="7"/>
      <c r="S3" s="7"/>
    </row>
    <row r="4" spans="1:19" ht="19.2" outlineLevel="1">
      <c r="A4" s="190">
        <f ca="1">A3+7</f>
        <v>7</v>
      </c>
      <c r="B4" s="190"/>
      <c r="C4" s="1"/>
      <c r="D4" s="3"/>
      <c r="E4" s="71"/>
      <c r="F4" s="133"/>
      <c r="G4" s="3"/>
      <c r="H4" s="127"/>
      <c r="I4" s="127"/>
      <c r="J4" s="65"/>
      <c r="K4" s="116"/>
      <c r="L4" s="3"/>
      <c r="M4" s="3"/>
      <c r="N4" s="199"/>
      <c r="Q4" s="7"/>
      <c r="R4" s="7"/>
      <c r="S4" s="7"/>
    </row>
    <row r="5" spans="1:19" ht="19.2" outlineLevel="1">
      <c r="A5" s="190">
        <f t="shared" ref="A5:A6" ca="1" si="1">A4+7</f>
        <v>14</v>
      </c>
      <c r="B5" s="190"/>
      <c r="C5" s="1"/>
      <c r="D5" s="3"/>
      <c r="E5" s="71"/>
      <c r="F5" s="133"/>
      <c r="G5" s="3"/>
      <c r="H5" s="127"/>
      <c r="I5" s="127"/>
      <c r="J5" s="65"/>
      <c r="K5" s="116"/>
      <c r="L5" s="3"/>
      <c r="M5" s="3"/>
      <c r="N5" s="199"/>
      <c r="Q5" s="7"/>
      <c r="R5" s="7"/>
      <c r="S5" s="7"/>
    </row>
    <row r="6" spans="1:19" ht="19.2" outlineLevel="1">
      <c r="A6" s="190">
        <f t="shared" ca="1" si="1"/>
        <v>21</v>
      </c>
      <c r="B6" s="190"/>
      <c r="C6" s="1"/>
      <c r="D6" s="3"/>
      <c r="E6" s="71"/>
      <c r="F6" s="133"/>
      <c r="G6" s="3"/>
      <c r="H6" s="127"/>
      <c r="I6" s="127"/>
      <c r="J6" s="65"/>
      <c r="K6" s="116"/>
      <c r="L6" s="3"/>
      <c r="M6" s="3"/>
      <c r="N6" s="199"/>
      <c r="Q6" s="7"/>
      <c r="R6" s="7"/>
      <c r="S6" s="7"/>
    </row>
    <row r="7" spans="1:19" ht="19.2">
      <c r="A7" s="30" t="s">
        <v>29</v>
      </c>
      <c r="B7" s="131">
        <f>(IF(B8&lt;&gt;"",((LEN(B8)-LEN(SUBSTITUTE(B8,",","")))+1)))+(IF(B9&lt;&gt;"",((LEN(B9)-LEN(SUBSTITUTE(B9,",","")))+1)))+(IF(B10&lt;&gt;"",((LEN(B10)-LEN(SUBSTITUTE(B10,",","")))+1)))+(IF(B11&lt;&gt;"",((LEN(B11)-LEN(SUBSTITUTE(B11,",","")))+1)))+(IF(B12&lt;&gt;"",((LEN(B12)-LEN(SUBSTITUTE(B12,",","")))+1)))</f>
        <v>0</v>
      </c>
      <c r="C7" s="174">
        <f>ROUND(SUM(C8:C12)/9,2)+SUM(C8:C12)</f>
        <v>0</v>
      </c>
      <c r="D7" s="3">
        <f>C7*B68</f>
        <v>0</v>
      </c>
      <c r="E7" s="71">
        <f t="shared" si="0"/>
        <v>0</v>
      </c>
      <c r="F7" s="127"/>
      <c r="G7" s="3">
        <f t="shared" ref="G7:G13" si="2">IF(F7="",IF((((D7-H7)/4)-155)&gt;0,((((D7-H7)/4)-155)*0.12)*4,0),IF((((F7-H7)/4)-155)&gt;0,((((F7-H7)/4)-155)*0.12)*4,0))</f>
        <v>0</v>
      </c>
      <c r="H7" s="127">
        <f>IF(B$70&lt;&gt;"N",IF(F7="",D7*0.05,F7*0.05),0)</f>
        <v>0</v>
      </c>
      <c r="I7" s="127">
        <f ca="1">IF(N7&gt;11000,(D7-(11000-N2))*0.2,0)</f>
        <v>0</v>
      </c>
      <c r="J7" s="65">
        <f t="shared" ref="J7" si="3">IF(F7="",D7-G7-H7,F7-G7-H7)</f>
        <v>0</v>
      </c>
      <c r="K7" s="116" t="str">
        <f>TEXT(DATE(LEFT(A$1,4),IF(MONTH(DATEVALUE(A7&amp;" 1"))+1&gt;12,1,MONTH(DATEVALUE(A7&amp;" 1"))+1),1),"mmm")&amp;" " &amp;DAY(EOMONTH((DATE(LEFT(A$1,4),MONTH(DATEVALUE(A7&amp;" 1"))+1,1)),0)+1-WEEKDAY(EOMONTH((DATE(LEFT(A$1,4),MONTH(DATEVALUE(A7&amp;" 1"))+1,1)),0)+1-4))</f>
        <v>Mar 28</v>
      </c>
      <c r="L7" s="3"/>
      <c r="M7" s="3"/>
      <c r="N7" s="199">
        <f ca="1">N2+D7</f>
        <v>0</v>
      </c>
      <c r="Q7" s="2"/>
      <c r="R7" s="2"/>
      <c r="S7" s="2"/>
    </row>
    <row r="8" spans="1:19" ht="19.2" outlineLevel="1">
      <c r="A8" s="191">
        <f ca="1">A6+7</f>
        <v>28</v>
      </c>
      <c r="B8" s="5"/>
      <c r="C8" s="1"/>
      <c r="D8" s="3"/>
      <c r="E8" s="71"/>
      <c r="F8" s="127"/>
      <c r="G8" s="3"/>
      <c r="H8" s="127"/>
      <c r="I8" s="127"/>
      <c r="J8" s="65"/>
      <c r="K8" s="116"/>
      <c r="L8" s="3"/>
      <c r="M8" s="3"/>
      <c r="N8" s="199"/>
      <c r="Q8" s="2"/>
      <c r="R8" s="2"/>
      <c r="S8" s="2"/>
    </row>
    <row r="9" spans="1:19" ht="19.2" outlineLevel="1">
      <c r="A9" s="191">
        <f ca="1">A8+7</f>
        <v>35</v>
      </c>
      <c r="B9" s="5"/>
      <c r="C9" s="1"/>
      <c r="D9" s="3"/>
      <c r="E9" s="71"/>
      <c r="F9" s="127"/>
      <c r="G9" s="3"/>
      <c r="H9" s="127"/>
      <c r="I9" s="127"/>
      <c r="J9" s="65"/>
      <c r="K9" s="116"/>
      <c r="L9" s="3"/>
      <c r="M9" s="3"/>
      <c r="N9" s="199"/>
      <c r="Q9" s="2"/>
      <c r="R9" s="2"/>
      <c r="S9" s="2"/>
    </row>
    <row r="10" spans="1:19" ht="19.2" outlineLevel="1">
      <c r="A10" s="191">
        <f t="shared" ref="A10:A11" ca="1" si="4">A9+7</f>
        <v>42</v>
      </c>
      <c r="B10" s="5"/>
      <c r="C10" s="1"/>
      <c r="D10" s="3"/>
      <c r="E10" s="71"/>
      <c r="F10" s="127"/>
      <c r="G10" s="3"/>
      <c r="H10" s="127"/>
      <c r="I10" s="127"/>
      <c r="J10" s="65"/>
      <c r="K10" s="116"/>
      <c r="L10" s="3"/>
      <c r="M10" s="3"/>
      <c r="N10" s="199"/>
      <c r="Q10" s="2"/>
      <c r="R10" s="2"/>
      <c r="S10" s="2"/>
    </row>
    <row r="11" spans="1:19" ht="19.2" outlineLevel="1">
      <c r="A11" s="191">
        <f t="shared" ca="1" si="4"/>
        <v>49</v>
      </c>
      <c r="B11" s="5"/>
      <c r="C11" s="1"/>
      <c r="D11" s="3"/>
      <c r="E11" s="71"/>
      <c r="F11" s="127"/>
      <c r="G11" s="3"/>
      <c r="H11" s="127"/>
      <c r="I11" s="127"/>
      <c r="J11" s="65"/>
      <c r="K11" s="116"/>
      <c r="L11" s="3"/>
      <c r="M11" s="3"/>
      <c r="N11" s="199"/>
      <c r="Q11" s="2"/>
      <c r="R11" s="2"/>
      <c r="S11" s="2"/>
    </row>
    <row r="12" spans="1:19" ht="19.2" outlineLevel="1">
      <c r="A12" s="191">
        <f ca="1">A11+7</f>
        <v>56</v>
      </c>
      <c r="B12" s="5"/>
      <c r="C12" s="1"/>
      <c r="D12" s="3"/>
      <c r="E12" s="71"/>
      <c r="F12" s="127"/>
      <c r="G12" s="3"/>
      <c r="H12" s="127"/>
      <c r="I12" s="127"/>
      <c r="J12" s="65"/>
      <c r="K12" s="116"/>
      <c r="L12" s="3"/>
      <c r="M12" s="3"/>
      <c r="N12" s="199"/>
      <c r="Q12" s="2"/>
      <c r="R12" s="2"/>
      <c r="S12" s="2"/>
    </row>
    <row r="13" spans="1:19" ht="19.2">
      <c r="A13" s="30" t="s">
        <v>37</v>
      </c>
      <c r="B13" s="131">
        <f>(IF(B14&lt;&gt;"",((LEN(B14)-LEN(SUBSTITUTE(B14,",","")))+1)))+(IF(B15&lt;&gt;"",((LEN(B15)-LEN(SUBSTITUTE(B15,",","")))+1)))+(IF(B16&lt;&gt;"",((LEN(B16)-LEN(SUBSTITUTE(B16,",","")))+1)))+(IF(B17&lt;&gt;"",((LEN(B17)-LEN(SUBSTITUTE(B17,",","")))+1)))</f>
        <v>0</v>
      </c>
      <c r="C13" s="174">
        <f>ROUND(SUM(C14:C17)/9,2)+SUM(C14:C17)</f>
        <v>0</v>
      </c>
      <c r="D13" s="3">
        <f>C13*B68</f>
        <v>0</v>
      </c>
      <c r="E13" s="71">
        <f t="shared" si="0"/>
        <v>0</v>
      </c>
      <c r="F13" s="127"/>
      <c r="G13" s="3">
        <f t="shared" si="2"/>
        <v>0</v>
      </c>
      <c r="H13" s="127">
        <f>IF(B$70&lt;&gt;"N",IF(F13="",D13*0.05,F13*0.05),0)</f>
        <v>0</v>
      </c>
      <c r="I13" s="127">
        <f ca="1">IF(N13&gt;11000,(D13-(11000-N7))*0.2,0)</f>
        <v>0</v>
      </c>
      <c r="J13" s="65">
        <f>IF(F13="",D13-G13-H13,F13-G13-H13-I13)</f>
        <v>0</v>
      </c>
      <c r="K13" s="116" t="str">
        <f>TEXT(DATE(LEFT(A$1,4),IF(MONTH(DATEVALUE(A13&amp;" 1"))+1&gt;12,1,MONTH(DATEVALUE(A13&amp;" 1"))+1),1),"mmm")&amp;" " &amp;DAY(EOMONTH((DATE(LEFT(A$1,4),MONTH(DATEVALUE(A13&amp;" 1"))+1,1)),0)+1-WEEKDAY(EOMONTH((DATE(LEFT(A$1,4),MONTH(DATEVALUE(A13&amp;" 1"))+1,1)),0)+1-4))</f>
        <v>Apr 25</v>
      </c>
      <c r="L13" s="3"/>
      <c r="M13" s="3"/>
      <c r="N13" s="199">
        <f ca="1">N7+D13</f>
        <v>0</v>
      </c>
      <c r="Q13" s="3"/>
      <c r="R13" s="3"/>
      <c r="S13" s="8"/>
    </row>
    <row r="14" spans="1:19" ht="19.2" outlineLevel="1">
      <c r="A14" s="191">
        <f ca="1">A12+7</f>
        <v>63</v>
      </c>
      <c r="B14" s="5"/>
      <c r="C14" s="1"/>
      <c r="D14" s="3"/>
      <c r="E14" s="71"/>
      <c r="F14" s="127"/>
      <c r="G14" s="3"/>
      <c r="H14" s="127"/>
      <c r="I14" s="127"/>
      <c r="J14" s="65"/>
      <c r="K14" s="116"/>
      <c r="L14" s="3"/>
      <c r="M14" s="3"/>
      <c r="N14" s="199"/>
      <c r="Q14" s="3"/>
      <c r="R14" s="3"/>
      <c r="S14" s="8"/>
    </row>
    <row r="15" spans="1:19" ht="19.2" outlineLevel="1">
      <c r="A15" s="191">
        <f t="shared" ref="A15:A17" ca="1" si="5">A14+7</f>
        <v>70</v>
      </c>
      <c r="B15" s="5"/>
      <c r="C15" s="1"/>
      <c r="D15" s="3"/>
      <c r="E15" s="71"/>
      <c r="F15" s="127"/>
      <c r="G15" s="3"/>
      <c r="H15" s="127"/>
      <c r="I15" s="127"/>
      <c r="J15" s="65"/>
      <c r="K15" s="116"/>
      <c r="L15" s="3"/>
      <c r="M15" s="3"/>
      <c r="N15" s="199"/>
      <c r="Q15" s="3"/>
      <c r="R15" s="3"/>
      <c r="S15" s="8"/>
    </row>
    <row r="16" spans="1:19" ht="19.2" outlineLevel="1">
      <c r="A16" s="191">
        <f t="shared" ca="1" si="5"/>
        <v>77</v>
      </c>
      <c r="B16" s="5"/>
      <c r="C16" s="1"/>
      <c r="D16" s="3"/>
      <c r="E16" s="71"/>
      <c r="F16" s="127"/>
      <c r="G16" s="3"/>
      <c r="H16" s="127"/>
      <c r="I16" s="127"/>
      <c r="J16" s="65"/>
      <c r="K16" s="116"/>
      <c r="L16" s="3"/>
      <c r="M16" s="3"/>
      <c r="N16" s="199"/>
      <c r="Q16" s="3"/>
      <c r="R16" s="3"/>
      <c r="S16" s="8"/>
    </row>
    <row r="17" spans="1:19" ht="19.2" outlineLevel="1">
      <c r="A17" s="191">
        <f t="shared" ca="1" si="5"/>
        <v>84</v>
      </c>
      <c r="B17" s="4"/>
      <c r="C17" s="1"/>
      <c r="D17" s="3"/>
      <c r="E17" s="71"/>
      <c r="F17" s="127"/>
      <c r="G17" s="3"/>
      <c r="H17" s="127"/>
      <c r="I17" s="127"/>
      <c r="J17" s="65"/>
      <c r="K17" s="116"/>
      <c r="L17" s="3"/>
      <c r="M17" s="3"/>
      <c r="N17" s="199"/>
      <c r="Q17" s="3"/>
      <c r="R17" s="3"/>
      <c r="S17" s="8"/>
    </row>
    <row r="18" spans="1:19" ht="19.2">
      <c r="A18" s="30" t="s">
        <v>53</v>
      </c>
      <c r="B18" s="131">
        <f>(IF(B19&lt;&gt;"",((LEN(B19)-LEN(SUBSTITUTE(B19,",","")))+1)))+(IF(B20&lt;&gt;"",((LEN(B20)-LEN(SUBSTITUTE(B20,",","")))+1)))+(IF(B21&lt;&gt;"",((LEN(B21)-LEN(SUBSTITUTE(B21,",","")))+1)))+(IF(B22&lt;&gt;"",((LEN(B22)-LEN(SUBSTITUTE(B22,",","")))+1)))</f>
        <v>0</v>
      </c>
      <c r="C18" s="174">
        <f>ROUND(SUM(C19:C22)/9,2)+SUM(C19:C22)</f>
        <v>0</v>
      </c>
      <c r="D18" s="3">
        <f>C18*B68</f>
        <v>0</v>
      </c>
      <c r="E18" s="70">
        <f t="shared" si="0"/>
        <v>0</v>
      </c>
      <c r="F18" s="132">
        <f>IF(B69&lt;&gt;0,D18+SUM(E2:E13),0)</f>
        <v>0</v>
      </c>
      <c r="G18" s="3">
        <f>IF(F18="",IF((((D18-H18)/4)-155)&gt;0,((((D18-H18)/4)-155)*0.12)*4,0),IF((((F18-H18)/4)-155)&gt;0,((((F18-H18)/4)-155)*0.12)*4,0))</f>
        <v>0</v>
      </c>
      <c r="H18" s="127">
        <f>IF(B$70&lt;&gt;"N",IF(F18="",D18*0.05,F18*0.05),0)</f>
        <v>0</v>
      </c>
      <c r="I18" s="127">
        <f>IF(N18&gt;11000,(D18-(11000-N13))*0.2,0)</f>
        <v>0</v>
      </c>
      <c r="J18" s="65">
        <f>IF(F18="",D18-G18-H18-I18,F18-G18-H18-I18)</f>
        <v>0</v>
      </c>
      <c r="K18" s="116" t="str">
        <f>TEXT(DATE(LEFT(A$1,4),IF(MONTH(DATEVALUE(A18&amp;" 1"))+1&gt;12,1,MONTH(DATEVALUE(A18&amp;" 1"))+1),1),"mmm")&amp;" " &amp;DAY(EOMONTH((DATE(LEFT(A$1,4),MONTH(DATEVALUE(A18&amp;" 1"))+1,1)),0)+1-WEEKDAY(EOMONTH((DATE(LEFT(A$1,4),MONTH(DATEVALUE(A18&amp;" 1"))+1,1)),0)+1-4))</f>
        <v>May 30</v>
      </c>
      <c r="L18" s="3"/>
      <c r="M18" s="3"/>
      <c r="N18" s="199">
        <f>IF(F18="",D18,F18)</f>
        <v>0</v>
      </c>
      <c r="O18" s="196" t="s">
        <v>265</v>
      </c>
      <c r="Q18" s="3"/>
      <c r="R18" s="3"/>
      <c r="S18" s="8"/>
    </row>
    <row r="19" spans="1:19" ht="19.2" outlineLevel="1">
      <c r="A19" s="191">
        <f ca="1">A17+7</f>
        <v>91</v>
      </c>
      <c r="B19" s="4"/>
      <c r="C19" s="1"/>
      <c r="D19" s="3"/>
      <c r="E19" s="70"/>
      <c r="F19" s="132"/>
      <c r="G19" s="3"/>
      <c r="H19" s="127"/>
      <c r="I19" s="127"/>
      <c r="J19" s="65"/>
      <c r="K19" s="116"/>
      <c r="L19" s="3"/>
      <c r="M19" s="3"/>
      <c r="N19" s="199"/>
      <c r="Q19" s="3"/>
      <c r="R19" s="3"/>
      <c r="S19" s="8"/>
    </row>
    <row r="20" spans="1:19" ht="19.2" outlineLevel="1">
      <c r="A20" s="191">
        <f ca="1">A19+7</f>
        <v>98</v>
      </c>
      <c r="B20" s="4"/>
      <c r="C20" s="1"/>
      <c r="D20" s="3"/>
      <c r="E20" s="70"/>
      <c r="F20" s="132"/>
      <c r="G20" s="3"/>
      <c r="H20" s="127"/>
      <c r="I20" s="127"/>
      <c r="J20" s="65"/>
      <c r="K20" s="116"/>
      <c r="L20" s="3"/>
      <c r="M20" s="3"/>
      <c r="N20" s="199"/>
      <c r="Q20" s="3"/>
      <c r="R20" s="3"/>
      <c r="S20" s="8"/>
    </row>
    <row r="21" spans="1:19" ht="19.2" outlineLevel="1">
      <c r="A21" s="191">
        <f t="shared" ref="A21:A22" ca="1" si="6">A20+7</f>
        <v>105</v>
      </c>
      <c r="B21" s="4"/>
      <c r="C21" s="1"/>
      <c r="D21" s="3"/>
      <c r="E21" s="70"/>
      <c r="F21" s="132"/>
      <c r="G21" s="3"/>
      <c r="H21" s="127"/>
      <c r="I21" s="127"/>
      <c r="J21" s="65"/>
      <c r="K21" s="116"/>
      <c r="L21" s="3"/>
      <c r="M21" s="3"/>
      <c r="N21" s="199"/>
      <c r="Q21" s="3"/>
      <c r="R21" s="3"/>
      <c r="S21" s="8"/>
    </row>
    <row r="22" spans="1:19" ht="19.2" outlineLevel="1">
      <c r="A22" s="191">
        <f t="shared" ca="1" si="6"/>
        <v>112</v>
      </c>
      <c r="B22" s="4"/>
      <c r="C22" s="1"/>
      <c r="D22" s="3"/>
      <c r="E22" s="70"/>
      <c r="F22" s="132"/>
      <c r="G22" s="3"/>
      <c r="H22" s="127"/>
      <c r="I22" s="127"/>
      <c r="J22" s="65"/>
      <c r="K22" s="116"/>
      <c r="L22" s="3"/>
      <c r="M22" s="3"/>
      <c r="N22" s="199"/>
      <c r="Q22" s="3"/>
      <c r="R22" s="3"/>
      <c r="S22" s="8"/>
    </row>
    <row r="23" spans="1:19" ht="19.2">
      <c r="A23" s="30" t="s">
        <v>59</v>
      </c>
      <c r="B23" s="131">
        <f>(IF(B24&lt;&gt;"",((LEN(B24)-LEN(SUBSTITUTE(B24,",","")))+1)))+(IF(B25&lt;&gt;"",((LEN(B25)-LEN(SUBSTITUTE(B25,",","")))+1)))+(IF(B26&lt;&gt;"",((LEN(B26)-LEN(SUBSTITUTE(B26,",","")))+1)))+(IF(B27&lt;&gt;"",((LEN(B27)-LEN(SUBSTITUTE(B27,",","")))+1)))+(IF(B28&lt;&gt;"",((LEN(B28)-LEN(SUBSTITUTE(B28,",","")))+1)))</f>
        <v>0</v>
      </c>
      <c r="C23" s="174">
        <f>ROUND(SUM(C24:C28)/9,2)+SUM(C24:C28)</f>
        <v>0</v>
      </c>
      <c r="D23" s="3">
        <f>C23*B68</f>
        <v>0</v>
      </c>
      <c r="E23" s="70">
        <f t="shared" si="0"/>
        <v>0</v>
      </c>
      <c r="F23" s="127"/>
      <c r="G23" s="3">
        <f t="shared" ref="G23:G34" si="7">IF(F23="",IF((((D23-H23)/4)-155)&gt;0,((((D23-H23)/4)-155)*0.12)*4,0),IF((((F23-H23)/4)-155)&gt;0,((((F23-H23)/4)-155)*0.12)*4,0))</f>
        <v>0</v>
      </c>
      <c r="H23" s="127">
        <f>IF(B$70&lt;&gt;"N",IF(F23="",D23*0.05,F23*0.05),0)</f>
        <v>0</v>
      </c>
      <c r="I23" s="127">
        <f>IF(N23&gt;11000,(D23-(11000-N18))*0.2,0)</f>
        <v>0</v>
      </c>
      <c r="J23" s="65">
        <f>IF(F23="",D23-G23-H23-I23,F23-G23-H23-I23)</f>
        <v>0</v>
      </c>
      <c r="K23" s="116" t="str">
        <f>TEXT(DATE(LEFT(A$1,4),IF(MONTH(DATEVALUE(A23&amp;" 1"))+1&gt;12,1,MONTH(DATEVALUE(A23&amp;" 1"))+1),1),"mmm")&amp;" " &amp;DAY(EOMONTH((DATE(LEFT(A$1,4),MONTH(DATEVALUE(A23&amp;" 1"))+1,1)),0)+1-WEEKDAY(EOMONTH((DATE(LEFT(A$1,4),MONTH(DATEVALUE(A23&amp;" 1"))+1,1)),0)+1-4))</f>
        <v>Jun 27</v>
      </c>
      <c r="L23" s="3"/>
      <c r="M23" s="3"/>
      <c r="N23" s="199">
        <f>IF(F23="",D23,F23)+N18</f>
        <v>0</v>
      </c>
      <c r="Q23" s="3"/>
      <c r="R23" s="3"/>
      <c r="S23" s="8"/>
    </row>
    <row r="24" spans="1:19" ht="19.2" outlineLevel="1">
      <c r="A24" s="191">
        <f ca="1">A22+7</f>
        <v>119</v>
      </c>
      <c r="B24" s="4"/>
      <c r="C24" s="1"/>
      <c r="D24" s="3"/>
      <c r="E24" s="70"/>
      <c r="F24" s="127"/>
      <c r="G24" s="3"/>
      <c r="H24" s="127"/>
      <c r="I24" s="127"/>
      <c r="J24" s="65"/>
      <c r="K24" s="116"/>
      <c r="L24" s="3"/>
      <c r="M24" s="3"/>
      <c r="N24" s="199"/>
      <c r="Q24" s="3"/>
      <c r="R24" s="3"/>
      <c r="S24" s="8"/>
    </row>
    <row r="25" spans="1:19" ht="19.2" outlineLevel="1">
      <c r="A25" s="191">
        <f ca="1">A24+7</f>
        <v>126</v>
      </c>
      <c r="B25" s="5"/>
      <c r="C25" s="1"/>
      <c r="D25" s="3"/>
      <c r="E25" s="70"/>
      <c r="F25" s="127"/>
      <c r="G25" s="3"/>
      <c r="H25" s="127"/>
      <c r="I25" s="127"/>
      <c r="J25" s="65"/>
      <c r="K25" s="116"/>
      <c r="L25" s="3"/>
      <c r="M25" s="3"/>
      <c r="N25" s="199"/>
      <c r="Q25" s="3"/>
      <c r="R25" s="3"/>
      <c r="S25" s="8"/>
    </row>
    <row r="26" spans="1:19" ht="19.2" outlineLevel="1">
      <c r="A26" s="191">
        <f ca="1">A25+7</f>
        <v>133</v>
      </c>
      <c r="B26" s="5"/>
      <c r="C26" s="1"/>
      <c r="D26" s="3"/>
      <c r="E26" s="70"/>
      <c r="F26" s="127"/>
      <c r="G26" s="3"/>
      <c r="H26" s="127"/>
      <c r="I26" s="127"/>
      <c r="J26" s="65"/>
      <c r="K26" s="116"/>
      <c r="L26" s="3"/>
      <c r="M26" s="3"/>
      <c r="N26" s="199"/>
      <c r="Q26" s="3"/>
      <c r="R26" s="3"/>
      <c r="S26" s="8"/>
    </row>
    <row r="27" spans="1:19" ht="19.2" outlineLevel="1">
      <c r="A27" s="191">
        <f t="shared" ref="A27:A28" ca="1" si="8">A26+7</f>
        <v>140</v>
      </c>
      <c r="B27" s="5"/>
      <c r="C27" s="1"/>
      <c r="D27" s="3"/>
      <c r="E27" s="70"/>
      <c r="F27" s="127"/>
      <c r="G27" s="3"/>
      <c r="H27" s="127"/>
      <c r="I27" s="127"/>
      <c r="J27" s="65"/>
      <c r="K27" s="116"/>
      <c r="L27" s="3"/>
      <c r="M27" s="3"/>
      <c r="N27" s="199"/>
      <c r="Q27" s="3"/>
      <c r="R27" s="3"/>
      <c r="S27" s="8"/>
    </row>
    <row r="28" spans="1:19" ht="19.2" outlineLevel="1">
      <c r="A28" s="191">
        <f t="shared" ca="1" si="8"/>
        <v>147</v>
      </c>
      <c r="B28" s="5"/>
      <c r="C28" s="1"/>
      <c r="D28" s="3"/>
      <c r="E28" s="70"/>
      <c r="F28" s="127"/>
      <c r="G28" s="3"/>
      <c r="H28" s="127"/>
      <c r="I28" s="127"/>
      <c r="J28" s="65"/>
      <c r="K28" s="116"/>
      <c r="L28" s="3"/>
      <c r="M28" s="3"/>
      <c r="N28" s="199"/>
      <c r="Q28" s="3"/>
      <c r="R28" s="3"/>
      <c r="S28" s="8"/>
    </row>
    <row r="29" spans="1:19" ht="19.2">
      <c r="A29" s="30" t="s">
        <v>69</v>
      </c>
      <c r="B29" s="131">
        <f>(IF(B30&lt;&gt;"",((LEN(B30)-LEN(SUBSTITUTE(B30,",","")))+1)))+(IF(B31&lt;&gt;"",((LEN(B31)-LEN(SUBSTITUTE(B31,",","")))+1)))+(IF(B32&lt;&gt;"",((LEN(B32)-LEN(SUBSTITUTE(B32,",","")))+1)))+(IF(B33&lt;&gt;"",((LEN(B33)-LEN(SUBSTITUTE(B33,",","")))+1)))</f>
        <v>0</v>
      </c>
      <c r="C29" s="174">
        <f>ROUND(SUM(C30:C33)/9,2)+SUM(C30:C33)</f>
        <v>0</v>
      </c>
      <c r="D29" s="3">
        <f>C29*B68</f>
        <v>0</v>
      </c>
      <c r="E29" s="70">
        <f t="shared" si="0"/>
        <v>0</v>
      </c>
      <c r="F29" s="127"/>
      <c r="G29" s="3">
        <f t="shared" si="7"/>
        <v>0</v>
      </c>
      <c r="H29" s="127">
        <f>IF(B$70&lt;&gt;"N",IF(F29="",D29*0.05,F29*0.05),0)</f>
        <v>0</v>
      </c>
      <c r="I29" s="127">
        <f>IF(N29&gt;11000,(D29-(11000-N23))*0.2,0)</f>
        <v>0</v>
      </c>
      <c r="J29" s="65">
        <f>IF(F29="",D29-G29-H29-I29,F29-G29-H29-I29)</f>
        <v>0</v>
      </c>
      <c r="K29" s="116" t="str">
        <f>TEXT(DATE(LEFT(A$1,4),IF(MONTH(DATEVALUE(A29&amp;" 1"))+1&gt;12,1,MONTH(DATEVALUE(A29&amp;" 1"))+1),1),"mmm")&amp;" " &amp;DAY(EOMONTH((DATE(LEFT(A$1,4),MONTH(DATEVALUE(A29&amp;" 1"))+1,1)),0)+1-WEEKDAY(EOMONTH((DATE(LEFT(A$1,4),MONTH(DATEVALUE(A29&amp;" 1"))+1,1)),0)+1-4))</f>
        <v>Jul 25</v>
      </c>
      <c r="L29" s="3"/>
      <c r="M29" s="3"/>
      <c r="N29" s="199">
        <f>IF(F29="",D29,F29)+N23</f>
        <v>0</v>
      </c>
      <c r="Q29" s="3"/>
      <c r="R29" s="3"/>
      <c r="S29" s="8"/>
    </row>
    <row r="30" spans="1:19" ht="19.2" outlineLevel="1">
      <c r="A30" s="191">
        <f ca="1">A28+7</f>
        <v>154</v>
      </c>
      <c r="B30" s="5"/>
      <c r="C30" s="1"/>
      <c r="D30" s="3"/>
      <c r="E30" s="70"/>
      <c r="F30" s="127"/>
      <c r="G30" s="3"/>
      <c r="H30" s="127"/>
      <c r="I30" s="127"/>
      <c r="J30" s="65"/>
      <c r="K30" s="116"/>
      <c r="L30" s="3"/>
      <c r="M30" s="3"/>
      <c r="N30" s="199"/>
      <c r="Q30" s="3"/>
      <c r="R30" s="3"/>
      <c r="S30" s="8"/>
    </row>
    <row r="31" spans="1:19" ht="19.2" outlineLevel="1">
      <c r="A31" s="191">
        <f ca="1">A30+7</f>
        <v>161</v>
      </c>
      <c r="B31" s="5"/>
      <c r="C31" s="1"/>
      <c r="D31" s="3"/>
      <c r="E31" s="70"/>
      <c r="F31" s="127"/>
      <c r="G31" s="3"/>
      <c r="H31" s="127"/>
      <c r="I31" s="127"/>
      <c r="J31" s="65"/>
      <c r="K31" s="116"/>
      <c r="L31" s="3"/>
      <c r="M31" s="3"/>
      <c r="N31" s="199"/>
      <c r="Q31" s="3"/>
      <c r="R31" s="3"/>
      <c r="S31" s="8"/>
    </row>
    <row r="32" spans="1:19" ht="19.2" outlineLevel="1">
      <c r="A32" s="191">
        <f ca="1">A31+7</f>
        <v>168</v>
      </c>
      <c r="B32" s="5"/>
      <c r="C32" s="1"/>
      <c r="D32" s="3"/>
      <c r="E32" s="70"/>
      <c r="F32" s="127"/>
      <c r="G32" s="3"/>
      <c r="H32" s="127"/>
      <c r="I32" s="127"/>
      <c r="J32" s="65"/>
      <c r="K32" s="116"/>
      <c r="L32" s="3"/>
      <c r="M32" s="3"/>
      <c r="N32" s="199"/>
      <c r="Q32" s="3"/>
      <c r="R32" s="3"/>
      <c r="S32" s="8"/>
    </row>
    <row r="33" spans="1:19" ht="19.2" outlineLevel="1">
      <c r="A33" s="191">
        <f ca="1">A32+7</f>
        <v>175</v>
      </c>
      <c r="B33" s="5"/>
      <c r="C33" s="1"/>
      <c r="D33" s="3"/>
      <c r="E33" s="70"/>
      <c r="F33" s="127"/>
      <c r="G33" s="3"/>
      <c r="H33" s="127"/>
      <c r="I33" s="127"/>
      <c r="J33" s="65"/>
      <c r="K33" s="116"/>
      <c r="L33" s="3"/>
      <c r="M33" s="3"/>
      <c r="N33" s="199"/>
      <c r="Q33" s="3"/>
      <c r="R33" s="3"/>
      <c r="S33" s="8"/>
    </row>
    <row r="34" spans="1:19" ht="19.2">
      <c r="A34" s="30" t="s">
        <v>81</v>
      </c>
      <c r="B34" s="131">
        <f>(IF(B35&lt;&gt;"",((LEN(B35)-LEN(SUBSTITUTE(B35,",","")))+1)))+(IF(B36&lt;&gt;"",((LEN(B36)-LEN(SUBSTITUTE(B36,",","")))+1)))+(IF(B37&lt;&gt;"",((LEN(B37)-LEN(SUBSTITUTE(B37,",","")))+1)))+(IF(B38&lt;&gt;"",((LEN(B38)-LEN(SUBSTITUTE(B38,",","")))+1)))</f>
        <v>0</v>
      </c>
      <c r="C34" s="174">
        <f>ROUND(SUM(C35:C38)/9,2)+SUM(C35:C38)</f>
        <v>0</v>
      </c>
      <c r="D34" s="3">
        <f>C34*B68</f>
        <v>0</v>
      </c>
      <c r="E34" s="69">
        <f t="shared" si="0"/>
        <v>0</v>
      </c>
      <c r="F34" s="136">
        <f>IF(B69&lt;&gt;0,D34+SUM(E18:E29),0)</f>
        <v>0</v>
      </c>
      <c r="G34" s="3">
        <f t="shared" si="7"/>
        <v>0</v>
      </c>
      <c r="H34" s="127">
        <f>IF(B$70&lt;&gt;"N",IF(F34="",D34*0.05,F34*0.05),0)</f>
        <v>0</v>
      </c>
      <c r="I34" s="127">
        <f>IF(N34&gt;11000,(D34-(11000-N29))*0.2,0)</f>
        <v>0</v>
      </c>
      <c r="J34" s="65">
        <f>IF(F34="",D34-G34-H34-I34,F34-G34-H34-I34)</f>
        <v>0</v>
      </c>
      <c r="K34" s="116" t="str">
        <f>TEXT(DATE(LEFT(A$1,4),IF(MONTH(DATEVALUE(A34&amp;" 1"))+1&gt;12,1,MONTH(DATEVALUE(A34&amp;" 1"))+1),1),"mmm")&amp;" " &amp;DAY(EOMONTH((DATE(LEFT(A$1,4),MONTH(DATEVALUE(A34&amp;" 1"))+1,1)),0)+1-WEEKDAY(EOMONTH((DATE(LEFT(A$1,4),MONTH(DATEVALUE(A34&amp;" 1"))+1,1)),0)+1-4))</f>
        <v>Aug 29</v>
      </c>
      <c r="L34" s="3"/>
      <c r="M34" s="3"/>
      <c r="N34" s="199">
        <f>IF(F34="",D34,F34)+N29</f>
        <v>0</v>
      </c>
      <c r="Q34" s="3"/>
      <c r="R34" s="3"/>
      <c r="S34" s="8"/>
    </row>
    <row r="35" spans="1:19" ht="19.2" outlineLevel="1">
      <c r="A35" s="191">
        <f ca="1">A33+7</f>
        <v>182</v>
      </c>
      <c r="B35" s="5"/>
      <c r="C35" s="1"/>
      <c r="D35" s="3"/>
      <c r="E35" s="69"/>
      <c r="F35" s="136"/>
      <c r="G35" s="3"/>
      <c r="H35" s="127"/>
      <c r="I35" s="127"/>
      <c r="J35" s="65"/>
      <c r="K35" s="116"/>
      <c r="L35" s="3"/>
      <c r="M35" s="3"/>
      <c r="N35" s="199"/>
      <c r="Q35" s="3"/>
      <c r="R35" s="3"/>
      <c r="S35" s="8"/>
    </row>
    <row r="36" spans="1:19" ht="19.2" outlineLevel="1">
      <c r="A36" s="191">
        <f ca="1">A35+7</f>
        <v>189</v>
      </c>
      <c r="B36" s="5"/>
      <c r="C36" s="1"/>
      <c r="D36" s="3"/>
      <c r="E36" s="69"/>
      <c r="F36" s="136"/>
      <c r="G36" s="3"/>
      <c r="H36" s="127"/>
      <c r="I36" s="127"/>
      <c r="J36" s="65"/>
      <c r="K36" s="116"/>
      <c r="L36" s="3"/>
      <c r="M36" s="3"/>
      <c r="N36" s="199"/>
      <c r="Q36" s="3"/>
      <c r="R36" s="3"/>
      <c r="S36" s="8"/>
    </row>
    <row r="37" spans="1:19" ht="19.2" outlineLevel="1">
      <c r="A37" s="191">
        <f t="shared" ref="A37:A38" ca="1" si="9">A36+7</f>
        <v>196</v>
      </c>
      <c r="B37" s="5"/>
      <c r="C37" s="1"/>
      <c r="D37" s="3"/>
      <c r="E37" s="69"/>
      <c r="F37" s="136"/>
      <c r="G37" s="3"/>
      <c r="H37" s="127"/>
      <c r="I37" s="127"/>
      <c r="J37" s="65"/>
      <c r="K37" s="116"/>
      <c r="L37" s="3"/>
      <c r="M37" s="3"/>
      <c r="N37" s="199"/>
      <c r="Q37" s="3"/>
      <c r="R37" s="3"/>
      <c r="S37" s="8"/>
    </row>
    <row r="38" spans="1:19" ht="19.2" outlineLevel="1">
      <c r="A38" s="191">
        <f t="shared" ca="1" si="9"/>
        <v>203</v>
      </c>
      <c r="B38" s="5"/>
      <c r="C38" s="1"/>
      <c r="D38" s="3"/>
      <c r="E38" s="69"/>
      <c r="F38" s="136"/>
      <c r="G38" s="3"/>
      <c r="H38" s="127"/>
      <c r="I38" s="127"/>
      <c r="J38" s="65"/>
      <c r="K38" s="116"/>
      <c r="L38" s="3"/>
      <c r="M38" s="3"/>
      <c r="N38" s="199"/>
      <c r="Q38" s="3"/>
      <c r="R38" s="3"/>
      <c r="S38" s="8"/>
    </row>
    <row r="39" spans="1:19" ht="19.2">
      <c r="A39" s="30" t="s">
        <v>89</v>
      </c>
      <c r="B39" s="131">
        <f>(IF(B40&lt;&gt;"",((LEN(B40)-LEN(SUBSTITUTE(B40,",","")))+1)))+(IF(B41&lt;&gt;"",((LEN(B41)-LEN(SUBSTITUTE(B41,",","")))+1)))+(IF(B42&lt;&gt;"",((LEN(B42)-LEN(SUBSTITUTE(B42,",","")))+1)))+(IF(B43&lt;&gt;"",((LEN(B43)-LEN(SUBSTITUTE(B43,",","")))+1)))+(IF(B44&lt;&gt;"",((LEN(B44)-LEN(SUBSTITUTE(B44,",","")))+1)))</f>
        <v>0</v>
      </c>
      <c r="C39" s="174">
        <f>ROUND(SUM(C40:C44)/9,2)+SUM(C40:C44)</f>
        <v>0</v>
      </c>
      <c r="D39" s="3">
        <f>C39*B68</f>
        <v>0</v>
      </c>
      <c r="E39" s="69">
        <f t="shared" si="0"/>
        <v>0</v>
      </c>
      <c r="F39" s="127"/>
      <c r="G39" s="3">
        <f>IF(F39="",IF((((D39-H39)/4)-155)&gt;0,((((D39-H39)/4)-155)*0.12)*4,0),IF((((F39-H39)/4)-155)&gt;0,((((F39-H39)/4)-155)*0.12)*4,0))</f>
        <v>0</v>
      </c>
      <c r="H39" s="127">
        <f>IF(B$70&lt;&gt;"N",IF(F39="",D39*0.05,F39*0.05),0)</f>
        <v>0</v>
      </c>
      <c r="I39" s="127">
        <f>IF(N39&gt;11000,(D39-(11000-N34))*0.2,0)</f>
        <v>0</v>
      </c>
      <c r="J39" s="65">
        <f>IF(F39="",D39-G39-H39-I39,F39-G39-H39-I39)</f>
        <v>0</v>
      </c>
      <c r="K39" s="116" t="str">
        <f>TEXT(DATE(LEFT(A$1,4),IF(MONTH(DATEVALUE(A39&amp;" 1"))+1&gt;12,1,MONTH(DATEVALUE(A39&amp;" 1"))+1),1),"mmm")&amp;" " &amp;DAY(EOMONTH((DATE(LEFT(A$1,4),MONTH(DATEVALUE(A39&amp;" 1"))+1,1)),0)+1-WEEKDAY(EOMONTH((DATE(LEFT(A$1,4),MONTH(DATEVALUE(A39&amp;" 1"))+1,1)),0)+1-4))</f>
        <v>Sep 26</v>
      </c>
      <c r="L39" s="3"/>
      <c r="M39" s="3"/>
      <c r="N39" s="199">
        <f>IF(F39="",D39,F39)+N34</f>
        <v>0</v>
      </c>
      <c r="Q39" s="3"/>
      <c r="R39" s="3"/>
      <c r="S39" s="8"/>
    </row>
    <row r="40" spans="1:19" ht="19.2" outlineLevel="1">
      <c r="A40" s="191">
        <f ca="1">A38+7</f>
        <v>210</v>
      </c>
      <c r="B40" s="5"/>
      <c r="C40" s="1"/>
      <c r="D40" s="3"/>
      <c r="E40" s="69"/>
      <c r="F40" s="127"/>
      <c r="G40" s="3"/>
      <c r="H40" s="127"/>
      <c r="I40" s="127"/>
      <c r="J40" s="65"/>
      <c r="K40" s="116"/>
      <c r="L40" s="3"/>
      <c r="M40" s="3"/>
      <c r="N40" s="199"/>
      <c r="Q40" s="3"/>
      <c r="R40" s="3"/>
      <c r="S40" s="8"/>
    </row>
    <row r="41" spans="1:19" ht="19.2" outlineLevel="1">
      <c r="A41" s="191">
        <f ca="1">A40+7</f>
        <v>217</v>
      </c>
      <c r="B41" s="5"/>
      <c r="C41" s="1"/>
      <c r="D41" s="3"/>
      <c r="E41" s="69"/>
      <c r="F41" s="127"/>
      <c r="G41" s="3"/>
      <c r="H41" s="127"/>
      <c r="I41" s="127"/>
      <c r="J41" s="65"/>
      <c r="K41" s="116"/>
      <c r="L41" s="3"/>
      <c r="M41" s="3"/>
      <c r="N41" s="199"/>
      <c r="Q41" s="3"/>
      <c r="R41" s="3"/>
      <c r="S41" s="8"/>
    </row>
    <row r="42" spans="1:19" ht="19.2" outlineLevel="1">
      <c r="A42" s="191">
        <f t="shared" ref="A42:A44" ca="1" si="10">A41+7</f>
        <v>224</v>
      </c>
      <c r="B42" s="5"/>
      <c r="C42" s="1"/>
      <c r="D42" s="3"/>
      <c r="E42" s="69"/>
      <c r="F42" s="127"/>
      <c r="G42" s="3"/>
      <c r="H42" s="127"/>
      <c r="I42" s="127"/>
      <c r="J42" s="65"/>
      <c r="K42" s="116"/>
      <c r="L42" s="3"/>
      <c r="M42" s="3"/>
      <c r="N42" s="199"/>
      <c r="Q42" s="3"/>
      <c r="R42" s="3"/>
      <c r="S42" s="8"/>
    </row>
    <row r="43" spans="1:19" ht="19.2" outlineLevel="1">
      <c r="A43" s="191">
        <f t="shared" ca="1" si="10"/>
        <v>231</v>
      </c>
      <c r="B43" s="5"/>
      <c r="C43" s="1"/>
      <c r="D43" s="3"/>
      <c r="E43" s="69"/>
      <c r="F43" s="127"/>
      <c r="G43" s="3"/>
      <c r="H43" s="127"/>
      <c r="I43" s="127"/>
      <c r="J43" s="65"/>
      <c r="K43" s="116"/>
      <c r="L43" s="3"/>
      <c r="M43" s="3"/>
      <c r="N43" s="199"/>
      <c r="Q43" s="3"/>
      <c r="R43" s="3"/>
      <c r="S43" s="8"/>
    </row>
    <row r="44" spans="1:19" ht="19.2" outlineLevel="1">
      <c r="A44" s="191">
        <f t="shared" ca="1" si="10"/>
        <v>238</v>
      </c>
      <c r="B44" s="5"/>
      <c r="C44" s="1"/>
      <c r="D44" s="3"/>
      <c r="E44" s="69"/>
      <c r="F44" s="127"/>
      <c r="G44" s="3"/>
      <c r="H44" s="127"/>
      <c r="I44" s="127"/>
      <c r="J44" s="65"/>
      <c r="K44" s="116"/>
      <c r="L44" s="3"/>
      <c r="M44" s="3"/>
      <c r="N44" s="199"/>
      <c r="Q44" s="3"/>
      <c r="R44" s="3"/>
      <c r="S44" s="8"/>
    </row>
    <row r="45" spans="1:19" ht="19.2">
      <c r="A45" s="30" t="s">
        <v>93</v>
      </c>
      <c r="B45" s="131">
        <f>(IF(B46&lt;&gt;"",((LEN(B46)-LEN(SUBSTITUTE(B46,",","")))+1)))+(IF(B47&lt;&gt;"",((LEN(B47)-LEN(SUBSTITUTE(B47,",","")))+1)))+(IF(B48&lt;&gt;"",((LEN(B48)-LEN(SUBSTITUTE(B48,",","")))+1)))+(IF(B49&lt;&gt;"",((LEN(B49)-LEN(SUBSTITUTE(B49,",","")))+1)))</f>
        <v>0</v>
      </c>
      <c r="C45" s="174">
        <f>ROUND(SUM(C46:C49)/9,2)+SUM(C46:C49)</f>
        <v>0</v>
      </c>
      <c r="D45" s="3">
        <f>C45*B68</f>
        <v>0</v>
      </c>
      <c r="E45" s="69">
        <f t="shared" si="0"/>
        <v>0</v>
      </c>
      <c r="F45" s="127"/>
      <c r="G45" s="3">
        <f t="shared" ref="G45:G61" si="11">IF(F45="",IF((((D45-H45)/4)-155)&gt;0,((((D45-H45)/4)-155)*0.12)*4,0),IF((((F45-H45)/4)-155)&gt;0,((((F45-H45)/4)-155)*0.12)*4,0))</f>
        <v>0</v>
      </c>
      <c r="H45" s="127">
        <f>IF(B$70&lt;&gt;"N",IF(F45="",D45*0.05,F45*0.05),0)</f>
        <v>0</v>
      </c>
      <c r="I45" s="127">
        <f>IF(N45&gt;11000,(D45-(11000-N39))*0.2,0)</f>
        <v>0</v>
      </c>
      <c r="J45" s="65">
        <f>IF(F45="",D45-G45-H45-I45,F45-G45-H45-I45)</f>
        <v>0</v>
      </c>
      <c r="K45" s="116" t="str">
        <f>TEXT(DATE(LEFT(A$1,4),IF(MONTH(DATEVALUE(A45&amp;" 1"))+1&gt;12,1,MONTH(DATEVALUE(A45&amp;" 1"))+1),1),"mmm")&amp;" " &amp;DAY(EOMONTH((DATE(LEFT(A$1,4),MONTH(DATEVALUE(A45&amp;" 1"))+1,1)),0)+1-WEEKDAY(EOMONTH((DATE(LEFT(A$1,4),MONTH(DATEVALUE(A45&amp;" 1"))+1,1)),0)+1-4))</f>
        <v>Oct 31</v>
      </c>
      <c r="L45" s="3"/>
      <c r="M45" s="3"/>
      <c r="N45" s="199">
        <f>IF(F45="",D45,F45)+N39</f>
        <v>0</v>
      </c>
      <c r="Q45" s="3"/>
      <c r="R45" s="3"/>
      <c r="S45" s="8"/>
    </row>
    <row r="46" spans="1:19" ht="19.2" outlineLevel="1">
      <c r="A46" s="191">
        <f ca="1">A44+7</f>
        <v>245</v>
      </c>
      <c r="B46" s="5"/>
      <c r="C46" s="1"/>
      <c r="D46" s="3"/>
      <c r="E46" s="69"/>
      <c r="F46" s="127"/>
      <c r="G46" s="3"/>
      <c r="H46" s="127"/>
      <c r="I46" s="127"/>
      <c r="J46" s="65"/>
      <c r="K46" s="116"/>
      <c r="L46" s="3"/>
      <c r="M46" s="3"/>
      <c r="N46" s="199"/>
      <c r="Q46" s="3"/>
      <c r="R46" s="3"/>
      <c r="S46" s="8"/>
    </row>
    <row r="47" spans="1:19" ht="19.2" outlineLevel="1">
      <c r="A47" s="191">
        <f ca="1">A46+7</f>
        <v>252</v>
      </c>
      <c r="B47" s="5"/>
      <c r="C47" s="1"/>
      <c r="D47" s="3"/>
      <c r="E47" s="69"/>
      <c r="F47" s="127"/>
      <c r="G47" s="3"/>
      <c r="H47" s="127"/>
      <c r="I47" s="127"/>
      <c r="J47" s="65"/>
      <c r="K47" s="116"/>
      <c r="L47" s="3"/>
      <c r="M47" s="3"/>
      <c r="N47" s="199"/>
      <c r="Q47" s="3"/>
      <c r="R47" s="3"/>
      <c r="S47" s="8"/>
    </row>
    <row r="48" spans="1:19" ht="19.2" outlineLevel="1">
      <c r="A48" s="191">
        <f t="shared" ref="A48:A49" ca="1" si="12">A47+7</f>
        <v>259</v>
      </c>
      <c r="B48" s="5"/>
      <c r="C48" s="1"/>
      <c r="D48" s="3"/>
      <c r="E48" s="69"/>
      <c r="F48" s="127"/>
      <c r="G48" s="3"/>
      <c r="H48" s="127"/>
      <c r="I48" s="127"/>
      <c r="J48" s="65"/>
      <c r="K48" s="116"/>
      <c r="L48" s="3"/>
      <c r="M48" s="3"/>
      <c r="N48" s="199"/>
      <c r="Q48" s="3"/>
      <c r="R48" s="3"/>
      <c r="S48" s="8"/>
    </row>
    <row r="49" spans="1:19" ht="19.2" outlineLevel="1">
      <c r="A49" s="191">
        <f t="shared" ca="1" si="12"/>
        <v>266</v>
      </c>
      <c r="B49" s="5"/>
      <c r="C49" s="1"/>
      <c r="D49" s="3"/>
      <c r="E49" s="69"/>
      <c r="F49" s="127"/>
      <c r="G49" s="3"/>
      <c r="H49" s="127"/>
      <c r="I49" s="127"/>
      <c r="J49" s="65"/>
      <c r="K49" s="116"/>
      <c r="L49" s="3"/>
      <c r="M49" s="3"/>
      <c r="N49" s="199"/>
      <c r="Q49" s="3"/>
      <c r="R49" s="3"/>
      <c r="S49" s="8"/>
    </row>
    <row r="50" spans="1:19" ht="19.2">
      <c r="A50" s="30" t="s">
        <v>101</v>
      </c>
      <c r="B50" s="131">
        <f>(IF(B51&lt;&gt;"",((LEN(B51)-LEN(SUBSTITUTE(B51,",","")))+1)))+(IF(B52&lt;&gt;"",((LEN(B52)-LEN(SUBSTITUTE(B52,",","")))+1)))+(IF(B53&lt;&gt;"",((LEN(B53)-LEN(SUBSTITUTE(B53,",","")))+1)))+(IF(B54&lt;&gt;"",((LEN(B54)-LEN(SUBSTITUTE(B54,",","")))+1)))</f>
        <v>0</v>
      </c>
      <c r="C50" s="174">
        <f>ROUND(SUM(C51:C54)/9,2)+SUM(C51:C54)</f>
        <v>0</v>
      </c>
      <c r="D50" s="3">
        <f>C50*B68</f>
        <v>0</v>
      </c>
      <c r="E50" s="72">
        <f t="shared" si="0"/>
        <v>0</v>
      </c>
      <c r="F50" s="138">
        <f>IF(B69&lt;&gt;0,D50+SUM(E34:E45),0)</f>
        <v>0</v>
      </c>
      <c r="G50" s="3">
        <f t="shared" si="11"/>
        <v>0</v>
      </c>
      <c r="H50" s="127">
        <f>IF(B$70&lt;&gt;"N",IF(F50="",D50*0.05,F50*0.05),0)</f>
        <v>0</v>
      </c>
      <c r="I50" s="127">
        <f>IF(N50&gt;11000,(D50-(11000-N45))*0.2,0)</f>
        <v>0</v>
      </c>
      <c r="J50" s="65">
        <f>IF(F50="",D50-G50-H50-I50,F50-G50-H50-I50)</f>
        <v>0</v>
      </c>
      <c r="K50" s="116" t="str">
        <f>TEXT(DATE(LEFT(A$1,4),IF(MONTH(DATEVALUE(A50&amp;" 1"))+1&gt;12,1,MONTH(DATEVALUE(A50&amp;" 1"))+1),1),"mmm")&amp;" " &amp;DAY(EOMONTH((DATE(LEFT(A$1,4),MONTH(DATEVALUE(A50&amp;" 1"))+1,1)),0)+1-WEEKDAY(EOMONTH((DATE(LEFT(A$1,4),MONTH(DATEVALUE(A50&amp;" 1"))+1,1)),0)+1-4))</f>
        <v>Nov 28</v>
      </c>
      <c r="N50" s="199">
        <f>IF(F50="",D50,F50)+N45</f>
        <v>0</v>
      </c>
    </row>
    <row r="51" spans="1:19" ht="19.2" outlineLevel="1">
      <c r="A51" s="191">
        <f ca="1">A49+7</f>
        <v>273</v>
      </c>
      <c r="B51" s="5"/>
      <c r="C51" s="1"/>
      <c r="D51" s="3"/>
      <c r="E51" s="72"/>
      <c r="F51" s="138"/>
      <c r="G51" s="3"/>
      <c r="H51" s="127"/>
      <c r="I51" s="127"/>
      <c r="J51" s="65"/>
      <c r="K51" s="116"/>
      <c r="N51" s="199"/>
    </row>
    <row r="52" spans="1:19" ht="19.2" outlineLevel="1">
      <c r="A52" s="191">
        <f ca="1">A51+7</f>
        <v>280</v>
      </c>
      <c r="B52" s="5"/>
      <c r="C52" s="1"/>
      <c r="D52" s="3"/>
      <c r="E52" s="72"/>
      <c r="F52" s="138"/>
      <c r="G52" s="3"/>
      <c r="H52" s="127"/>
      <c r="I52" s="127"/>
      <c r="J52" s="65"/>
      <c r="K52" s="116"/>
      <c r="N52" s="199"/>
    </row>
    <row r="53" spans="1:19" ht="19.2" outlineLevel="1">
      <c r="A53" s="191">
        <f t="shared" ref="A53:A54" ca="1" si="13">A52+7</f>
        <v>287</v>
      </c>
      <c r="B53" s="5"/>
      <c r="C53" s="1"/>
      <c r="D53" s="3"/>
      <c r="E53" s="72"/>
      <c r="F53" s="138"/>
      <c r="G53" s="3"/>
      <c r="H53" s="127"/>
      <c r="I53" s="127"/>
      <c r="J53" s="65"/>
      <c r="K53" s="116"/>
      <c r="N53" s="199"/>
    </row>
    <row r="54" spans="1:19" ht="19.2" outlineLevel="1">
      <c r="A54" s="191">
        <f t="shared" ca="1" si="13"/>
        <v>294</v>
      </c>
      <c r="B54" s="5"/>
      <c r="C54" s="1"/>
      <c r="D54" s="3"/>
      <c r="E54" s="72"/>
      <c r="F54" s="138"/>
      <c r="G54" s="3"/>
      <c r="H54" s="127"/>
      <c r="I54" s="127"/>
      <c r="J54" s="65"/>
      <c r="K54" s="116"/>
      <c r="N54" s="199"/>
    </row>
    <row r="55" spans="1:19" ht="19.2">
      <c r="A55" s="30" t="s">
        <v>111</v>
      </c>
      <c r="B55" s="131">
        <f>(IF(B56&lt;&gt;"",((LEN(B56)-LEN(SUBSTITUTE(B56,",","")))+1)))+(IF(B57&lt;&gt;"",((LEN(B57)-LEN(SUBSTITUTE(B57,",","")))+1)))+(IF(B58&lt;&gt;"",((LEN(B58)-LEN(SUBSTITUTE(B58,",","")))+1)))+(IF(B59&lt;&gt;"",((LEN(B59)-LEN(SUBSTITUTE(B59,",","")))+1)))+(IF(B60&lt;&gt;"",((LEN(B60)-LEN(SUBSTITUTE(B60,",","")))+1)))</f>
        <v>0</v>
      </c>
      <c r="C55" s="174">
        <f>ROUND(SUM(C56:C60)/9,2)+SUM(C56:C60)</f>
        <v>0</v>
      </c>
      <c r="D55" s="3">
        <f>C55*B68</f>
        <v>0</v>
      </c>
      <c r="E55" s="72">
        <f t="shared" si="0"/>
        <v>0</v>
      </c>
      <c r="F55" s="3"/>
      <c r="G55" s="3">
        <f t="shared" si="11"/>
        <v>0</v>
      </c>
      <c r="H55" s="127">
        <f>IF(B$70&lt;&gt;"N",IF(F55="",D55*0.05,F55*0.05),0)</f>
        <v>0</v>
      </c>
      <c r="I55" s="127">
        <f>IF(N55&gt;11000,(D55-(11000-N50))*0.2,0)</f>
        <v>0</v>
      </c>
      <c r="J55" s="65">
        <f>IF(F55="",D55-G55-H55-I55,F55-G55-H55-I55)</f>
        <v>0</v>
      </c>
      <c r="K55" s="116" t="str">
        <f>TEXT(DATE(LEFT(A$1,4),IF(MONTH(DATEVALUE(A55&amp;" 1"))+1&gt;12,1,MONTH(DATEVALUE(A55&amp;" 1"))+1),1),"mmm")&amp;" " &amp;DAY(EOMONTH((DATE(LEFT(A$1,4),MONTH(DATEVALUE(A55&amp;" 1"))+1,1)),0)+1-WEEKDAY(EOMONTH((DATE(LEFT(A$1,4),MONTH(DATEVALUE(A55&amp;" 1"))+1,1)),0)+1-4))</f>
        <v>Dec 26</v>
      </c>
      <c r="N55" s="199">
        <f>IF(F55="",D55,F55)+N50</f>
        <v>0</v>
      </c>
    </row>
    <row r="56" spans="1:19" ht="19.2" outlineLevel="1">
      <c r="A56" s="191">
        <f ca="1">A54+7</f>
        <v>301</v>
      </c>
      <c r="B56" s="5"/>
      <c r="C56" s="1"/>
      <c r="D56" s="3"/>
      <c r="E56" s="72"/>
      <c r="F56" s="3"/>
      <c r="G56" s="3"/>
      <c r="H56" s="127"/>
      <c r="I56" s="127"/>
      <c r="J56" s="65"/>
      <c r="K56" s="116"/>
      <c r="N56" s="199"/>
    </row>
    <row r="57" spans="1:19" ht="19.2" outlineLevel="1">
      <c r="A57" s="191">
        <f ca="1">A56+7</f>
        <v>308</v>
      </c>
      <c r="B57" s="5"/>
      <c r="C57" s="1"/>
      <c r="D57" s="3"/>
      <c r="E57" s="72"/>
      <c r="F57" s="3"/>
      <c r="G57" s="3"/>
      <c r="H57" s="127"/>
      <c r="I57" s="127"/>
      <c r="J57" s="65"/>
      <c r="K57" s="116"/>
      <c r="N57" s="199"/>
    </row>
    <row r="58" spans="1:19" ht="19.2" outlineLevel="1">
      <c r="A58" s="191">
        <f t="shared" ref="A58:A60" ca="1" si="14">A57+7</f>
        <v>315</v>
      </c>
      <c r="B58" s="5"/>
      <c r="C58" s="1"/>
      <c r="D58" s="3"/>
      <c r="E58" s="72"/>
      <c r="F58" s="3"/>
      <c r="G58" s="3"/>
      <c r="H58" s="127"/>
      <c r="I58" s="127"/>
      <c r="J58" s="65"/>
      <c r="K58" s="116"/>
      <c r="N58" s="199"/>
    </row>
    <row r="59" spans="1:19" ht="19.2" outlineLevel="1">
      <c r="A59" s="191">
        <f t="shared" ca="1" si="14"/>
        <v>322</v>
      </c>
      <c r="B59" s="5"/>
      <c r="C59" s="1"/>
      <c r="D59" s="3"/>
      <c r="E59" s="72"/>
      <c r="F59" s="3"/>
      <c r="G59" s="3"/>
      <c r="H59" s="127"/>
      <c r="I59" s="127"/>
      <c r="J59" s="65"/>
      <c r="K59" s="116"/>
      <c r="N59" s="199"/>
    </row>
    <row r="60" spans="1:19" ht="19.2" outlineLevel="1">
      <c r="A60" s="191">
        <f t="shared" ca="1" si="14"/>
        <v>329</v>
      </c>
      <c r="B60" s="5"/>
      <c r="C60" s="1"/>
      <c r="D60" s="3"/>
      <c r="E60" s="72"/>
      <c r="F60" s="3"/>
      <c r="G60" s="3"/>
      <c r="H60" s="127"/>
      <c r="I60" s="127"/>
      <c r="J60" s="65"/>
      <c r="K60" s="116"/>
      <c r="N60" s="199"/>
    </row>
    <row r="61" spans="1:19" ht="19.2">
      <c r="A61" s="30" t="s">
        <v>118</v>
      </c>
      <c r="B61" s="131">
        <f>(IF(B62&lt;&gt;"",((LEN(B62)-LEN(SUBSTITUTE(B62,",","")))+1)))+(IF(B63&lt;&gt;"",((LEN(B63)-LEN(SUBSTITUTE(B63,",","")))+1)))+(IF(B64&lt;&gt;"",((LEN(B64)-LEN(SUBSTITUTE(B64,",","")))+1)))+(IF(B65&lt;&gt;"",((LEN(B65)-LEN(SUBSTITUTE(B65,",","")))+1)))</f>
        <v>0</v>
      </c>
      <c r="C61" s="174">
        <f>ROUND(SUM(C62:C65)/9,2)+SUM(C62:C65)</f>
        <v>0</v>
      </c>
      <c r="D61" s="3">
        <f>C61*B68</f>
        <v>0</v>
      </c>
      <c r="E61" s="72">
        <f t="shared" si="0"/>
        <v>0</v>
      </c>
      <c r="F61" s="3"/>
      <c r="G61" s="3">
        <f t="shared" si="11"/>
        <v>0</v>
      </c>
      <c r="H61" s="127">
        <f>IF(B$70&lt;&gt;"N",IF(F61="",D61*0.05,F61*0.05),0)</f>
        <v>0</v>
      </c>
      <c r="I61" s="127" t="b">
        <f>IF(N61&gt;11000,(D61-(11000-N55))*0.2)</f>
        <v>0</v>
      </c>
      <c r="J61" s="65">
        <f>IF(F61="",D61-G61-H61-I61,F61-G61-H61-I61)</f>
        <v>0</v>
      </c>
      <c r="K61" s="116" t="str">
        <f>TEXT(DATE(LEFT(A$1,4),IF(MONTH(DATEVALUE(A61&amp;" 1"))+1&gt;12,1,MONTH(DATEVALUE(A61&amp;" 1"))+1),1),"mmm")&amp;" " &amp;DAY(EOMONTH((DATE(LEFT(A$1,4),MONTH(DATEVALUE(A61&amp;" 1"))+1,1)),0)+1-WEEKDAY(EOMONTH((DATE(LEFT(A$1,4),MONTH(DATEVALUE(A61&amp;" 1"))+1,1)),0)+1-4))</f>
        <v>Jan 30</v>
      </c>
      <c r="N61" s="199">
        <f>IF(F61="",D61,F61)+N55</f>
        <v>0</v>
      </c>
    </row>
    <row r="62" spans="1:19" ht="19.2" outlineLevel="1">
      <c r="A62" s="191">
        <f ca="1">A60+7</f>
        <v>336</v>
      </c>
      <c r="B62" s="5"/>
      <c r="C62" s="1"/>
      <c r="D62" s="3"/>
      <c r="E62" s="72"/>
      <c r="F62" s="3"/>
      <c r="G62" s="3"/>
      <c r="H62" s="3"/>
      <c r="I62" s="3"/>
      <c r="J62" s="65"/>
      <c r="K62" s="116"/>
      <c r="N62" s="115"/>
    </row>
    <row r="63" spans="1:19" ht="19.2" outlineLevel="1">
      <c r="A63" s="191">
        <f ca="1">A62+7</f>
        <v>343</v>
      </c>
      <c r="B63" s="5"/>
      <c r="C63" s="1"/>
      <c r="D63" s="3"/>
      <c r="E63" s="72"/>
      <c r="F63" s="3"/>
      <c r="G63" s="3"/>
      <c r="H63" s="3"/>
      <c r="I63" s="3"/>
      <c r="J63" s="65"/>
      <c r="K63" s="116"/>
      <c r="N63" s="115"/>
    </row>
    <row r="64" spans="1:19" ht="19.2" outlineLevel="1">
      <c r="A64" s="191">
        <f t="shared" ref="A64:A65" ca="1" si="15">A63+7</f>
        <v>350</v>
      </c>
      <c r="B64" s="5"/>
      <c r="C64" s="1"/>
      <c r="D64" s="3"/>
      <c r="E64" s="72"/>
      <c r="F64" s="3"/>
      <c r="G64" s="3"/>
      <c r="H64" s="3"/>
      <c r="I64" s="3"/>
      <c r="J64" s="65"/>
      <c r="K64" s="116"/>
      <c r="N64" s="115"/>
    </row>
    <row r="65" spans="1:14" ht="19.2" outlineLevel="1">
      <c r="A65" s="191">
        <f t="shared" ca="1" si="15"/>
        <v>357</v>
      </c>
      <c r="B65" s="5"/>
      <c r="C65" s="1"/>
      <c r="D65" s="3"/>
      <c r="E65" s="72"/>
      <c r="F65" s="3"/>
      <c r="G65" s="3"/>
      <c r="H65" s="3"/>
      <c r="I65" s="3"/>
      <c r="J65" s="65"/>
      <c r="K65" s="116"/>
      <c r="N65" s="115"/>
    </row>
    <row r="66" spans="1:14" s="195" customFormat="1" ht="14.4">
      <c r="A66" s="203"/>
      <c r="B66" s="196"/>
      <c r="C66" s="196"/>
      <c r="F66" s="197"/>
      <c r="G66" s="198" t="str">
        <f ca="1">"SUM: " &amp; ROUND(SUM(G2:G61),2)</f>
        <v>SUM: 0</v>
      </c>
      <c r="H66" s="198" t="str">
        <f ca="1">"SUM: " &amp; ROUND(SUM(H2:H61),2)</f>
        <v>SUM: 0</v>
      </c>
      <c r="I66" s="198" t="str">
        <f ca="1">"SUM: " &amp; ROUND(SUM(I2:I61),2)</f>
        <v>SUM: 0</v>
      </c>
      <c r="J66" s="197" t="str">
        <f ca="1">"SUM: " &amp; ROUND(SUM(J2:J61),2)</f>
        <v>SUM: 0</v>
      </c>
      <c r="K66" s="196"/>
      <c r="L66" s="195" t="str">
        <f>"SUM: " &amp; ROUND(SUM(L2:L61),2)</f>
        <v>SUM: 0</v>
      </c>
    </row>
    <row r="67" spans="1:14" s="195" customFormat="1" ht="14.4">
      <c r="B67" s="196"/>
      <c r="C67" s="196"/>
      <c r="F67" s="197"/>
      <c r="G67" s="198"/>
      <c r="H67" s="198"/>
      <c r="I67" s="198"/>
      <c r="J67" s="197"/>
      <c r="K67" s="196"/>
    </row>
    <row r="68" spans="1:14">
      <c r="A68" s="30" t="s">
        <v>210</v>
      </c>
      <c r="B68" s="45">
        <v>7.7995999999999999</v>
      </c>
      <c r="C68" s="1"/>
      <c r="D68" s="114"/>
      <c r="E68" s="114"/>
      <c r="F68" s="38"/>
    </row>
    <row r="69" spans="1:14">
      <c r="A69" s="129" t="s">
        <v>211</v>
      </c>
      <c r="B69" s="147">
        <v>8.25</v>
      </c>
      <c r="C69" s="1"/>
      <c r="D69" s="114"/>
      <c r="E69" s="114"/>
    </row>
    <row r="70" spans="1:14">
      <c r="A70" s="129" t="s">
        <v>212</v>
      </c>
      <c r="B70" s="4" t="s">
        <v>20</v>
      </c>
      <c r="F70" s="73"/>
      <c r="H70" s="11"/>
      <c r="I70" s="11"/>
      <c r="L70" s="42"/>
      <c r="M70" s="42"/>
    </row>
    <row r="71" spans="1:14">
      <c r="B71" s="4"/>
      <c r="E71" s="3"/>
      <c r="F71" s="3"/>
      <c r="L71" s="42"/>
      <c r="M71" s="42"/>
    </row>
    <row r="72" spans="1:14">
      <c r="B72" s="57"/>
      <c r="D72" s="11"/>
      <c r="E72" s="3"/>
      <c r="F72" s="3"/>
      <c r="L72" s="42"/>
      <c r="M72" s="42"/>
    </row>
    <row r="73" spans="1:14">
      <c r="B73" s="57"/>
      <c r="E73" s="3"/>
      <c r="F73" s="3"/>
      <c r="H73" s="11"/>
      <c r="I73" s="11"/>
      <c r="L73" s="42"/>
      <c r="M73" s="42"/>
    </row>
    <row r="74" spans="1:14">
      <c r="C74" s="1"/>
      <c r="D74" s="3"/>
      <c r="E74" s="3"/>
      <c r="F74" s="3"/>
      <c r="L74" s="42"/>
      <c r="M74" s="42"/>
    </row>
    <row r="75" spans="1:14">
      <c r="D75" s="68"/>
      <c r="E75" s="38"/>
      <c r="F75" s="38"/>
      <c r="L75" s="42"/>
      <c r="M75" s="42"/>
    </row>
    <row r="76" spans="1:14">
      <c r="B76" s="4"/>
      <c r="L76" s="42"/>
      <c r="M76" s="42"/>
    </row>
    <row r="77" spans="1:14">
      <c r="B77" s="4"/>
    </row>
    <row r="78" spans="1:14">
      <c r="B78" s="57"/>
    </row>
    <row r="79" spans="1:14">
      <c r="B79" s="57"/>
    </row>
    <row r="80" spans="1:14">
      <c r="B80" s="57"/>
    </row>
    <row r="81" spans="1:2">
      <c r="B81" s="55"/>
    </row>
    <row r="82" spans="1:2">
      <c r="B82" s="4"/>
    </row>
    <row r="83" spans="1:2">
      <c r="B83" s="4"/>
    </row>
    <row r="84" spans="1:2">
      <c r="B84" s="57"/>
    </row>
    <row r="85" spans="1:2">
      <c r="B85" s="57"/>
    </row>
    <row r="86" spans="1:2">
      <c r="B86" s="57"/>
    </row>
    <row r="87" spans="1:2">
      <c r="B87" s="55"/>
    </row>
    <row r="90" spans="1:2">
      <c r="A90" s="56"/>
      <c r="B90" s="55"/>
    </row>
    <row r="91" spans="1:2">
      <c r="A91" s="56"/>
      <c r="B91" s="55"/>
    </row>
    <row r="92" spans="1:2">
      <c r="A92" s="56"/>
      <c r="B92" s="55"/>
    </row>
    <row r="93" spans="1:2">
      <c r="A93" s="56"/>
      <c r="B93" s="55"/>
    </row>
    <row r="94" spans="1:2">
      <c r="A94" s="56"/>
      <c r="B94" s="55"/>
    </row>
    <row r="95" spans="1:2">
      <c r="A95" s="56"/>
      <c r="B95" s="55"/>
    </row>
    <row r="96" spans="1:2">
      <c r="A96" s="56"/>
      <c r="B96" s="55"/>
    </row>
    <row r="97" spans="1:2">
      <c r="A97" s="56"/>
      <c r="B97" s="55"/>
    </row>
    <row r="98" spans="1:2">
      <c r="A98" s="56"/>
      <c r="B98" s="55"/>
    </row>
    <row r="99" spans="1:2">
      <c r="A99" s="56"/>
      <c r="B99" s="55"/>
    </row>
    <row r="100" spans="1:2">
      <c r="A100" s="56"/>
      <c r="B100" s="55"/>
    </row>
    <row r="101" spans="1:2">
      <c r="A101" s="56"/>
      <c r="B101" s="55"/>
    </row>
    <row r="102" spans="1:2">
      <c r="A102" s="56"/>
      <c r="B102" s="55"/>
    </row>
    <row r="103" spans="1:2">
      <c r="A103" s="56"/>
      <c r="B103" s="55"/>
    </row>
  </sheetData>
  <conditionalFormatting sqref="L2 L21">
    <cfRule type="cellIs" dxfId="403" priority="1" operator="greaterThan">
      <formula>0</formula>
    </cfRule>
  </conditionalFormatting>
  <pageMargins left="0" right="0" top="0" bottom="0" header="0" footer="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S102"/>
  <sheetViews>
    <sheetView workbookViewId="0"/>
  </sheetViews>
  <sheetFormatPr defaultColWidth="8.44140625" defaultRowHeight="18" outlineLevelRow="1" outlineLevelCol="1"/>
  <cols>
    <col min="1" max="1" width="15.44140625" customWidth="1"/>
    <col min="2" max="4" width="20.44140625" customWidth="1"/>
    <col min="5" max="5" width="19.44140625" customWidth="1"/>
    <col min="6" max="6" width="18.33203125" customWidth="1"/>
    <col min="7" max="7" width="14.6640625" customWidth="1" outlineLevel="1"/>
    <col min="8" max="8" width="17.44140625" customWidth="1" outlineLevel="1"/>
    <col min="9" max="9" width="25" customWidth="1" outlineLevel="1"/>
    <col min="10" max="10" width="13.44140625" customWidth="1"/>
    <col min="11" max="11" width="23.6640625" style="117" customWidth="1"/>
    <col min="12" max="13" width="16.6640625" customWidth="1"/>
    <col min="14" max="14" width="35.109375" customWidth="1"/>
    <col min="15" max="15" width="11.109375" customWidth="1"/>
    <col min="17" max="19" width="17.44140625" customWidth="1"/>
  </cols>
  <sheetData>
    <row r="1" spans="1:19" ht="17.399999999999999">
      <c r="A1" s="29" t="s">
        <v>246</v>
      </c>
      <c r="B1" s="29" t="s">
        <v>223</v>
      </c>
      <c r="C1" s="29" t="s">
        <v>331</v>
      </c>
      <c r="D1" s="29" t="s">
        <v>332</v>
      </c>
      <c r="E1" s="29" t="s">
        <v>193</v>
      </c>
      <c r="F1" s="29" t="s">
        <v>247</v>
      </c>
      <c r="G1" s="29" t="s">
        <v>197</v>
      </c>
      <c r="H1" s="29" t="s">
        <v>333</v>
      </c>
      <c r="I1" s="29" t="s">
        <v>199</v>
      </c>
      <c r="J1" s="29" t="s">
        <v>249</v>
      </c>
      <c r="K1" s="29" t="s">
        <v>201</v>
      </c>
      <c r="L1" s="29" t="s">
        <v>250</v>
      </c>
      <c r="M1" s="29" t="s">
        <v>251</v>
      </c>
      <c r="N1" s="29" t="s">
        <v>252</v>
      </c>
      <c r="Q1" s="6"/>
      <c r="R1" s="6"/>
      <c r="S1" s="6"/>
    </row>
    <row r="2" spans="1:19" ht="19.2">
      <c r="A2" s="30" t="s">
        <v>17</v>
      </c>
      <c r="B2" s="131">
        <f>(IF(B3&lt;&gt;"",((LEN(B3)-LEN(SUBSTITUTE(B3,",","")))+1)))+(IF(B4&lt;&gt;"",((LEN(B4)-LEN(SUBSTITUTE(B4,",","")))+1)))+(IF(B5&lt;&gt;"",((LEN(B5)-LEN(SUBSTITUTE(B5,",","")))+1)))+(IF(B6&lt;&gt;"",((LEN(B6)-LEN(SUBSTITUTE(B6,",","")))+1)))</f>
        <v>0</v>
      </c>
      <c r="C2" s="131"/>
      <c r="D2" s="131"/>
      <c r="E2" s="174">
        <f>SUM(E3:E6)</f>
        <v>0</v>
      </c>
      <c r="F2" s="3">
        <f>E2*B68</f>
        <v>0</v>
      </c>
      <c r="G2" s="3">
        <f>IF((((F2-H2)/4)-155)&gt;0,((((F2-H2)/4)-155)*0.12)*4,0)</f>
        <v>0</v>
      </c>
      <c r="H2" s="127">
        <f>IF(B$69&lt;&gt;"N",F2*0.01,0)</f>
        <v>0</v>
      </c>
      <c r="I2" s="127">
        <f>IF(N2&gt;11000,(F2-(11000-#REF!))*0.2,0)</f>
        <v>0</v>
      </c>
      <c r="J2" s="65">
        <f>IF(F2&lt;&gt;"",F2-G2-H2-I2)</f>
        <v>0</v>
      </c>
      <c r="L2" s="3"/>
      <c r="M2" s="200"/>
      <c r="N2" s="199"/>
      <c r="Q2" s="7"/>
      <c r="R2" s="7"/>
      <c r="S2" s="7"/>
    </row>
    <row r="3" spans="1:19" ht="19.2" hidden="1" outlineLevel="1">
      <c r="A3" s="190">
        <v>42737</v>
      </c>
      <c r="B3" s="190"/>
      <c r="C3" s="190"/>
      <c r="D3" s="190"/>
      <c r="E3" s="1"/>
      <c r="F3" s="3"/>
      <c r="G3" s="3"/>
      <c r="H3" s="127"/>
      <c r="I3" s="127"/>
      <c r="J3" s="65"/>
      <c r="L3" s="3"/>
      <c r="M3" s="3"/>
      <c r="N3" s="199"/>
      <c r="Q3" s="7"/>
      <c r="R3" s="7"/>
      <c r="S3" s="7"/>
    </row>
    <row r="4" spans="1:19" ht="19.2" hidden="1" outlineLevel="1">
      <c r="A4" s="190">
        <f>A3+7</f>
        <v>42744</v>
      </c>
      <c r="B4" s="190"/>
      <c r="C4" s="190"/>
      <c r="D4" s="190"/>
      <c r="E4" s="1"/>
      <c r="F4" s="3"/>
      <c r="G4" s="3"/>
      <c r="H4" s="127"/>
      <c r="I4" s="127"/>
      <c r="J4" s="65"/>
      <c r="L4" s="3"/>
      <c r="M4" s="3"/>
      <c r="N4" s="199"/>
      <c r="Q4" s="7"/>
      <c r="R4" s="7"/>
      <c r="S4" s="7"/>
    </row>
    <row r="5" spans="1:19" ht="19.2" hidden="1" outlineLevel="1">
      <c r="A5" s="190">
        <f t="shared" ref="A5:A6" si="0">A4+7</f>
        <v>42751</v>
      </c>
      <c r="B5" s="190"/>
      <c r="C5" s="190"/>
      <c r="D5" s="190"/>
      <c r="E5" s="1"/>
      <c r="F5" s="3"/>
      <c r="G5" s="3"/>
      <c r="H5" s="127"/>
      <c r="I5" s="127"/>
      <c r="J5" s="65"/>
      <c r="L5" s="3"/>
      <c r="M5" s="3"/>
      <c r="N5" s="199"/>
      <c r="Q5" s="7"/>
      <c r="R5" s="7"/>
      <c r="S5" s="7"/>
    </row>
    <row r="6" spans="1:19" ht="19.2" hidden="1" outlineLevel="1">
      <c r="A6" s="190">
        <f t="shared" si="0"/>
        <v>42758</v>
      </c>
      <c r="B6" s="190"/>
      <c r="C6" s="190"/>
      <c r="D6" s="190"/>
      <c r="E6" s="1"/>
      <c r="F6" s="3"/>
      <c r="G6" s="3"/>
      <c r="H6" s="127"/>
      <c r="I6" s="127"/>
      <c r="J6" s="65"/>
      <c r="L6" s="3"/>
      <c r="M6" s="3"/>
      <c r="N6" s="199"/>
      <c r="Q6" s="7"/>
      <c r="R6" s="7"/>
      <c r="S6" s="7"/>
    </row>
    <row r="7" spans="1:19" ht="19.2" collapsed="1">
      <c r="A7" s="30" t="s">
        <v>29</v>
      </c>
      <c r="B7" s="131">
        <f>(IF(B8&lt;&gt;"",((LEN(B8)-LEN(SUBSTITUTE(B8,",","")))+1)))+(IF(B9&lt;&gt;"",((LEN(B9)-LEN(SUBSTITUTE(B9,",","")))+1)))+(IF(B10&lt;&gt;"",((LEN(B10)-LEN(SUBSTITUTE(B10,",","")))+1)))+(IF(B11&lt;&gt;"",((LEN(B11)-LEN(SUBSTITUTE(B11,",","")))+1)))+(IF(B12&lt;&gt;"",((LEN(B12)-LEN(SUBSTITUTE(B12,",","")))+1)))</f>
        <v>0</v>
      </c>
      <c r="C7" s="131"/>
      <c r="D7" s="131"/>
      <c r="E7" s="174">
        <f>SUM(E8:E12)</f>
        <v>0</v>
      </c>
      <c r="F7" s="3">
        <f>E7*B68</f>
        <v>0</v>
      </c>
      <c r="G7" s="3">
        <f>IF((((F7-H7)/4)-155)&gt;0,((((F7-H7)/4)-155)*0.12)*4,0)</f>
        <v>0</v>
      </c>
      <c r="H7" s="127">
        <f>IF(B$69&lt;&gt;"N",F7*0.01,0)</f>
        <v>0</v>
      </c>
      <c r="I7" s="127">
        <f>IF(N7&gt;11000,(F7-(11000-N1))*0.2,0)</f>
        <v>0</v>
      </c>
      <c r="J7" s="65">
        <f>IF(F7&lt;&gt;"",F7-G7-H7-I7)</f>
        <v>0</v>
      </c>
      <c r="L7" s="3"/>
      <c r="M7" s="200"/>
      <c r="N7" s="199">
        <f>IF(F7&lt;&gt;"",F7+N2,0)</f>
        <v>0</v>
      </c>
      <c r="Q7" s="2"/>
      <c r="R7" s="2"/>
      <c r="S7" s="2"/>
    </row>
    <row r="8" spans="1:19" ht="19.2" hidden="1" outlineLevel="1">
      <c r="A8" s="191">
        <v>42765</v>
      </c>
      <c r="B8" s="5"/>
      <c r="C8" s="5"/>
      <c r="D8" s="5"/>
      <c r="E8" s="1"/>
      <c r="F8" s="3"/>
      <c r="G8" s="3"/>
      <c r="H8" s="127"/>
      <c r="I8" s="127"/>
      <c r="J8" s="65"/>
      <c r="L8" s="3"/>
      <c r="M8" s="3"/>
      <c r="N8" s="199"/>
      <c r="Q8" s="2"/>
      <c r="R8" s="2"/>
      <c r="S8" s="2"/>
    </row>
    <row r="9" spans="1:19" ht="19.2" hidden="1" outlineLevel="1">
      <c r="A9" s="191">
        <f>A8+7</f>
        <v>42772</v>
      </c>
      <c r="B9" s="5"/>
      <c r="C9" s="5"/>
      <c r="D9" s="5"/>
      <c r="E9" s="1"/>
      <c r="F9" s="3"/>
      <c r="G9" s="3"/>
      <c r="H9" s="127"/>
      <c r="I9" s="127"/>
      <c r="J9" s="65"/>
      <c r="L9" s="3"/>
      <c r="M9" s="3"/>
      <c r="N9" s="199"/>
      <c r="Q9" s="2"/>
      <c r="R9" s="2"/>
      <c r="S9" s="2"/>
    </row>
    <row r="10" spans="1:19" ht="19.2" hidden="1" outlineLevel="1">
      <c r="A10" s="191">
        <f t="shared" ref="A10:A11" si="1">A9+7</f>
        <v>42779</v>
      </c>
      <c r="B10" s="5"/>
      <c r="C10" s="5"/>
      <c r="D10" s="5"/>
      <c r="E10" s="1"/>
      <c r="F10" s="3"/>
      <c r="G10" s="3"/>
      <c r="H10" s="127"/>
      <c r="I10" s="127"/>
      <c r="J10" s="65"/>
      <c r="L10" s="3"/>
      <c r="M10" s="3"/>
      <c r="N10" s="199"/>
      <c r="Q10" s="2"/>
      <c r="R10" s="2"/>
      <c r="S10" s="2"/>
    </row>
    <row r="11" spans="1:19" ht="19.2" hidden="1" outlineLevel="1">
      <c r="A11" s="191">
        <f t="shared" si="1"/>
        <v>42786</v>
      </c>
      <c r="B11" s="5"/>
      <c r="C11" s="5"/>
      <c r="D11" s="5"/>
      <c r="E11" s="1"/>
      <c r="F11" s="3"/>
      <c r="G11" s="3"/>
      <c r="H11" s="127"/>
      <c r="I11" s="127"/>
      <c r="J11" s="65"/>
      <c r="L11" s="3"/>
      <c r="M11" s="3"/>
      <c r="N11" s="199"/>
      <c r="Q11" s="2"/>
      <c r="R11" s="2"/>
      <c r="S11" s="2"/>
    </row>
    <row r="12" spans="1:19" ht="19.2" hidden="1" outlineLevel="1">
      <c r="A12" s="191">
        <v>42793</v>
      </c>
      <c r="B12" s="5"/>
      <c r="C12" s="5"/>
      <c r="D12" s="5"/>
      <c r="E12" s="1"/>
      <c r="F12" s="3"/>
      <c r="G12" s="3"/>
      <c r="H12" s="127"/>
      <c r="I12" s="127"/>
      <c r="J12" s="65"/>
      <c r="L12" s="3"/>
      <c r="M12" s="3"/>
      <c r="N12" s="199"/>
      <c r="Q12" s="2"/>
      <c r="R12" s="2"/>
      <c r="S12" s="2"/>
    </row>
    <row r="13" spans="1:19" ht="19.2" collapsed="1">
      <c r="A13" s="30" t="s">
        <v>37</v>
      </c>
      <c r="B13" s="131">
        <f>(IF(B14&lt;&gt;"",((LEN(B14)-LEN(SUBSTITUTE(B14,",","")))+1)))+(IF(B15&lt;&gt;"",((LEN(B15)-LEN(SUBSTITUTE(B15,",","")))+1)))+(IF(B16&lt;&gt;"",((LEN(B16)-LEN(SUBSTITUTE(B16,",","")))+1)))+(IF(B17&lt;&gt;"",((LEN(B17)-LEN(SUBSTITUTE(B17,",","")))+1)))</f>
        <v>0</v>
      </c>
      <c r="C13" s="131"/>
      <c r="D13" s="131"/>
      <c r="E13" s="174">
        <f>SUM(E14:E17)</f>
        <v>0</v>
      </c>
      <c r="F13" s="3">
        <f>E13*B68</f>
        <v>0</v>
      </c>
      <c r="G13" s="3">
        <f>IF((((F13-H13)/4)-155)&gt;0,((((F13-H13)/4)-155)*0.12)*4,0)</f>
        <v>0</v>
      </c>
      <c r="H13" s="127">
        <f>IF(B$69&lt;&gt;"N",F13*0.01,0)</f>
        <v>0</v>
      </c>
      <c r="I13" s="127">
        <f>IF(N13&gt;11000,(F13-(11000-N7))*0.2,0)</f>
        <v>0</v>
      </c>
      <c r="J13" s="65">
        <f>IF(F13&lt;&gt;"",F13-G13-H13-I13)</f>
        <v>0</v>
      </c>
      <c r="L13" s="3"/>
      <c r="M13" s="200"/>
      <c r="N13" s="199">
        <f>IF(F13&lt;&gt;"",F13+N7,0)</f>
        <v>0</v>
      </c>
      <c r="Q13" s="3"/>
      <c r="R13" s="3"/>
      <c r="S13" s="8"/>
    </row>
    <row r="14" spans="1:19" ht="19.2" hidden="1" outlineLevel="1">
      <c r="A14" s="191">
        <f>A12+7</f>
        <v>42800</v>
      </c>
      <c r="B14" s="5"/>
      <c r="C14" s="5"/>
      <c r="D14" s="5"/>
      <c r="E14" s="1"/>
      <c r="F14" s="3"/>
      <c r="G14" s="3"/>
      <c r="H14" s="127"/>
      <c r="I14" s="127"/>
      <c r="J14" s="65"/>
      <c r="L14" s="3"/>
      <c r="M14" s="3"/>
      <c r="N14" s="199"/>
      <c r="Q14" s="3"/>
      <c r="R14" s="3"/>
      <c r="S14" s="8"/>
    </row>
    <row r="15" spans="1:19" ht="19.2" hidden="1" outlineLevel="1">
      <c r="A15" s="191">
        <f t="shared" ref="A15:A17" si="2">A14+7</f>
        <v>42807</v>
      </c>
      <c r="B15" s="5"/>
      <c r="C15" s="5"/>
      <c r="D15" s="5"/>
      <c r="E15" s="1"/>
      <c r="F15" s="3"/>
      <c r="G15" s="3"/>
      <c r="H15" s="127"/>
      <c r="I15" s="127"/>
      <c r="J15" s="65"/>
      <c r="L15" s="3"/>
      <c r="M15" s="3"/>
      <c r="N15" s="199"/>
      <c r="Q15" s="3"/>
      <c r="R15" s="3"/>
      <c r="S15" s="8"/>
    </row>
    <row r="16" spans="1:19" ht="19.2" hidden="1" outlineLevel="1">
      <c r="A16" s="191">
        <f t="shared" si="2"/>
        <v>42814</v>
      </c>
      <c r="B16" s="5"/>
      <c r="C16" s="5"/>
      <c r="D16" s="5"/>
      <c r="E16" s="1"/>
      <c r="F16" s="3"/>
      <c r="G16" s="3"/>
      <c r="H16" s="127"/>
      <c r="I16" s="127"/>
      <c r="J16" s="65"/>
      <c r="L16" s="3"/>
      <c r="M16" s="3"/>
      <c r="N16" s="199"/>
      <c r="Q16" s="3"/>
      <c r="R16" s="3"/>
      <c r="S16" s="8"/>
    </row>
    <row r="17" spans="1:19" ht="19.2" hidden="1" outlineLevel="1">
      <c r="A17" s="191">
        <f t="shared" si="2"/>
        <v>42821</v>
      </c>
      <c r="B17" s="4"/>
      <c r="C17" s="4"/>
      <c r="D17" s="4"/>
      <c r="E17" s="1"/>
      <c r="F17" s="3"/>
      <c r="G17" s="3"/>
      <c r="H17" s="127"/>
      <c r="I17" s="127"/>
      <c r="J17" s="65"/>
      <c r="L17" s="3"/>
      <c r="M17" s="3"/>
      <c r="N17" s="199"/>
      <c r="Q17" s="3"/>
      <c r="R17" s="3"/>
      <c r="S17" s="8"/>
    </row>
    <row r="18" spans="1:19" ht="19.2" collapsed="1">
      <c r="A18" s="30" t="s">
        <v>53</v>
      </c>
      <c r="B18" s="131">
        <f>(IF(B19&lt;&gt;"",((LEN(B19)-LEN(SUBSTITUTE(B19,",","")))+1)))+(IF(B20&lt;&gt;"",((LEN(B20)-LEN(SUBSTITUTE(B20,",","")))+1)))+(IF(B21&lt;&gt;"",((LEN(B21)-LEN(SUBSTITUTE(B21,",","")))+1)))+(IF(B22&lt;&gt;"",((LEN(B22)-LEN(SUBSTITUTE(B22,",","")))+1)))</f>
        <v>0</v>
      </c>
      <c r="C18" s="131"/>
      <c r="D18" s="131"/>
      <c r="E18" s="174">
        <f>SUM(E19:E22)</f>
        <v>0</v>
      </c>
      <c r="F18" s="3">
        <f>E18*B68</f>
        <v>0</v>
      </c>
      <c r="G18" s="3">
        <f>IF((((F18-H18)/4)-155)&gt;0,((((F18-H18)/4)-155)*0.12)*4,0)</f>
        <v>0</v>
      </c>
      <c r="H18" s="127">
        <f>IF(B$69&lt;&gt;"N",F18*0.01,0)</f>
        <v>0</v>
      </c>
      <c r="I18" s="127">
        <f>IF(N18&gt;11000,(F18-(11000-N12))*0.2,0)</f>
        <v>0</v>
      </c>
      <c r="J18" s="65">
        <f>IF(F18&lt;&gt;"",F18-G18-H18-I18)</f>
        <v>0</v>
      </c>
      <c r="L18" s="3"/>
      <c r="M18" s="200"/>
      <c r="N18" s="199">
        <f>IF(F18&lt;&gt;"",F18+N13,0)</f>
        <v>0</v>
      </c>
      <c r="O18" s="196" t="s">
        <v>265</v>
      </c>
      <c r="Q18" s="3"/>
      <c r="R18" s="3"/>
      <c r="S18" s="8"/>
    </row>
    <row r="19" spans="1:19" ht="19.2" hidden="1" outlineLevel="1">
      <c r="A19" s="191">
        <f>A17+7</f>
        <v>42828</v>
      </c>
      <c r="B19" s="4"/>
      <c r="C19" s="4"/>
      <c r="D19" s="4"/>
      <c r="E19" s="1"/>
      <c r="F19" s="3"/>
      <c r="G19" s="3"/>
      <c r="H19" s="127"/>
      <c r="I19" s="127"/>
      <c r="J19" s="65"/>
      <c r="L19" s="3"/>
      <c r="M19" s="3"/>
      <c r="N19" s="199"/>
      <c r="Q19" s="3"/>
      <c r="R19" s="3"/>
      <c r="S19" s="8"/>
    </row>
    <row r="20" spans="1:19" ht="19.2" hidden="1" outlineLevel="1">
      <c r="A20" s="191">
        <f>A19+7</f>
        <v>42835</v>
      </c>
      <c r="B20" s="4"/>
      <c r="C20" s="4"/>
      <c r="D20" s="4"/>
      <c r="E20" s="1"/>
      <c r="F20" s="3"/>
      <c r="G20" s="3"/>
      <c r="H20" s="127"/>
      <c r="I20" s="127"/>
      <c r="J20" s="65"/>
      <c r="L20" s="3"/>
      <c r="M20" s="3"/>
      <c r="N20" s="199"/>
      <c r="Q20" s="3"/>
      <c r="R20" s="3"/>
      <c r="S20" s="8"/>
    </row>
    <row r="21" spans="1:19" ht="19.2" hidden="1" outlineLevel="1">
      <c r="A21" s="191">
        <f t="shared" ref="A21:A22" si="3">A20+7</f>
        <v>42842</v>
      </c>
      <c r="B21" s="4"/>
      <c r="C21" s="4"/>
      <c r="D21" s="4"/>
      <c r="E21" s="1"/>
      <c r="F21" s="3"/>
      <c r="G21" s="3"/>
      <c r="H21" s="127"/>
      <c r="I21" s="127"/>
      <c r="J21" s="65"/>
      <c r="L21" s="3"/>
      <c r="M21" s="3"/>
      <c r="N21" s="199"/>
      <c r="Q21" s="3"/>
      <c r="R21" s="3"/>
      <c r="S21" s="8"/>
    </row>
    <row r="22" spans="1:19" ht="19.2" hidden="1" outlineLevel="1">
      <c r="A22" s="191">
        <f t="shared" si="3"/>
        <v>42849</v>
      </c>
      <c r="B22" s="4"/>
      <c r="C22" s="4"/>
      <c r="D22" s="4"/>
      <c r="E22" s="1"/>
      <c r="F22" s="3"/>
      <c r="G22" s="3"/>
      <c r="H22" s="127"/>
      <c r="I22" s="127"/>
      <c r="J22" s="65"/>
      <c r="L22" s="3"/>
      <c r="M22" s="3"/>
      <c r="N22" s="199"/>
      <c r="Q22" s="3"/>
      <c r="R22" s="3"/>
      <c r="S22" s="8"/>
    </row>
    <row r="23" spans="1:19" ht="19.2" collapsed="1">
      <c r="A23" s="30" t="s">
        <v>59</v>
      </c>
      <c r="B23" s="131">
        <f>(IF(B24&lt;&gt;"",((LEN(B24)-LEN(SUBSTITUTE(B24,",","")))+1)))+(IF(B25&lt;&gt;"",((LEN(B25)-LEN(SUBSTITUTE(B25,",","")))+1)))+(IF(B26&lt;&gt;"",((LEN(B26)-LEN(SUBSTITUTE(B26,",","")))+1)))+(IF(B27&lt;&gt;"",((LEN(B27)-LEN(SUBSTITUTE(B27,",","")))+1)))+(IF(B28&lt;&gt;"",((LEN(B28)-LEN(SUBSTITUTE(B28,",","")))+1)))</f>
        <v>0</v>
      </c>
      <c r="C23" s="131"/>
      <c r="D23" s="131"/>
      <c r="E23" s="174">
        <f>SUM(E24:E28)</f>
        <v>0</v>
      </c>
      <c r="F23" s="3">
        <f>E23*B68</f>
        <v>0</v>
      </c>
      <c r="G23" s="3">
        <f>IF((((F23-H23)/4)-155)&gt;0,((((F23-H23)/4)-155)*0.12)*4,0)</f>
        <v>0</v>
      </c>
      <c r="H23" s="127">
        <f>IF(B$69&lt;&gt;"N",F23*0.01,0)</f>
        <v>0</v>
      </c>
      <c r="I23" s="127">
        <f>IF(N23&gt;11000,(F23-(11000-N17))*0.2,0)</f>
        <v>0</v>
      </c>
      <c r="J23" s="65">
        <f>IF(F23&lt;&gt;"",F23-G23-H23-I23)</f>
        <v>0</v>
      </c>
      <c r="L23" s="3"/>
      <c r="M23" s="200"/>
      <c r="N23" s="199">
        <f>IF(F23&lt;&gt;"",F23+N18,0)</f>
        <v>0</v>
      </c>
      <c r="Q23" s="3"/>
      <c r="R23" s="3"/>
      <c r="S23" s="8"/>
    </row>
    <row r="24" spans="1:19" ht="19.2" hidden="1" outlineLevel="1">
      <c r="A24" s="191">
        <f>A22+7</f>
        <v>42856</v>
      </c>
      <c r="B24" s="4"/>
      <c r="C24" s="4"/>
      <c r="D24" s="4"/>
      <c r="E24" s="1"/>
      <c r="F24" s="3"/>
      <c r="G24" s="3"/>
      <c r="H24" s="127"/>
      <c r="I24" s="127"/>
      <c r="J24" s="65"/>
      <c r="L24" s="3"/>
      <c r="M24" s="3"/>
      <c r="N24" s="199"/>
      <c r="Q24" s="3"/>
      <c r="R24" s="3"/>
      <c r="S24" s="8"/>
    </row>
    <row r="25" spans="1:19" ht="19.2" hidden="1" outlineLevel="1">
      <c r="A25" s="191">
        <f>A24+7</f>
        <v>42863</v>
      </c>
      <c r="B25" s="5"/>
      <c r="C25" s="5"/>
      <c r="D25" s="5"/>
      <c r="E25" s="1"/>
      <c r="F25" s="3"/>
      <c r="G25" s="3"/>
      <c r="H25" s="127"/>
      <c r="I25" s="127"/>
      <c r="J25" s="65"/>
      <c r="L25" s="3"/>
      <c r="M25" s="3"/>
      <c r="N25" s="199"/>
      <c r="Q25" s="3"/>
      <c r="R25" s="3"/>
      <c r="S25" s="8"/>
    </row>
    <row r="26" spans="1:19" ht="19.2" hidden="1" outlineLevel="1">
      <c r="A26" s="191">
        <f>A25+7</f>
        <v>42870</v>
      </c>
      <c r="B26" s="5"/>
      <c r="C26" s="5"/>
      <c r="D26" s="5"/>
      <c r="E26" s="1"/>
      <c r="F26" s="3"/>
      <c r="G26" s="3"/>
      <c r="H26" s="127"/>
      <c r="I26" s="127"/>
      <c r="J26" s="65"/>
      <c r="L26" s="3"/>
      <c r="M26" s="3"/>
      <c r="N26" s="199"/>
      <c r="Q26" s="3"/>
      <c r="R26" s="3"/>
      <c r="S26" s="8"/>
    </row>
    <row r="27" spans="1:19" ht="19.2" hidden="1" outlineLevel="1">
      <c r="A27" s="191">
        <f t="shared" ref="A27:A28" si="4">A26+7</f>
        <v>42877</v>
      </c>
      <c r="B27" s="5"/>
      <c r="C27" s="5"/>
      <c r="D27" s="5"/>
      <c r="E27" s="1"/>
      <c r="F27" s="3"/>
      <c r="G27" s="3"/>
      <c r="H27" s="127"/>
      <c r="I27" s="127"/>
      <c r="J27" s="65"/>
      <c r="L27" s="3"/>
      <c r="M27" s="3"/>
      <c r="N27" s="199"/>
      <c r="Q27" s="3"/>
      <c r="R27" s="3"/>
      <c r="S27" s="8"/>
    </row>
    <row r="28" spans="1:19" ht="19.2" hidden="1" outlineLevel="1">
      <c r="A28" s="191">
        <f t="shared" si="4"/>
        <v>42884</v>
      </c>
      <c r="B28" s="5"/>
      <c r="C28" s="5"/>
      <c r="D28" s="5"/>
      <c r="E28" s="1"/>
      <c r="F28" s="3"/>
      <c r="G28" s="3"/>
      <c r="H28" s="127"/>
      <c r="I28" s="127"/>
      <c r="J28" s="65"/>
      <c r="L28" s="3"/>
      <c r="M28" s="3"/>
      <c r="N28" s="199"/>
      <c r="Q28" s="3"/>
      <c r="R28" s="3"/>
      <c r="S28" s="8"/>
    </row>
    <row r="29" spans="1:19" ht="19.2" collapsed="1">
      <c r="A29" s="30" t="s">
        <v>69</v>
      </c>
      <c r="B29" s="131">
        <f>(IF(B30&lt;&gt;"",((LEN(B30)-LEN(SUBSTITUTE(B30,",","")))+1)))+(IF(B31&lt;&gt;"",((LEN(B31)-LEN(SUBSTITUTE(B31,",","")))+1)))+(IF(B32&lt;&gt;"",((LEN(B32)-LEN(SUBSTITUTE(B32,",","")))+1)))+(IF(B33&lt;&gt;"",((LEN(B33)-LEN(SUBSTITUTE(B33,",","")))+1)))-C29-D29</f>
        <v>14</v>
      </c>
      <c r="C29" s="131">
        <f>LEN(B30)-LEN(SUBSTITUTE(UPPER(B30),"S",""))+LEN(B31)-LEN(SUBSTITUTE(UPPER(B31),"S",""))+LEN(B32)-LEN(SUBSTITUTE(UPPER(B32),"S",""))+LEN(B33)-LEN(SUBSTITUTE(UPPER(B33),"S",""))</f>
        <v>1</v>
      </c>
      <c r="D29" s="131">
        <f>LEN(B30)-LEN(SUBSTITUTE(UPPER(B30),"H",""))+LEN(B31)-LEN(SUBSTITUTE(UPPER(B31),"H",""))+LEN(B32)-LEN(SUBSTITUTE(UPPER(B32),"H",""))+LEN(B33)-LEN(SUBSTITUTE(UPPER(B33),"H",""))</f>
        <v>0</v>
      </c>
      <c r="E29" s="174">
        <f>SUM(E30:E33)</f>
        <v>112.5</v>
      </c>
      <c r="F29" s="3">
        <f>E29*B68</f>
        <v>1083.375</v>
      </c>
      <c r="G29" s="3">
        <f>IF((((F29-H29)/4)-155)&gt;0,((((F29-H29)/4)-155)*0.12)*4,0)</f>
        <v>54.304949999999998</v>
      </c>
      <c r="H29" s="127">
        <f>IF(B$69&lt;&gt;"N",F29*0.01,0)</f>
        <v>10.83375</v>
      </c>
      <c r="I29" s="127">
        <f>IF(N29&gt;11000,(F29-(11000-N23))*0.2,0)</f>
        <v>0</v>
      </c>
      <c r="J29" s="65">
        <f>'BRI Wages 2017'!J23</f>
        <v>374.20025000000004</v>
      </c>
      <c r="K29" s="117" t="str">
        <f>TEXT(DATE(LEFT(A$1,4),MONTH("1/"&amp;A29),"15"),"dddd") &amp; " 15th " &amp; A29</f>
        <v>Thursday 15th JUN</v>
      </c>
      <c r="L29" s="3"/>
      <c r="M29" s="200"/>
      <c r="N29" s="199">
        <f>IF(F29&lt;&gt;"",F29+N23,0)</f>
        <v>1083.375</v>
      </c>
      <c r="Q29" s="3"/>
      <c r="R29" s="3"/>
      <c r="S29" s="8"/>
    </row>
    <row r="30" spans="1:19" ht="19.2" outlineLevel="1">
      <c r="A30" s="191">
        <f>A28+7</f>
        <v>42891</v>
      </c>
      <c r="B30" s="5"/>
      <c r="C30" s="5"/>
      <c r="D30" s="5"/>
      <c r="E30" s="1"/>
      <c r="F30" s="3"/>
      <c r="G30" s="3"/>
      <c r="H30" s="127"/>
      <c r="I30" s="127"/>
      <c r="J30" s="65"/>
      <c r="L30" s="3"/>
      <c r="M30" s="3"/>
      <c r="N30" s="199"/>
      <c r="Q30" s="3"/>
      <c r="R30" s="3"/>
      <c r="S30" s="8"/>
    </row>
    <row r="31" spans="1:19" ht="19.2" outlineLevel="1">
      <c r="A31" s="191">
        <f>A30+7</f>
        <v>42898</v>
      </c>
      <c r="B31" s="5" t="s">
        <v>241</v>
      </c>
      <c r="C31" s="5"/>
      <c r="D31" s="5"/>
      <c r="E31" s="1">
        <f>7.5*5</f>
        <v>37.5</v>
      </c>
      <c r="F31" s="3"/>
      <c r="G31" s="3"/>
      <c r="H31" s="127"/>
      <c r="I31" s="127"/>
      <c r="J31" s="65"/>
      <c r="L31" s="3"/>
      <c r="M31" s="3"/>
      <c r="N31" s="199"/>
      <c r="Q31" s="3"/>
      <c r="R31" s="3"/>
      <c r="S31" s="8"/>
    </row>
    <row r="32" spans="1:19" ht="19.2" outlineLevel="1">
      <c r="A32" s="191">
        <f>A31+7</f>
        <v>42905</v>
      </c>
      <c r="B32" s="5" t="s">
        <v>334</v>
      </c>
      <c r="C32" s="5"/>
      <c r="D32" s="5"/>
      <c r="E32" s="1">
        <f>7.5*5</f>
        <v>37.5</v>
      </c>
      <c r="F32" s="3"/>
      <c r="G32" s="3"/>
      <c r="H32" s="127"/>
      <c r="I32" s="127"/>
      <c r="J32" s="65"/>
      <c r="L32" s="3"/>
      <c r="M32" s="3"/>
      <c r="N32" s="199"/>
      <c r="Q32" s="3"/>
      <c r="R32" s="3"/>
      <c r="S32" s="8"/>
    </row>
    <row r="33" spans="1:19" ht="19.2" outlineLevel="1">
      <c r="A33" s="191">
        <f>A32+7</f>
        <v>42912</v>
      </c>
      <c r="B33" s="5" t="s">
        <v>335</v>
      </c>
      <c r="C33" s="5"/>
      <c r="D33" s="5"/>
      <c r="E33" s="1">
        <f t="shared" ref="E33" si="5">7.5*5</f>
        <v>37.5</v>
      </c>
      <c r="F33" s="3"/>
      <c r="G33" s="3"/>
      <c r="H33" s="127"/>
      <c r="I33" s="127"/>
      <c r="J33" s="65"/>
      <c r="L33" s="3"/>
      <c r="M33" s="3"/>
      <c r="N33" s="199"/>
      <c r="Q33" s="3"/>
      <c r="R33" s="3"/>
      <c r="S33" s="8"/>
    </row>
    <row r="34" spans="1:19" ht="19.2">
      <c r="A34" s="30" t="s">
        <v>81</v>
      </c>
      <c r="B34" s="131">
        <f>(IF(B35&lt;&gt;"",((LEN(B35)-LEN(SUBSTITUTE(B35,",","")))+1)))+(IF(B36&lt;&gt;"",((LEN(B36)-LEN(SUBSTITUTE(B36,",","")))+1)))+(IF(B37&lt;&gt;"",((LEN(B37)-LEN(SUBSTITUTE(B37,",","")))+1)))+(IF(B38&lt;&gt;"",((LEN(B38)-LEN(SUBSTITUTE(B38,",","")))+1)))-C34-D34</f>
        <v>18</v>
      </c>
      <c r="C34" s="131">
        <f>LEN(B35)-LEN(SUBSTITUTE(UPPER(B35),"S",""))+LEN(B36)-LEN(SUBSTITUTE(UPPER(B36),"S",""))+LEN(B37)-LEN(SUBSTITUTE(UPPER(B37),"S",""))+LEN(B38)-LEN(SUBSTITUTE(UPPER(B38),"S",""))</f>
        <v>0</v>
      </c>
      <c r="D34" s="131">
        <f>LEN(B35)-LEN(SUBSTITUTE(UPPER(B35),"H",""))+LEN(B36)-LEN(SUBSTITUTE(UPPER(B36),"H",""))+LEN(B37)-LEN(SUBSTITUTE(UPPER(B37),"H",""))+LEN(B38)-LEN(SUBSTITUTE(UPPER(B38),"H",""))</f>
        <v>2</v>
      </c>
      <c r="E34" s="174">
        <f>SUM(E35:E38)</f>
        <v>135</v>
      </c>
      <c r="F34" s="3">
        <f>E34*B68</f>
        <v>1300.0500000000002</v>
      </c>
      <c r="G34" s="3">
        <f>IF((((F34-H34)/4)-155)&gt;0,((((F34-H34)/4)-155)*0.12)*4,0)</f>
        <v>80.045940000000002</v>
      </c>
      <c r="H34" s="127">
        <f>IF(B$69&lt;&gt;"N",F34*0.01,0)</f>
        <v>13.000500000000002</v>
      </c>
      <c r="I34" s="127">
        <f>IF(N34&gt;11000,(F34-(11000-N28))*0.2,0)</f>
        <v>0</v>
      </c>
      <c r="J34" s="65">
        <f>IF(F34&lt;&gt;"",F34-G34-H34-I34)+IF(F29&lt;&gt;"",F29-G29-H29-I29)+'BRI Wages 2017'!J29</f>
        <v>2516.2928144500002</v>
      </c>
      <c r="K34" s="117" t="str">
        <f>TEXT(DATE(LEFT(A$1,4),MONTH("1/"&amp;A34),"15"),"dddd") &amp; " 15th " &amp; A34</f>
        <v>Saturday 15th JUL</v>
      </c>
      <c r="L34" s="3"/>
      <c r="M34" s="200"/>
      <c r="N34" s="199">
        <f>IF(F34&lt;&gt;"",F34+N29,0)</f>
        <v>2383.4250000000002</v>
      </c>
      <c r="Q34" s="3"/>
      <c r="R34" s="3"/>
      <c r="S34" s="8"/>
    </row>
    <row r="35" spans="1:19" ht="19.2" outlineLevel="1">
      <c r="A35" s="191">
        <f>A33+7</f>
        <v>42919</v>
      </c>
      <c r="B35" s="5" t="s">
        <v>336</v>
      </c>
      <c r="C35" s="5"/>
      <c r="D35" s="5"/>
      <c r="E35" s="1">
        <f>7.5*5</f>
        <v>37.5</v>
      </c>
      <c r="F35" s="3"/>
      <c r="G35" s="3"/>
      <c r="H35" s="127"/>
      <c r="I35" s="127"/>
      <c r="J35" s="65"/>
      <c r="L35" s="3"/>
      <c r="M35" s="3"/>
      <c r="N35" s="199"/>
      <c r="Q35" s="3"/>
      <c r="R35" s="3"/>
      <c r="S35" s="8"/>
    </row>
    <row r="36" spans="1:19" ht="19.2" outlineLevel="1">
      <c r="A36" s="191">
        <f>A35+7</f>
        <v>42926</v>
      </c>
      <c r="B36" s="5" t="s">
        <v>337</v>
      </c>
      <c r="C36" s="5"/>
      <c r="D36" s="5"/>
      <c r="E36" s="1">
        <f>7.5*3</f>
        <v>22.5</v>
      </c>
      <c r="F36" s="3"/>
      <c r="G36" s="3"/>
      <c r="H36" s="127"/>
      <c r="I36" s="127"/>
      <c r="J36" s="65"/>
      <c r="L36" s="3"/>
      <c r="M36" s="3"/>
      <c r="N36" s="199"/>
      <c r="Q36" s="3"/>
      <c r="R36" s="3"/>
      <c r="S36" s="8"/>
    </row>
    <row r="37" spans="1:19" ht="19.2" outlineLevel="1">
      <c r="A37" s="191">
        <f t="shared" ref="A37:A38" si="6">A36+7</f>
        <v>42933</v>
      </c>
      <c r="B37" s="5" t="s">
        <v>268</v>
      </c>
      <c r="C37" s="5"/>
      <c r="D37" s="5"/>
      <c r="E37" s="1">
        <f>7.5*5</f>
        <v>37.5</v>
      </c>
      <c r="F37" s="3"/>
      <c r="G37" s="3"/>
      <c r="H37" s="127"/>
      <c r="I37" s="127"/>
      <c r="J37" s="65"/>
      <c r="L37" s="3"/>
      <c r="M37" s="3"/>
      <c r="N37" s="199"/>
      <c r="Q37" s="3"/>
      <c r="R37" s="3"/>
      <c r="S37" s="8"/>
    </row>
    <row r="38" spans="1:19" ht="19.2" outlineLevel="1">
      <c r="A38" s="191">
        <f t="shared" si="6"/>
        <v>42940</v>
      </c>
      <c r="B38" s="5" t="s">
        <v>269</v>
      </c>
      <c r="C38" s="5"/>
      <c r="D38" s="5"/>
      <c r="E38" s="1">
        <f>7.5*5</f>
        <v>37.5</v>
      </c>
      <c r="F38" s="3"/>
      <c r="G38" s="3"/>
      <c r="H38" s="127"/>
      <c r="I38" s="127"/>
      <c r="J38" s="65"/>
      <c r="L38" s="3"/>
      <c r="M38" s="3"/>
      <c r="N38" s="199"/>
      <c r="Q38" s="3"/>
      <c r="R38" s="3"/>
      <c r="S38" s="8"/>
    </row>
    <row r="39" spans="1:19" ht="19.2">
      <c r="A39" s="30" t="s">
        <v>89</v>
      </c>
      <c r="B39" s="131">
        <f>(IF(B40&lt;&gt;"",((LEN(B40)-LEN(SUBSTITUTE(B40,",","")))+1)))+(IF(B41&lt;&gt;"",((LEN(B41)-LEN(SUBSTITUTE(B41,",","")))+1)))+(IF(B42&lt;&gt;"",((LEN(B42)-LEN(SUBSTITUTE(B42,",","")))+1)))+(IF(B43&lt;&gt;"",((LEN(B43)-LEN(SUBSTITUTE(B43,",","")))+1)))+(IF(B44&lt;&gt;"",((LEN(B44)-LEN(SUBSTITUTE(B44,",","")))+1)))-C39-D39</f>
        <v>20</v>
      </c>
      <c r="C39" s="131">
        <f>LEN(B40)-LEN(SUBSTITUTE(UPPER(B40),"S",""))+LEN(B41)-LEN(SUBSTITUTE(UPPER(B41),"S",""))+LEN(B42)-LEN(SUBSTITUTE(UPPER(B42),"S",""))+LEN(B43)-LEN(SUBSTITUTE(UPPER(B43),"S",""))</f>
        <v>0</v>
      </c>
      <c r="D39" s="131">
        <f>LEN(B40)-LEN(SUBSTITUTE(UPPER(B40),"H",""))+LEN(B41)-LEN(SUBSTITUTE(UPPER(B41),"H",""))+LEN(B42)-LEN(SUBSTITUTE(UPPER(B42),"H",""))+LEN(B43)-LEN(SUBSTITUTE(UPPER(B43),"H",""))</f>
        <v>5</v>
      </c>
      <c r="E39" s="174">
        <f>SUM(E40:E44)</f>
        <v>150</v>
      </c>
      <c r="F39" s="3">
        <f>E39*B68</f>
        <v>1444.5000000000002</v>
      </c>
      <c r="G39" s="3">
        <f>IF((((F39-H39)/4)-155)&gt;0,((((F39-H39)/4)-155)*0.12)*4,0)</f>
        <v>97.206600000000037</v>
      </c>
      <c r="H39" s="127">
        <f>IF(B$69&lt;&gt;"N",F39*0.01,0)</f>
        <v>14.445000000000002</v>
      </c>
      <c r="I39" s="127">
        <f>IF(N39&gt;11000,(F39-(11000-N34))*0.2,0)</f>
        <v>0</v>
      </c>
      <c r="J39" s="65">
        <f>IF(F39&lt;&gt;"",F39-G39-H39-I39)+'BRI Wages 2017'!J34</f>
        <v>1415.6263241500001</v>
      </c>
      <c r="K39" s="117" t="str">
        <f>TEXT(DATE(LEFT(A$1,4),MONTH("1/"&amp;A39),"15"),"dddd") &amp; " 15th " &amp; A39</f>
        <v>Tuesday 15th AUG</v>
      </c>
      <c r="L39" s="3"/>
      <c r="M39" s="3"/>
      <c r="N39" s="199">
        <f>IF(F39&lt;&gt;"",F39+N34,0)</f>
        <v>3827.9250000000002</v>
      </c>
      <c r="Q39" s="3"/>
      <c r="R39" s="3"/>
      <c r="S39" s="8"/>
    </row>
    <row r="40" spans="1:19" ht="19.2" outlineLevel="1">
      <c r="A40" s="191">
        <f>A38+7</f>
        <v>42947</v>
      </c>
      <c r="B40" s="5" t="s">
        <v>338</v>
      </c>
      <c r="C40" s="5"/>
      <c r="D40" s="5"/>
      <c r="E40" s="1">
        <f>7.5*5</f>
        <v>37.5</v>
      </c>
      <c r="F40" s="3"/>
      <c r="G40" s="3"/>
      <c r="H40" s="127"/>
      <c r="I40" s="127"/>
      <c r="J40" s="65"/>
      <c r="L40" s="3"/>
      <c r="M40" s="3"/>
      <c r="N40" s="199"/>
      <c r="Q40" s="3"/>
      <c r="R40" s="3"/>
      <c r="S40" s="8"/>
    </row>
    <row r="41" spans="1:19" ht="19.2" outlineLevel="1">
      <c r="A41" s="191">
        <f>A40+7</f>
        <v>42954</v>
      </c>
      <c r="B41" s="5" t="s">
        <v>339</v>
      </c>
      <c r="C41" s="5"/>
      <c r="D41" s="5"/>
      <c r="E41" s="1">
        <f>7.5*5</f>
        <v>37.5</v>
      </c>
      <c r="F41" s="3"/>
      <c r="G41" s="3"/>
      <c r="H41" s="127"/>
      <c r="I41" s="127"/>
      <c r="J41" s="65"/>
      <c r="L41" s="3"/>
      <c r="M41" s="3"/>
      <c r="N41" s="199"/>
      <c r="Q41" s="3"/>
      <c r="R41" s="3"/>
      <c r="S41" s="8"/>
    </row>
    <row r="42" spans="1:19" ht="19.2" outlineLevel="1">
      <c r="A42" s="191">
        <f t="shared" ref="A42:A44" si="7">A41+7</f>
        <v>42961</v>
      </c>
      <c r="B42" s="5" t="s">
        <v>340</v>
      </c>
      <c r="C42" s="5"/>
      <c r="D42" s="5"/>
      <c r="E42" s="1">
        <f>7.5*5</f>
        <v>37.5</v>
      </c>
      <c r="F42" s="3"/>
      <c r="G42" s="3"/>
      <c r="H42" s="127"/>
      <c r="I42" s="127"/>
      <c r="J42" s="65"/>
      <c r="L42" s="3"/>
      <c r="M42" s="3"/>
      <c r="N42" s="199"/>
      <c r="Q42" s="3"/>
      <c r="R42" s="3"/>
      <c r="S42" s="8"/>
    </row>
    <row r="43" spans="1:19" ht="19.2" outlineLevel="1">
      <c r="A43" s="191">
        <f t="shared" si="7"/>
        <v>42968</v>
      </c>
      <c r="B43" s="5" t="s">
        <v>341</v>
      </c>
      <c r="C43" s="5"/>
      <c r="D43" s="5"/>
      <c r="E43" s="1"/>
      <c r="F43" s="3"/>
      <c r="G43" s="3"/>
      <c r="H43" s="127"/>
      <c r="I43" s="127"/>
      <c r="J43" s="65"/>
      <c r="L43" s="3"/>
      <c r="M43" s="3"/>
      <c r="N43" s="199"/>
      <c r="Q43" s="3"/>
      <c r="R43" s="3"/>
      <c r="S43" s="8"/>
    </row>
    <row r="44" spans="1:19" ht="19.2" outlineLevel="1">
      <c r="A44" s="191">
        <f t="shared" si="7"/>
        <v>42975</v>
      </c>
      <c r="B44" s="5" t="s">
        <v>342</v>
      </c>
      <c r="C44" s="5"/>
      <c r="D44" s="5"/>
      <c r="E44" s="1">
        <f>7.5*5</f>
        <v>37.5</v>
      </c>
      <c r="F44" s="3"/>
      <c r="G44" s="3"/>
      <c r="H44" s="127"/>
      <c r="I44" s="127"/>
      <c r="J44" s="65"/>
      <c r="L44" s="3"/>
      <c r="M44" s="3"/>
      <c r="N44" s="199"/>
      <c r="Q44" s="3"/>
      <c r="R44" s="3"/>
      <c r="S44" s="8"/>
    </row>
    <row r="45" spans="1:19" ht="19.2">
      <c r="A45" s="30" t="s">
        <v>93</v>
      </c>
      <c r="B45" s="131">
        <f>(IF(B46&lt;&gt;"",((LEN(B46)-LEN(SUBSTITUTE(B46,",","")))+1)))+(IF(B47&lt;&gt;"",((LEN(B47)-LEN(SUBSTITUTE(B47,",","")))+1)))+(IF(B48&lt;&gt;"",((LEN(B48)-LEN(SUBSTITUTE(B48,",","")))+1)))+(IF(B49&lt;&gt;"",((LEN(B49)-LEN(SUBSTITUTE(B49,",","")))+1)))</f>
        <v>0</v>
      </c>
      <c r="C45" s="131">
        <f>LEN(B46)-LEN(SUBSTITUTE(UPPER(B46),"S",""))+LEN(B47)-LEN(SUBSTITUTE(UPPER(B47),"S",""))+LEN(B48)-LEN(SUBSTITUTE(UPPER(B48),"S",""))+LEN(B49)-LEN(SUBSTITUTE(UPPER(B49),"S",""))</f>
        <v>0</v>
      </c>
      <c r="D45" s="131">
        <f>LEN(B46)-LEN(SUBSTITUTE(UPPER(B46),"H",""))+LEN(B47)-LEN(SUBSTITUTE(UPPER(B47),"H",""))+LEN(B48)-LEN(SUBSTITUTE(UPPER(B48),"H",""))+LEN(B49)-LEN(SUBSTITUTE(UPPER(B49),"H",""))</f>
        <v>0</v>
      </c>
      <c r="E45" s="174">
        <f>SUM(E46:E49)</f>
        <v>0</v>
      </c>
      <c r="F45" s="3">
        <f>E45*B68</f>
        <v>0</v>
      </c>
      <c r="G45" s="3">
        <f>IF((((F45-H45)/4)-155)&gt;0,((((F45-H45)/4)-155)*0.12)*4,0)</f>
        <v>0</v>
      </c>
      <c r="H45" s="127">
        <f>IF(B$69&lt;&gt;"N",F45*0.01,0)</f>
        <v>0</v>
      </c>
      <c r="I45" s="127">
        <f>IF(N45&gt;11000,(F45-(11000-N39))*0.2,0)</f>
        <v>0</v>
      </c>
      <c r="J45" s="65">
        <f>IF(F45&lt;&gt;"",F45-G45-H45-I45)</f>
        <v>0</v>
      </c>
      <c r="K45" s="117" t="str">
        <f>TEXT(DATE(LEFT(A$1,4),MONTH("1/"&amp;A45),"15"),"dddd") &amp; " 15th " &amp; A45</f>
        <v>Friday 15th SEP</v>
      </c>
      <c r="L45" s="3"/>
      <c r="M45" s="3"/>
      <c r="N45" s="199">
        <f>IF(F45&lt;&gt;"",F45+N39,0)</f>
        <v>3827.9250000000002</v>
      </c>
      <c r="Q45" s="3"/>
      <c r="R45" s="3"/>
      <c r="S45" s="8"/>
    </row>
    <row r="46" spans="1:19" ht="19.2" outlineLevel="1">
      <c r="A46" s="191">
        <f>A44+7</f>
        <v>42982</v>
      </c>
      <c r="B46" s="5"/>
      <c r="C46" s="5"/>
      <c r="D46" s="5"/>
      <c r="E46" s="1"/>
      <c r="F46" s="3"/>
      <c r="G46" s="3"/>
      <c r="H46" s="127"/>
      <c r="I46" s="127"/>
      <c r="J46" s="65"/>
      <c r="L46" s="3"/>
      <c r="M46" s="3"/>
      <c r="N46" s="199"/>
      <c r="Q46" s="3"/>
      <c r="R46" s="3"/>
      <c r="S46" s="8"/>
    </row>
    <row r="47" spans="1:19" ht="19.2" outlineLevel="1">
      <c r="A47" s="191">
        <f>A46+7</f>
        <v>42989</v>
      </c>
      <c r="B47" s="5"/>
      <c r="C47" s="5"/>
      <c r="D47" s="5"/>
      <c r="E47" s="1"/>
      <c r="F47" s="3"/>
      <c r="G47" s="3"/>
      <c r="H47" s="127"/>
      <c r="I47" s="127"/>
      <c r="J47" s="65"/>
      <c r="L47" s="3"/>
      <c r="M47" s="3"/>
      <c r="N47" s="199"/>
      <c r="Q47" s="3"/>
      <c r="R47" s="3"/>
      <c r="S47" s="8"/>
    </row>
    <row r="48" spans="1:19" ht="19.2" outlineLevel="1">
      <c r="A48" s="191">
        <f t="shared" ref="A48:A49" si="8">A47+7</f>
        <v>42996</v>
      </c>
      <c r="B48" s="5"/>
      <c r="C48" s="5"/>
      <c r="D48" s="5"/>
      <c r="E48" s="1"/>
      <c r="F48" s="3"/>
      <c r="G48" s="3"/>
      <c r="H48" s="127"/>
      <c r="I48" s="127"/>
      <c r="J48" s="65"/>
      <c r="L48" s="3"/>
      <c r="M48" s="3"/>
      <c r="N48" s="199"/>
      <c r="Q48" s="3"/>
      <c r="R48" s="3"/>
      <c r="S48" s="8"/>
    </row>
    <row r="49" spans="1:19" ht="19.2" outlineLevel="1">
      <c r="A49" s="191">
        <f t="shared" si="8"/>
        <v>43003</v>
      </c>
      <c r="B49" s="5"/>
      <c r="C49" s="5"/>
      <c r="D49" s="5"/>
      <c r="E49" s="1"/>
      <c r="F49" s="3"/>
      <c r="G49" s="3"/>
      <c r="H49" s="127"/>
      <c r="I49" s="127"/>
      <c r="J49" s="65"/>
      <c r="L49" s="3"/>
      <c r="M49" s="3"/>
      <c r="N49" s="199"/>
      <c r="Q49" s="3"/>
      <c r="R49" s="3"/>
      <c r="S49" s="8"/>
    </row>
    <row r="50" spans="1:19" ht="19.2">
      <c r="A50" s="30" t="s">
        <v>101</v>
      </c>
      <c r="B50" s="131">
        <f>(IF(B51&lt;&gt;"",((LEN(B51)-LEN(SUBSTITUTE(B51,",","")))+1)))+(IF(B52&lt;&gt;"",((LEN(B52)-LEN(SUBSTITUTE(B52,",","")))+1)))+(IF(B53&lt;&gt;"",((LEN(B53)-LEN(SUBSTITUTE(B53,",","")))+1)))+(IF(B54&lt;&gt;"",((LEN(B54)-LEN(SUBSTITUTE(B54,",","")))+1)))</f>
        <v>0</v>
      </c>
      <c r="C50" s="131">
        <f>LEN(B51)-LEN(SUBSTITUTE(UPPER(B51),"S",""))+LEN(B52)-LEN(SUBSTITUTE(UPPER(B52),"S",""))+LEN(B53)-LEN(SUBSTITUTE(UPPER(B53),"S",""))+LEN(B54)-LEN(SUBSTITUTE(UPPER(B54),"S",""))</f>
        <v>0</v>
      </c>
      <c r="D50" s="131">
        <f>LEN(B51)-LEN(SUBSTITUTE(UPPER(B51),"H",""))+LEN(B52)-LEN(SUBSTITUTE(UPPER(B52),"H",""))+LEN(B53)-LEN(SUBSTITUTE(UPPER(B53),"H",""))+LEN(B54)-LEN(SUBSTITUTE(UPPER(B54),"H",""))</f>
        <v>0</v>
      </c>
      <c r="E50" s="174">
        <f>SUM(E51:E54)</f>
        <v>0</v>
      </c>
      <c r="F50" s="3">
        <f>E50*B68</f>
        <v>0</v>
      </c>
      <c r="G50" s="3">
        <f>IF((((F50-H50)/4)-155)&gt;0,((((F50-H50)/4)-155)*0.12)*4,0)</f>
        <v>0</v>
      </c>
      <c r="H50" s="127">
        <f>IF(B$69&lt;&gt;"N",F50*0.01,0)</f>
        <v>0</v>
      </c>
      <c r="I50" s="127">
        <f>IF(N50&gt;11000,(F50-(11000-N45))*0.2,0)</f>
        <v>0</v>
      </c>
      <c r="J50" s="65">
        <f>IF(F50&lt;&gt;"",F50-G50-H50-I50)</f>
        <v>0</v>
      </c>
      <c r="K50" s="117" t="str">
        <f>TEXT(DATE(LEFT(A$1,4),MONTH("1/"&amp;A50),"15"),"dddd") &amp; " 15th " &amp; A50</f>
        <v>Sunday 15th OCT</v>
      </c>
      <c r="N50" s="199">
        <f>IF(F50&lt;&gt;"",F50+N45,0)</f>
        <v>3827.9250000000002</v>
      </c>
    </row>
    <row r="51" spans="1:19" ht="19.2" outlineLevel="1">
      <c r="A51" s="191">
        <f>A49+7</f>
        <v>43010</v>
      </c>
      <c r="B51" s="5"/>
      <c r="C51" s="5"/>
      <c r="D51" s="5"/>
      <c r="E51" s="1"/>
      <c r="F51" s="3"/>
      <c r="G51" s="3"/>
      <c r="H51" s="127"/>
      <c r="I51" s="127"/>
      <c r="J51" s="65"/>
      <c r="N51" s="199"/>
    </row>
    <row r="52" spans="1:19" ht="19.2" outlineLevel="1">
      <c r="A52" s="191">
        <f>A51+7</f>
        <v>43017</v>
      </c>
      <c r="B52" s="5"/>
      <c r="C52" s="5"/>
      <c r="D52" s="5"/>
      <c r="E52" s="1"/>
      <c r="F52" s="3"/>
      <c r="G52" s="3"/>
      <c r="H52" s="127"/>
      <c r="I52" s="127"/>
      <c r="J52" s="65"/>
      <c r="N52" s="199"/>
    </row>
    <row r="53" spans="1:19" ht="19.2" outlineLevel="1">
      <c r="A53" s="191">
        <f t="shared" ref="A53:A54" si="9">A52+7</f>
        <v>43024</v>
      </c>
      <c r="B53" s="5"/>
      <c r="C53" s="5"/>
      <c r="D53" s="5"/>
      <c r="E53" s="1"/>
      <c r="F53" s="3"/>
      <c r="G53" s="3"/>
      <c r="H53" s="127"/>
      <c r="I53" s="127"/>
      <c r="J53" s="65"/>
      <c r="N53" s="199"/>
    </row>
    <row r="54" spans="1:19" ht="19.2" outlineLevel="1">
      <c r="A54" s="191">
        <f t="shared" si="9"/>
        <v>43031</v>
      </c>
      <c r="B54" s="5"/>
      <c r="C54" s="5"/>
      <c r="D54" s="5"/>
      <c r="E54" s="1"/>
      <c r="F54" s="3"/>
      <c r="G54" s="3"/>
      <c r="H54" s="127"/>
      <c r="I54" s="127"/>
      <c r="J54" s="65"/>
      <c r="N54" s="199"/>
    </row>
    <row r="55" spans="1:19" ht="19.2">
      <c r="A55" s="30" t="s">
        <v>111</v>
      </c>
      <c r="B55" s="131">
        <f>(IF(B56&lt;&gt;"",((LEN(B56)-LEN(SUBSTITUTE(B56,",","")))+1)))+(IF(B57&lt;&gt;"",((LEN(B57)-LEN(SUBSTITUTE(B57,",","")))+1)))+(IF(B58&lt;&gt;"",((LEN(B58)-LEN(SUBSTITUTE(B58,",","")))+1)))+(IF(B59&lt;&gt;"",((LEN(B59)-LEN(SUBSTITUTE(B59,",","")))+1)))+(IF(B60&lt;&gt;"",((LEN(B60)-LEN(SUBSTITUTE(B60,",","")))+1)))</f>
        <v>0</v>
      </c>
      <c r="C55" s="131">
        <f>LEN(B56)-LEN(SUBSTITUTE(UPPER(B56),"S",""))+LEN(B57)-LEN(SUBSTITUTE(UPPER(B57),"S",""))+LEN(B58)-LEN(SUBSTITUTE(UPPER(B58),"S",""))+LEN(B59)-LEN(SUBSTITUTE(UPPER(B59),"S",""))</f>
        <v>0</v>
      </c>
      <c r="D55" s="131">
        <f>LEN(B56)-LEN(SUBSTITUTE(UPPER(B56),"H",""))+LEN(B57)-LEN(SUBSTITUTE(UPPER(B57),"H",""))+LEN(B58)-LEN(SUBSTITUTE(UPPER(B58),"H",""))+LEN(B59)-LEN(SUBSTITUTE(UPPER(B59),"H",""))</f>
        <v>0</v>
      </c>
      <c r="E55" s="174">
        <f>SUM(E56:E60)</f>
        <v>0</v>
      </c>
      <c r="F55" s="3">
        <f>E55*B68</f>
        <v>0</v>
      </c>
      <c r="G55" s="3">
        <f>IF((((F55-H55)/4)-155)&gt;0,((((F55-H55)/4)-155)*0.12)*4,0)</f>
        <v>0</v>
      </c>
      <c r="H55" s="127">
        <f>IF(B$69&lt;&gt;"N",F55*0.01,0)</f>
        <v>0</v>
      </c>
      <c r="I55" s="127">
        <f>IF(N55&gt;11000,(F55-(11000-N50))*0.2,0)</f>
        <v>0</v>
      </c>
      <c r="J55" s="65">
        <f>IF(F55&lt;&gt;"",F55-G55-H55-I55)</f>
        <v>0</v>
      </c>
      <c r="K55" s="117" t="str">
        <f>TEXT(DATE(LEFT(A$1,4),MONTH("1/"&amp;A55),"15"),"dddd") &amp; " 15th " &amp; A55</f>
        <v>Wednesday 15th NOV</v>
      </c>
      <c r="N55" s="199">
        <f>IF(F55&lt;&gt;"",F55+N50,0)</f>
        <v>3827.9250000000002</v>
      </c>
    </row>
    <row r="56" spans="1:19" ht="19.2" outlineLevel="1">
      <c r="A56" s="191">
        <f>A54+7</f>
        <v>43038</v>
      </c>
      <c r="B56" s="5"/>
      <c r="C56" s="5"/>
      <c r="D56" s="5"/>
      <c r="E56" s="1"/>
      <c r="F56" s="3"/>
      <c r="G56" s="3"/>
      <c r="H56" s="127"/>
      <c r="I56" s="127"/>
      <c r="J56" s="65"/>
      <c r="N56" s="199"/>
    </row>
    <row r="57" spans="1:19" ht="19.2" outlineLevel="1">
      <c r="A57" s="191">
        <f>A56+7</f>
        <v>43045</v>
      </c>
      <c r="B57" s="5"/>
      <c r="C57" s="5"/>
      <c r="D57" s="5"/>
      <c r="E57" s="1"/>
      <c r="F57" s="3"/>
      <c r="G57" s="3"/>
      <c r="H57" s="127"/>
      <c r="I57" s="127"/>
      <c r="J57" s="65"/>
      <c r="N57" s="199"/>
    </row>
    <row r="58" spans="1:19" ht="19.2" outlineLevel="1">
      <c r="A58" s="191">
        <f t="shared" ref="A58:A60" si="10">A57+7</f>
        <v>43052</v>
      </c>
      <c r="B58" s="5"/>
      <c r="C58" s="5"/>
      <c r="D58" s="5"/>
      <c r="E58" s="1"/>
      <c r="F58" s="3"/>
      <c r="G58" s="3"/>
      <c r="H58" s="127"/>
      <c r="I58" s="127"/>
      <c r="J58" s="65"/>
      <c r="N58" s="199"/>
    </row>
    <row r="59" spans="1:19" ht="19.2" outlineLevel="1">
      <c r="A59" s="191">
        <f t="shared" si="10"/>
        <v>43059</v>
      </c>
      <c r="B59" s="5"/>
      <c r="C59" s="5"/>
      <c r="D59" s="5"/>
      <c r="E59" s="1"/>
      <c r="F59" s="3"/>
      <c r="G59" s="3"/>
      <c r="H59" s="127"/>
      <c r="I59" s="127"/>
      <c r="J59" s="65"/>
      <c r="N59" s="199"/>
    </row>
    <row r="60" spans="1:19" ht="19.2" outlineLevel="1">
      <c r="A60" s="191">
        <f t="shared" si="10"/>
        <v>43066</v>
      </c>
      <c r="B60" s="5"/>
      <c r="C60" s="5"/>
      <c r="D60" s="5"/>
      <c r="E60" s="1"/>
      <c r="F60" s="3"/>
      <c r="G60" s="3"/>
      <c r="H60" s="127"/>
      <c r="I60" s="127"/>
      <c r="J60" s="65"/>
      <c r="N60" s="199"/>
    </row>
    <row r="61" spans="1:19" ht="19.2">
      <c r="A61" s="30" t="s">
        <v>118</v>
      </c>
      <c r="B61" s="131">
        <f>(IF(B62&lt;&gt;"",((LEN(B62)-LEN(SUBSTITUTE(B62,",","")))+1)))+(IF(B63&lt;&gt;"",((LEN(B63)-LEN(SUBSTITUTE(B63,",","")))+1)))+(IF(B64&lt;&gt;"",((LEN(B64)-LEN(SUBSTITUTE(B64,",","")))+1)))+(IF(B65&lt;&gt;"",((LEN(B65)-LEN(SUBSTITUTE(B65,",","")))+1)))</f>
        <v>0</v>
      </c>
      <c r="C61" s="131">
        <f>LEN(B62)-LEN(SUBSTITUTE(UPPER(B62),"S",""))+LEN(B63)-LEN(SUBSTITUTE(UPPER(B63),"S",""))+LEN(B64)-LEN(SUBSTITUTE(UPPER(B64),"S",""))+LEN(B65)-LEN(SUBSTITUTE(UPPER(B65),"S",""))</f>
        <v>0</v>
      </c>
      <c r="D61" s="131">
        <f>LEN(B62)-LEN(SUBSTITUTE(UPPER(B62),"H",""))+LEN(B63)-LEN(SUBSTITUTE(UPPER(B63),"H",""))+LEN(B64)-LEN(SUBSTITUTE(UPPER(B64),"H",""))+LEN(B65)-LEN(SUBSTITUTE(UPPER(B65),"H",""))</f>
        <v>0</v>
      </c>
      <c r="E61" s="174">
        <f>SUM(E62:E65)</f>
        <v>0</v>
      </c>
      <c r="F61" s="3">
        <f>E61*B68</f>
        <v>0</v>
      </c>
      <c r="G61" s="3">
        <f>IF((((F61-H61)/4)-155)&gt;0,((((F61-H61)/4)-155)*0.12)*4,0)</f>
        <v>0</v>
      </c>
      <c r="H61" s="127">
        <f>IF(B$69&lt;&gt;"N",F61*0.01,0)</f>
        <v>0</v>
      </c>
      <c r="I61" s="127">
        <f>IF(N61&gt;11000,(F61-(11000-N56))*0.2,0)</f>
        <v>0</v>
      </c>
      <c r="J61" s="65">
        <f>IF(F61&lt;&gt;"",F61-G61-H61-I61)</f>
        <v>0</v>
      </c>
      <c r="K61" s="117" t="str">
        <f>TEXT(DATE(LEFT(A$1,4),MONTH("1/"&amp;A61),"15"),"dddd") &amp; " 15th " &amp; A61</f>
        <v>Friday 15th DEC</v>
      </c>
      <c r="N61" s="199">
        <f>IF(F61&lt;&gt;"",F61+N55,0)</f>
        <v>3827.9250000000002</v>
      </c>
    </row>
    <row r="62" spans="1:19" ht="19.2" outlineLevel="1">
      <c r="A62" s="191">
        <f>A60+7</f>
        <v>43073</v>
      </c>
      <c r="B62" s="5"/>
      <c r="C62" s="5"/>
      <c r="D62" s="5"/>
      <c r="E62" s="1"/>
      <c r="F62" s="3"/>
      <c r="G62" s="3"/>
      <c r="H62" s="3"/>
      <c r="I62" s="3"/>
      <c r="J62" s="65"/>
      <c r="N62" s="115"/>
    </row>
    <row r="63" spans="1:19" ht="19.2" outlineLevel="1">
      <c r="A63" s="191">
        <f>A62+7</f>
        <v>43080</v>
      </c>
      <c r="B63" s="5"/>
      <c r="C63" s="5"/>
      <c r="D63" s="5"/>
      <c r="E63" s="1"/>
      <c r="F63" s="3"/>
      <c r="G63" s="3"/>
      <c r="H63" s="3"/>
      <c r="I63" s="3"/>
      <c r="J63" s="65"/>
      <c r="N63" s="115"/>
    </row>
    <row r="64" spans="1:19" ht="19.2" outlineLevel="1">
      <c r="A64" s="191">
        <f t="shared" ref="A64:A65" si="11">A63+7</f>
        <v>43087</v>
      </c>
      <c r="B64" s="5"/>
      <c r="C64" s="5"/>
      <c r="D64" s="5"/>
      <c r="E64" s="1"/>
      <c r="F64" s="3"/>
      <c r="G64" s="3"/>
      <c r="H64" s="3"/>
      <c r="I64" s="3"/>
      <c r="J64" s="65"/>
      <c r="N64" s="115"/>
    </row>
    <row r="65" spans="1:14" ht="19.2" outlineLevel="1">
      <c r="A65" s="191">
        <f t="shared" si="11"/>
        <v>43094</v>
      </c>
      <c r="B65" s="5"/>
      <c r="C65" s="5"/>
      <c r="D65" s="5"/>
      <c r="E65" s="1"/>
      <c r="F65" s="3"/>
      <c r="G65" s="3"/>
      <c r="H65" s="3"/>
      <c r="I65" s="3"/>
      <c r="J65" s="65"/>
      <c r="N65" s="115"/>
    </row>
    <row r="66" spans="1:14" s="195" customFormat="1" ht="14.4">
      <c r="A66" s="203"/>
      <c r="B66" s="196"/>
      <c r="C66" s="196"/>
      <c r="D66" s="196"/>
      <c r="E66" s="196"/>
      <c r="G66" s="198" t="str">
        <f>"SUM: " &amp; ROUND(SUM(G2:G61),2)</f>
        <v>SUM: 231.56</v>
      </c>
      <c r="H66" s="198" t="str">
        <f>"SUM: " &amp; ROUND(SUM(H2:H61),2)</f>
        <v>SUM: 38.28</v>
      </c>
      <c r="I66" s="198" t="str">
        <f>"SUM: " &amp; ROUND(SUM(I2:I61),2)</f>
        <v>SUM: 0</v>
      </c>
      <c r="J66" s="197" t="str">
        <f>"SUM: " &amp; ROUND(SUM(J2:J61),2)</f>
        <v>SUM: 4306.12</v>
      </c>
      <c r="K66" s="196"/>
      <c r="L66" s="195" t="str">
        <f>"SUM: " &amp; ROUND(SUM(L2:L61),2)</f>
        <v>SUM: 0</v>
      </c>
    </row>
    <row r="67" spans="1:14" s="195" customFormat="1" ht="14.4">
      <c r="B67" s="196"/>
      <c r="C67" s="196"/>
      <c r="D67" s="196"/>
      <c r="E67" s="196"/>
      <c r="G67" s="198"/>
      <c r="H67" s="198"/>
      <c r="I67" s="198"/>
      <c r="J67" s="197"/>
      <c r="K67" s="196"/>
    </row>
    <row r="68" spans="1:14">
      <c r="A68" s="30" t="s">
        <v>210</v>
      </c>
      <c r="B68" s="45">
        <v>9.6300000000000008</v>
      </c>
      <c r="C68" s="45"/>
      <c r="D68" s="45"/>
      <c r="E68" s="1"/>
      <c r="F68" s="114"/>
    </row>
    <row r="69" spans="1:14">
      <c r="A69" s="129" t="s">
        <v>212</v>
      </c>
      <c r="B69" s="4" t="s">
        <v>20</v>
      </c>
      <c r="C69" s="4"/>
      <c r="D69" s="4"/>
      <c r="H69" s="11"/>
      <c r="I69" s="11"/>
      <c r="L69" s="42"/>
      <c r="M69" s="42"/>
    </row>
    <row r="70" spans="1:14">
      <c r="A70" t="s">
        <v>343</v>
      </c>
      <c r="B70" s="4">
        <f>30-SUM(D2:D65)</f>
        <v>23</v>
      </c>
      <c r="C70" s="4"/>
      <c r="D70" s="4"/>
      <c r="L70" s="42"/>
      <c r="M70" s="42"/>
    </row>
    <row r="71" spans="1:14">
      <c r="A71" t="s">
        <v>344</v>
      </c>
      <c r="B71" s="209">
        <f>30-SUM(C2:C65)</f>
        <v>29</v>
      </c>
      <c r="C71" s="57"/>
      <c r="D71" s="57" t="s">
        <v>345</v>
      </c>
      <c r="E71">
        <f>(18772/52)*4</f>
        <v>1444</v>
      </c>
      <c r="F71" s="11">
        <f>(18772/52)*3</f>
        <v>1083</v>
      </c>
      <c r="G71" s="11">
        <f>E71+F71</f>
        <v>2527</v>
      </c>
      <c r="L71" s="42"/>
      <c r="M71" s="42"/>
    </row>
    <row r="72" spans="1:14">
      <c r="B72" s="57"/>
      <c r="C72" s="57"/>
      <c r="D72" s="57" t="s">
        <v>346</v>
      </c>
      <c r="E72">
        <v>1337</v>
      </c>
      <c r="H72" s="11"/>
      <c r="I72" s="11"/>
      <c r="L72" s="42"/>
      <c r="M72" s="42"/>
    </row>
    <row r="73" spans="1:14">
      <c r="E73" s="1"/>
      <c r="F73" s="3"/>
      <c r="L73" s="42"/>
      <c r="M73" s="42"/>
    </row>
    <row r="74" spans="1:14">
      <c r="F74" s="68"/>
      <c r="L74" s="42"/>
      <c r="M74" s="42"/>
    </row>
    <row r="75" spans="1:14">
      <c r="B75" s="4"/>
      <c r="C75" s="4"/>
      <c r="D75" s="4"/>
      <c r="L75" s="42"/>
      <c r="M75" s="42"/>
    </row>
    <row r="76" spans="1:14">
      <c r="B76" s="4"/>
      <c r="C76" s="4"/>
      <c r="D76" s="4"/>
    </row>
    <row r="77" spans="1:14">
      <c r="B77" s="57"/>
      <c r="C77" s="57"/>
      <c r="D77" s="57"/>
    </row>
    <row r="78" spans="1:14">
      <c r="B78" s="57"/>
      <c r="C78" s="57"/>
      <c r="D78" s="57"/>
    </row>
    <row r="79" spans="1:14">
      <c r="B79" s="57"/>
      <c r="C79" s="57"/>
      <c r="D79" s="57"/>
    </row>
    <row r="80" spans="1:14">
      <c r="B80" s="55"/>
      <c r="C80" s="55"/>
      <c r="D80" s="55"/>
    </row>
    <row r="81" spans="1:4">
      <c r="B81" s="4"/>
      <c r="C81" s="4"/>
      <c r="D81" s="4"/>
    </row>
    <row r="82" spans="1:4">
      <c r="B82" s="4"/>
      <c r="C82" s="4"/>
      <c r="D82" s="4"/>
    </row>
    <row r="83" spans="1:4">
      <c r="B83" s="57"/>
      <c r="C83" s="57"/>
      <c r="D83" s="57"/>
    </row>
    <row r="84" spans="1:4">
      <c r="B84" s="57"/>
      <c r="C84" s="57"/>
      <c r="D84" s="57"/>
    </row>
    <row r="85" spans="1:4">
      <c r="B85" s="57"/>
      <c r="C85" s="57"/>
      <c r="D85" s="57"/>
    </row>
    <row r="86" spans="1:4">
      <c r="B86" s="55"/>
      <c r="C86" s="55"/>
      <c r="D86" s="55"/>
    </row>
    <row r="89" spans="1:4">
      <c r="A89" s="56"/>
      <c r="B89" s="55"/>
      <c r="C89" s="55"/>
      <c r="D89" s="55"/>
    </row>
    <row r="90" spans="1:4">
      <c r="A90" s="56"/>
      <c r="B90" s="55"/>
      <c r="C90" s="55"/>
      <c r="D90" s="55"/>
    </row>
    <row r="91" spans="1:4">
      <c r="A91" s="56"/>
      <c r="B91" s="55"/>
      <c r="C91" s="55"/>
      <c r="D91" s="55"/>
    </row>
    <row r="92" spans="1:4">
      <c r="A92" s="56"/>
      <c r="B92" s="55"/>
      <c r="C92" s="55"/>
      <c r="D92" s="55"/>
    </row>
    <row r="93" spans="1:4">
      <c r="A93" s="56"/>
      <c r="B93" s="55"/>
      <c r="C93" s="55"/>
      <c r="D93" s="55"/>
    </row>
    <row r="94" spans="1:4">
      <c r="A94" s="56"/>
      <c r="B94" s="55"/>
      <c r="C94" s="55"/>
      <c r="D94" s="55"/>
    </row>
    <row r="95" spans="1:4">
      <c r="A95" s="56"/>
      <c r="B95" s="55"/>
      <c r="C95" s="55"/>
      <c r="D95" s="55"/>
    </row>
    <row r="96" spans="1:4">
      <c r="A96" s="56"/>
      <c r="B96" s="55"/>
      <c r="C96" s="55"/>
      <c r="D96" s="55"/>
    </row>
    <row r="97" spans="1:4">
      <c r="A97" s="56"/>
      <c r="B97" s="55"/>
      <c r="C97" s="55"/>
      <c r="D97" s="55"/>
    </row>
    <row r="98" spans="1:4">
      <c r="A98" s="56"/>
      <c r="B98" s="55"/>
      <c r="C98" s="55"/>
      <c r="D98" s="55"/>
    </row>
    <row r="99" spans="1:4">
      <c r="A99" s="56"/>
      <c r="B99" s="55"/>
      <c r="C99" s="55"/>
      <c r="D99" s="55"/>
    </row>
    <row r="100" spans="1:4">
      <c r="A100" s="56"/>
      <c r="B100" s="55"/>
      <c r="C100" s="55"/>
      <c r="D100" s="55"/>
    </row>
    <row r="101" spans="1:4">
      <c r="A101" s="56"/>
      <c r="B101" s="55"/>
      <c r="C101" s="55"/>
      <c r="D101" s="55"/>
    </row>
    <row r="102" spans="1:4">
      <c r="A102" s="56"/>
      <c r="B102" s="55"/>
      <c r="C102" s="55"/>
      <c r="D102" s="55"/>
    </row>
  </sheetData>
  <conditionalFormatting sqref="L2 L21">
    <cfRule type="cellIs" dxfId="402" priority="1" operator="greaterThan">
      <formula>0</formula>
    </cfRule>
  </conditionalFormatting>
  <pageMargins left="0" right="0" top="0" bottom="0" header="0" footer="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
  <dimension ref="A1:V101"/>
  <sheetViews>
    <sheetView workbookViewId="0"/>
  </sheetViews>
  <sheetFormatPr defaultColWidth="8.44140625" defaultRowHeight="14.4" outlineLevelRow="2"/>
  <cols>
    <col min="1" max="1" width="26.109375" style="217" customWidth="1"/>
    <col min="2" max="2" width="12.109375" style="79" customWidth="1"/>
    <col min="3" max="3" width="14.44140625" style="79" customWidth="1"/>
    <col min="4" max="4" width="16" style="79" customWidth="1"/>
    <col min="5" max="5" width="21" style="221" customWidth="1"/>
    <col min="6" max="6" width="10.33203125" bestFit="1" customWidth="1"/>
    <col min="7" max="7" width="16" customWidth="1"/>
    <col min="9" max="9" width="13.44140625" customWidth="1"/>
    <col min="11" max="11" width="13" customWidth="1"/>
    <col min="12" max="12" width="11.44140625" customWidth="1"/>
    <col min="13" max="13" width="9.6640625" customWidth="1"/>
    <col min="15" max="15" width="16.109375" customWidth="1"/>
    <col min="16" max="16" width="9.33203125" customWidth="1"/>
    <col min="19" max="19" width="12" customWidth="1"/>
    <col min="20" max="20" width="13.44140625" customWidth="1"/>
    <col min="22" max="22" width="11.109375" customWidth="1"/>
  </cols>
  <sheetData>
    <row r="1" spans="1:20" ht="18">
      <c r="A1" s="219"/>
      <c r="B1" s="223" t="s">
        <v>347</v>
      </c>
      <c r="C1" s="223" t="s">
        <v>132</v>
      </c>
      <c r="D1" s="223" t="s">
        <v>348</v>
      </c>
      <c r="E1" s="220"/>
    </row>
    <row r="2" spans="1:20" s="212" customFormat="1" ht="18">
      <c r="A2" s="227" t="s">
        <v>349</v>
      </c>
      <c r="B2" s="224"/>
      <c r="C2" s="225">
        <f>SUM(C3:C15)</f>
        <v>1747.99</v>
      </c>
      <c r="D2" s="225">
        <f>SUM(D3:D15)</f>
        <v>21216.38</v>
      </c>
      <c r="E2" s="228" t="str">
        <f t="shared" ref="E2:E29" si="0">A2</f>
        <v>Joint</v>
      </c>
      <c r="L2"/>
      <c r="M2"/>
    </row>
    <row r="3" spans="1:20" ht="18" outlineLevel="1">
      <c r="A3" s="216" t="s">
        <v>350</v>
      </c>
      <c r="B3" s="296"/>
      <c r="C3" s="33">
        <v>750</v>
      </c>
      <c r="D3" s="33">
        <f>C3*12</f>
        <v>9000</v>
      </c>
      <c r="E3" s="221" t="str">
        <f t="shared" si="0"/>
        <v>Mortgage/Bills</v>
      </c>
      <c r="F3" s="11"/>
      <c r="G3" s="11"/>
    </row>
    <row r="4" spans="1:20" ht="18" outlineLevel="1">
      <c r="A4" s="216" t="s">
        <v>351</v>
      </c>
      <c r="B4" s="296"/>
      <c r="C4" s="33">
        <v>200</v>
      </c>
      <c r="D4" s="33">
        <f>C4*12</f>
        <v>2400</v>
      </c>
      <c r="E4" s="221" t="str">
        <f t="shared" si="0"/>
        <v>Equity loan</v>
      </c>
      <c r="F4" s="11"/>
    </row>
    <row r="5" spans="1:20" ht="18" outlineLevel="1">
      <c r="A5" s="216" t="s">
        <v>352</v>
      </c>
      <c r="B5" s="296"/>
      <c r="C5" s="33">
        <f>ROUND(D5/12,0)</f>
        <v>8</v>
      </c>
      <c r="D5" s="33">
        <v>95</v>
      </c>
      <c r="E5" s="221" t="str">
        <f t="shared" si="0"/>
        <v>Landscape</v>
      </c>
      <c r="F5" s="11"/>
      <c r="N5" s="746"/>
    </row>
    <row r="6" spans="1:20" ht="18" outlineLevel="1">
      <c r="A6" s="216" t="s">
        <v>353</v>
      </c>
      <c r="B6" s="296">
        <v>60</v>
      </c>
      <c r="C6" s="33">
        <v>240</v>
      </c>
      <c r="D6" s="33">
        <f>B6*52</f>
        <v>3120</v>
      </c>
      <c r="E6" s="221" t="str">
        <f t="shared" si="0"/>
        <v>Food/Toiletries/Bunnies</v>
      </c>
      <c r="F6" s="11"/>
      <c r="N6" s="746"/>
    </row>
    <row r="7" spans="1:20" ht="18" outlineLevel="1">
      <c r="A7" s="216" t="s">
        <v>354</v>
      </c>
      <c r="B7" s="296"/>
      <c r="C7" s="33">
        <v>225</v>
      </c>
      <c r="D7" s="33">
        <f>C7*12</f>
        <v>2700</v>
      </c>
      <c r="E7" s="221" t="str">
        <f t="shared" si="0"/>
        <v>Holiday</v>
      </c>
      <c r="F7" s="11"/>
      <c r="I7" s="231"/>
    </row>
    <row r="8" spans="1:20" ht="18" outlineLevel="1">
      <c r="A8" s="216" t="s">
        <v>355</v>
      </c>
      <c r="B8" s="296"/>
      <c r="C8" s="33">
        <v>125</v>
      </c>
      <c r="D8" s="33">
        <f t="shared" ref="D8:D11" si="1">C8*12</f>
        <v>1500</v>
      </c>
      <c r="E8" s="221" t="str">
        <f t="shared" si="0"/>
        <v>Birthday/Christmas Gifts</v>
      </c>
      <c r="F8" s="11"/>
    </row>
    <row r="9" spans="1:20" ht="18" outlineLevel="1">
      <c r="A9" s="216" t="s">
        <v>356</v>
      </c>
      <c r="B9" s="296"/>
      <c r="C9" s="33">
        <v>100</v>
      </c>
      <c r="D9" s="33">
        <f t="shared" si="1"/>
        <v>1200</v>
      </c>
      <c r="E9" s="221" t="str">
        <f t="shared" si="0"/>
        <v xml:space="preserve">Contingency </v>
      </c>
      <c r="F9" s="11"/>
    </row>
    <row r="10" spans="1:20" ht="18" outlineLevel="1">
      <c r="A10" s="216" t="s">
        <v>357</v>
      </c>
      <c r="B10" s="296"/>
      <c r="C10" s="33">
        <v>35</v>
      </c>
      <c r="D10" s="33">
        <f t="shared" si="1"/>
        <v>420</v>
      </c>
      <c r="E10" s="221" t="str">
        <f t="shared" si="0"/>
        <v>Broadband/TV</v>
      </c>
      <c r="F10" s="11"/>
    </row>
    <row r="11" spans="1:20" ht="18" outlineLevel="1">
      <c r="A11" s="216" t="s">
        <v>358</v>
      </c>
      <c r="B11" s="296"/>
      <c r="C11" s="33">
        <v>40</v>
      </c>
      <c r="D11" s="33">
        <f t="shared" si="1"/>
        <v>480</v>
      </c>
      <c r="E11" s="221" t="str">
        <f t="shared" si="0"/>
        <v>Home / Content/ life ins.</v>
      </c>
      <c r="F11" s="11"/>
    </row>
    <row r="12" spans="1:20" ht="18" outlineLevel="1">
      <c r="A12" s="216" t="s">
        <v>359</v>
      </c>
      <c r="B12" s="296"/>
      <c r="C12" s="33">
        <f>ROUND(D12/12,0)</f>
        <v>12</v>
      </c>
      <c r="D12" s="33">
        <v>145.5</v>
      </c>
      <c r="E12" s="221" t="str">
        <f t="shared" si="0"/>
        <v>TV License</v>
      </c>
      <c r="F12" s="11"/>
      <c r="L12" s="78"/>
      <c r="M12" s="78"/>
      <c r="N12" s="78"/>
    </row>
    <row r="13" spans="1:20" ht="18" outlineLevel="1">
      <c r="A13" s="216" t="s">
        <v>360</v>
      </c>
      <c r="B13" s="296"/>
      <c r="C13" s="33">
        <v>0</v>
      </c>
      <c r="D13" s="33">
        <f>C13*12</f>
        <v>0</v>
      </c>
      <c r="E13" s="221" t="str">
        <f t="shared" si="0"/>
        <v>NowTV</v>
      </c>
      <c r="F13" s="11"/>
      <c r="K13" s="734"/>
      <c r="L13" t="s">
        <v>9</v>
      </c>
      <c r="O13" t="s">
        <v>361</v>
      </c>
      <c r="P13" s="232"/>
    </row>
    <row r="14" spans="1:20" ht="18" outlineLevel="1">
      <c r="A14" s="216" t="s">
        <v>181</v>
      </c>
      <c r="B14" s="296"/>
      <c r="C14" s="33">
        <v>7.99</v>
      </c>
      <c r="D14" s="33">
        <f>C14*12</f>
        <v>95.88</v>
      </c>
      <c r="E14" s="221" t="str">
        <f t="shared" si="0"/>
        <v>Onedrive</v>
      </c>
      <c r="F14" s="11"/>
      <c r="J14" s="212"/>
      <c r="K14" s="734"/>
      <c r="L14">
        <v>8703.16</v>
      </c>
      <c r="M14" t="s">
        <v>362</v>
      </c>
      <c r="O14">
        <v>1350</v>
      </c>
      <c r="P14" s="212" t="s">
        <v>363</v>
      </c>
      <c r="S14" s="212" t="s">
        <v>364</v>
      </c>
    </row>
    <row r="15" spans="1:20" ht="18" outlineLevel="1">
      <c r="A15" s="216" t="s">
        <v>365</v>
      </c>
      <c r="B15" s="296"/>
      <c r="C15" s="33">
        <v>5</v>
      </c>
      <c r="D15" s="33">
        <f>C15*12</f>
        <v>60</v>
      </c>
      <c r="E15" s="221" t="str">
        <f t="shared" si="0"/>
        <v>Apple Music</v>
      </c>
      <c r="F15" s="11"/>
      <c r="K15" s="734"/>
      <c r="L15">
        <v>230</v>
      </c>
      <c r="M15" t="s">
        <v>366</v>
      </c>
      <c r="O15">
        <v>80</v>
      </c>
      <c r="P15" t="s">
        <v>367</v>
      </c>
      <c r="S15">
        <v>984.5</v>
      </c>
      <c r="T15" t="s">
        <v>368</v>
      </c>
    </row>
    <row r="16" spans="1:20" s="212" customFormat="1" ht="18">
      <c r="A16" s="227" t="s">
        <v>125</v>
      </c>
      <c r="B16" s="225"/>
      <c r="C16" s="225">
        <f>SUM(C17:C22)</f>
        <v>88</v>
      </c>
      <c r="D16" s="225">
        <f>SUM(D17:D22)</f>
        <v>1056</v>
      </c>
      <c r="E16" s="228" t="str">
        <f t="shared" si="0"/>
        <v>Kristine</v>
      </c>
      <c r="F16" s="213"/>
      <c r="G16"/>
      <c r="H16"/>
      <c r="I16" s="231"/>
      <c r="J16"/>
      <c r="K16" s="734"/>
      <c r="L16">
        <v>320</v>
      </c>
      <c r="M16" t="s">
        <v>369</v>
      </c>
      <c r="N16"/>
      <c r="O16" s="212">
        <v>200</v>
      </c>
      <c r="P16" t="s">
        <v>370</v>
      </c>
      <c r="Q16"/>
      <c r="S16">
        <v>0</v>
      </c>
      <c r="T16" t="s">
        <v>371</v>
      </c>
    </row>
    <row r="17" spans="1:22" ht="19.5" hidden="1" customHeight="1" outlineLevel="2">
      <c r="A17" s="216" t="s">
        <v>372</v>
      </c>
      <c r="B17" s="296"/>
      <c r="C17" s="296">
        <f>D17/12</f>
        <v>0</v>
      </c>
      <c r="D17" s="296">
        <v>0</v>
      </c>
      <c r="E17" s="221" t="str">
        <f t="shared" si="0"/>
        <v>K Car ins.</v>
      </c>
      <c r="F17" s="11"/>
      <c r="K17" s="734"/>
      <c r="V17" s="212"/>
    </row>
    <row r="18" spans="1:22" ht="19.5" hidden="1" customHeight="1" outlineLevel="2">
      <c r="A18" s="216" t="s">
        <v>373</v>
      </c>
      <c r="B18" s="296"/>
      <c r="C18" s="296">
        <v>0</v>
      </c>
      <c r="D18" s="296">
        <v>0</v>
      </c>
      <c r="E18" s="221" t="str">
        <f t="shared" si="0"/>
        <v>K car petrol</v>
      </c>
      <c r="F18" s="11"/>
      <c r="K18" s="734"/>
      <c r="V18" s="212"/>
    </row>
    <row r="19" spans="1:22" ht="19.5" hidden="1" customHeight="1" outlineLevel="2">
      <c r="A19" s="216" t="s">
        <v>374</v>
      </c>
      <c r="B19" s="296"/>
      <c r="C19" s="296">
        <f>D19/12</f>
        <v>0</v>
      </c>
      <c r="D19" s="296">
        <v>0</v>
      </c>
      <c r="E19" s="221" t="str">
        <f t="shared" si="0"/>
        <v>K car vtax.</v>
      </c>
      <c r="F19" s="11"/>
      <c r="K19" s="734"/>
      <c r="V19" s="212"/>
    </row>
    <row r="20" spans="1:22" ht="18" outlineLevel="1" collapsed="1">
      <c r="A20" s="216" t="s">
        <v>375</v>
      </c>
      <c r="B20" s="296"/>
      <c r="C20" s="33">
        <v>60</v>
      </c>
      <c r="D20" s="33">
        <f>C20*12</f>
        <v>720</v>
      </c>
      <c r="E20" s="221" t="str">
        <f t="shared" si="0"/>
        <v>K Other</v>
      </c>
      <c r="F20" s="11"/>
      <c r="K20" s="734"/>
      <c r="L20">
        <v>350</v>
      </c>
      <c r="M20" t="s">
        <v>376</v>
      </c>
      <c r="O20">
        <v>300</v>
      </c>
      <c r="P20" t="s">
        <v>377</v>
      </c>
      <c r="S20">
        <v>367.5</v>
      </c>
      <c r="T20" t="s">
        <v>378</v>
      </c>
      <c r="V20" s="212"/>
    </row>
    <row r="21" spans="1:22" ht="18" outlineLevel="1">
      <c r="A21" s="216" t="s">
        <v>177</v>
      </c>
      <c r="B21" s="296"/>
      <c r="C21" s="33">
        <v>16</v>
      </c>
      <c r="D21" s="33">
        <f>C21*12</f>
        <v>192</v>
      </c>
      <c r="E21" s="221" t="str">
        <f t="shared" si="0"/>
        <v>Gym</v>
      </c>
      <c r="F21" s="11"/>
      <c r="G21" s="213"/>
      <c r="H21" s="212"/>
      <c r="I21" s="212"/>
      <c r="K21" s="734"/>
      <c r="L21">
        <v>100</v>
      </c>
      <c r="M21" t="s">
        <v>122</v>
      </c>
      <c r="O21">
        <v>300</v>
      </c>
      <c r="P21" t="s">
        <v>379</v>
      </c>
      <c r="S21">
        <v>300</v>
      </c>
      <c r="T21" t="s">
        <v>290</v>
      </c>
      <c r="V21" s="212"/>
    </row>
    <row r="22" spans="1:22" ht="18" outlineLevel="1">
      <c r="A22" s="216" t="s">
        <v>380</v>
      </c>
      <c r="B22" s="296"/>
      <c r="C22" s="33">
        <v>12</v>
      </c>
      <c r="D22" s="33">
        <f>C22*12</f>
        <v>144</v>
      </c>
      <c r="E22" s="221" t="str">
        <f t="shared" si="0"/>
        <v>K Phone</v>
      </c>
      <c r="F22" s="11"/>
      <c r="K22" s="734"/>
      <c r="L22">
        <v>50</v>
      </c>
      <c r="M22" t="s">
        <v>122</v>
      </c>
      <c r="O22">
        <v>200</v>
      </c>
      <c r="P22" t="s">
        <v>381</v>
      </c>
      <c r="S22">
        <v>0</v>
      </c>
      <c r="T22" t="s">
        <v>382</v>
      </c>
      <c r="V22" s="212"/>
    </row>
    <row r="23" spans="1:22" ht="18">
      <c r="A23" s="227" t="s">
        <v>383</v>
      </c>
      <c r="B23" s="225"/>
      <c r="C23" s="225">
        <f>SUM(C24:C29)</f>
        <v>351.14000000000004</v>
      </c>
      <c r="D23" s="225">
        <f>SUM(D24:D29)</f>
        <v>4413.68</v>
      </c>
      <c r="E23" s="228" t="str">
        <f t="shared" si="0"/>
        <v>Matt</v>
      </c>
      <c r="F23" s="11"/>
      <c r="I23" s="212"/>
      <c r="L23">
        <v>150</v>
      </c>
      <c r="M23" t="s">
        <v>122</v>
      </c>
      <c r="P23" t="s">
        <v>384</v>
      </c>
      <c r="S23">
        <v>1000</v>
      </c>
      <c r="T23" t="s">
        <v>385</v>
      </c>
      <c r="V23" s="212"/>
    </row>
    <row r="24" spans="1:22" ht="18" outlineLevel="2">
      <c r="A24" s="216" t="s">
        <v>386</v>
      </c>
      <c r="B24" s="296"/>
      <c r="C24" s="33">
        <v>89.09</v>
      </c>
      <c r="D24" s="33">
        <f>C24*12</f>
        <v>1069.08</v>
      </c>
      <c r="E24" s="221" t="str">
        <f t="shared" si="0"/>
        <v>M Car ins.</v>
      </c>
      <c r="F24" s="11"/>
      <c r="L24">
        <v>273.39</v>
      </c>
      <c r="M24" t="s">
        <v>387</v>
      </c>
      <c r="S24">
        <v>100</v>
      </c>
      <c r="T24" t="s">
        <v>385</v>
      </c>
      <c r="V24" s="212"/>
    </row>
    <row r="25" spans="1:22" ht="18" outlineLevel="2">
      <c r="A25" s="216" t="s">
        <v>388</v>
      </c>
      <c r="B25" s="296">
        <v>50</v>
      </c>
      <c r="C25" s="33">
        <v>200</v>
      </c>
      <c r="D25" s="33">
        <f>B25*52</f>
        <v>2600</v>
      </c>
      <c r="E25" s="221" t="str">
        <f t="shared" si="0"/>
        <v xml:space="preserve">M Car Petrol </v>
      </c>
      <c r="F25" s="11"/>
      <c r="L25">
        <v>26.62</v>
      </c>
      <c r="M25" t="s">
        <v>122</v>
      </c>
      <c r="S25">
        <v>0</v>
      </c>
      <c r="T25" t="s">
        <v>389</v>
      </c>
      <c r="V25" s="212"/>
    </row>
    <row r="26" spans="1:22" ht="18" outlineLevel="2">
      <c r="A26" s="216" t="s">
        <v>390</v>
      </c>
      <c r="B26" s="296"/>
      <c r="C26" s="33">
        <f t="shared" ref="C26" si="2">D26/12</f>
        <v>17.5</v>
      </c>
      <c r="D26" s="33">
        <v>210</v>
      </c>
      <c r="E26" s="221" t="str">
        <f t="shared" si="0"/>
        <v>M Car service</v>
      </c>
      <c r="F26" s="11"/>
      <c r="L26">
        <v>50</v>
      </c>
      <c r="M26" t="s">
        <v>122</v>
      </c>
      <c r="S26">
        <v>0</v>
      </c>
      <c r="T26" t="s">
        <v>385</v>
      </c>
      <c r="V26" s="212"/>
    </row>
    <row r="27" spans="1:22" ht="18" outlineLevel="2">
      <c r="A27" s="216" t="s">
        <v>391</v>
      </c>
      <c r="B27" s="296"/>
      <c r="C27" s="33">
        <v>27.56</v>
      </c>
      <c r="D27" s="33">
        <f>C27*12</f>
        <v>330.71999999999997</v>
      </c>
      <c r="E27" s="221" t="str">
        <f t="shared" si="0"/>
        <v>M Car v.tax</v>
      </c>
      <c r="F27" s="11"/>
      <c r="L27">
        <v>234.99</v>
      </c>
      <c r="M27" t="s">
        <v>392</v>
      </c>
      <c r="P27" s="233"/>
      <c r="Q27" s="212"/>
      <c r="S27" s="233">
        <f>SUM(S15:S26)</f>
        <v>2752</v>
      </c>
      <c r="T27" s="212" t="s">
        <v>131</v>
      </c>
      <c r="V27" s="212"/>
    </row>
    <row r="28" spans="1:22" ht="18" outlineLevel="2">
      <c r="A28" s="216" t="s">
        <v>177</v>
      </c>
      <c r="B28" s="296"/>
      <c r="C28" s="33">
        <v>0</v>
      </c>
      <c r="D28" s="33">
        <f>C28*12</f>
        <v>0</v>
      </c>
      <c r="E28" s="221" t="str">
        <f t="shared" si="0"/>
        <v>Gym</v>
      </c>
      <c r="F28" s="11"/>
      <c r="L28">
        <v>20.99</v>
      </c>
      <c r="M28" t="s">
        <v>393</v>
      </c>
      <c r="V28" s="212"/>
    </row>
    <row r="29" spans="1:22" ht="18" outlineLevel="1">
      <c r="A29" s="216" t="s">
        <v>394</v>
      </c>
      <c r="B29" s="296"/>
      <c r="C29" s="33">
        <v>16.989999999999998</v>
      </c>
      <c r="D29" s="33">
        <f>IF(B29&lt;&gt;"",B29*52,C29*12)</f>
        <v>203.88</v>
      </c>
      <c r="E29" s="221" t="str">
        <f t="shared" si="0"/>
        <v xml:space="preserve">M Phone </v>
      </c>
      <c r="F29" s="11"/>
      <c r="L29">
        <v>55</v>
      </c>
      <c r="M29" t="s">
        <v>395</v>
      </c>
      <c r="S29" t="s">
        <v>396</v>
      </c>
    </row>
    <row r="30" spans="1:22" ht="18">
      <c r="A30" s="229" t="s">
        <v>397</v>
      </c>
      <c r="B30" s="226"/>
      <c r="C30" s="226">
        <f>D30/12</f>
        <v>2223.8383333333336</v>
      </c>
      <c r="D30" s="226">
        <f>SUM(D23+D16+D2)</f>
        <v>26686.06</v>
      </c>
      <c r="E30" s="228" t="str">
        <f t="shared" ref="E30:E32" si="3">A30</f>
        <v>Total costs</v>
      </c>
      <c r="F30" s="11"/>
      <c r="L30">
        <v>38</v>
      </c>
      <c r="M30" t="s">
        <v>398</v>
      </c>
      <c r="R30" s="212"/>
      <c r="S30">
        <f>S27-1350</f>
        <v>1402</v>
      </c>
      <c r="T30" t="s">
        <v>363</v>
      </c>
    </row>
    <row r="31" spans="1:22" ht="18">
      <c r="A31" s="229" t="s">
        <v>399</v>
      </c>
      <c r="B31" s="226"/>
      <c r="C31" s="226">
        <f>1155+1367</f>
        <v>2522</v>
      </c>
      <c r="D31" s="226">
        <f>C31*12</f>
        <v>30264</v>
      </c>
      <c r="E31" s="228" t="str">
        <f t="shared" si="3"/>
        <v>Total joint Income</v>
      </c>
      <c r="F31" s="11"/>
      <c r="L31">
        <v>638</v>
      </c>
      <c r="M31" t="s">
        <v>400</v>
      </c>
      <c r="S31">
        <f>S30-500</f>
        <v>902</v>
      </c>
      <c r="T31" t="s">
        <v>54</v>
      </c>
      <c r="V31" s="212"/>
    </row>
    <row r="32" spans="1:22" ht="18">
      <c r="A32" s="229" t="s">
        <v>10</v>
      </c>
      <c r="B32" s="226"/>
      <c r="C32" s="226">
        <f>C31-C30</f>
        <v>298.16166666666641</v>
      </c>
      <c r="D32" s="226">
        <f>D31-D30</f>
        <v>3577.9399999999987</v>
      </c>
      <c r="E32" s="228" t="str">
        <f t="shared" si="3"/>
        <v>Remaining</v>
      </c>
      <c r="F32" s="11"/>
      <c r="L32">
        <v>360</v>
      </c>
      <c r="M32" t="s">
        <v>401</v>
      </c>
      <c r="S32">
        <f>S31-100</f>
        <v>802</v>
      </c>
      <c r="T32" t="s">
        <v>400</v>
      </c>
      <c r="V32" s="212"/>
    </row>
    <row r="33" spans="1:20" ht="18">
      <c r="A33" s="218"/>
      <c r="B33" s="226" t="str">
        <f>B1</f>
        <v>Weekly</v>
      </c>
      <c r="C33" s="226" t="str">
        <f t="shared" ref="C33:D33" si="4">C1</f>
        <v>Monthly</v>
      </c>
      <c r="D33" s="226" t="str">
        <f t="shared" si="4"/>
        <v>Yearly</v>
      </c>
      <c r="E33" s="222"/>
      <c r="L33">
        <v>24.69</v>
      </c>
      <c r="M33" t="s">
        <v>122</v>
      </c>
      <c r="S33">
        <f>S32-80</f>
        <v>722</v>
      </c>
      <c r="T33" t="s">
        <v>367</v>
      </c>
    </row>
    <row r="34" spans="1:20" ht="18">
      <c r="A34" s="9"/>
      <c r="B34" s="250"/>
      <c r="C34" s="250"/>
      <c r="D34" s="250"/>
      <c r="E34" s="230"/>
      <c r="L34">
        <v>10</v>
      </c>
      <c r="M34" t="s">
        <v>122</v>
      </c>
      <c r="S34">
        <f>S33-350</f>
        <v>372</v>
      </c>
      <c r="T34" t="s">
        <v>402</v>
      </c>
    </row>
    <row r="35" spans="1:20" ht="18">
      <c r="A35" s="9"/>
      <c r="B35" s="250"/>
      <c r="C35" s="296"/>
      <c r="D35" s="250"/>
      <c r="E35" s="230"/>
      <c r="L35">
        <v>16.97</v>
      </c>
      <c r="M35" t="s">
        <v>122</v>
      </c>
      <c r="S35">
        <f>S34-200</f>
        <v>172</v>
      </c>
      <c r="T35" t="s">
        <v>370</v>
      </c>
    </row>
    <row r="36" spans="1:20" ht="18">
      <c r="A36" s="9"/>
      <c r="B36" s="250"/>
      <c r="C36" s="250"/>
      <c r="D36" s="296"/>
      <c r="E36" s="230"/>
      <c r="L36">
        <v>38</v>
      </c>
      <c r="M36" t="s">
        <v>122</v>
      </c>
      <c r="S36">
        <f>S35-300</f>
        <v>-128</v>
      </c>
      <c r="T36" t="s">
        <v>379</v>
      </c>
    </row>
    <row r="37" spans="1:20" ht="18">
      <c r="A37" s="9"/>
      <c r="B37" s="250"/>
      <c r="C37" s="250"/>
      <c r="D37" s="250"/>
      <c r="E37" s="230"/>
      <c r="L37">
        <v>21.39</v>
      </c>
      <c r="M37" t="s">
        <v>122</v>
      </c>
      <c r="S37">
        <f>S36-200</f>
        <v>-328</v>
      </c>
      <c r="T37" t="s">
        <v>381</v>
      </c>
    </row>
    <row r="38" spans="1:20" ht="18">
      <c r="A38" s="9"/>
      <c r="B38" s="250"/>
      <c r="C38" s="250"/>
      <c r="D38" s="250"/>
      <c r="E38" s="230"/>
      <c r="L38">
        <v>16.25</v>
      </c>
      <c r="M38" t="s">
        <v>122</v>
      </c>
    </row>
    <row r="39" spans="1:20" ht="18">
      <c r="A39" s="9"/>
      <c r="B39" s="250"/>
      <c r="C39" s="250"/>
      <c r="D39" s="250"/>
      <c r="E39" s="230"/>
      <c r="L39">
        <v>4.08</v>
      </c>
      <c r="M39" t="s">
        <v>122</v>
      </c>
    </row>
    <row r="40" spans="1:20" ht="18">
      <c r="A40" s="9"/>
      <c r="B40" s="250"/>
      <c r="C40" s="250"/>
      <c r="D40" s="250"/>
      <c r="E40" s="230"/>
      <c r="L40">
        <v>14.97</v>
      </c>
      <c r="M40" t="s">
        <v>122</v>
      </c>
    </row>
    <row r="41" spans="1:20">
      <c r="A41"/>
      <c r="E41" s="230"/>
      <c r="L41">
        <v>143.78</v>
      </c>
      <c r="M41" t="s">
        <v>403</v>
      </c>
    </row>
    <row r="42" spans="1:20">
      <c r="A42"/>
      <c r="E42" s="230"/>
      <c r="L42">
        <v>44.5</v>
      </c>
      <c r="M42" t="s">
        <v>122</v>
      </c>
    </row>
    <row r="43" spans="1:20">
      <c r="A43"/>
      <c r="E43" s="230"/>
      <c r="L43">
        <v>35.19</v>
      </c>
      <c r="M43" t="s">
        <v>122</v>
      </c>
    </row>
    <row r="44" spans="1:20">
      <c r="A44"/>
      <c r="E44" s="230"/>
      <c r="L44">
        <v>90</v>
      </c>
      <c r="M44" t="s">
        <v>122</v>
      </c>
    </row>
    <row r="45" spans="1:20">
      <c r="A45"/>
      <c r="E45" s="230"/>
      <c r="L45">
        <v>97.95</v>
      </c>
      <c r="M45" t="s">
        <v>404</v>
      </c>
    </row>
    <row r="46" spans="1:20">
      <c r="A46"/>
      <c r="E46" s="230"/>
      <c r="L46">
        <v>29.53</v>
      </c>
      <c r="M46" t="s">
        <v>122</v>
      </c>
    </row>
    <row r="47" spans="1:20">
      <c r="A47"/>
      <c r="E47" s="230"/>
      <c r="L47">
        <v>468</v>
      </c>
      <c r="M47" t="s">
        <v>405</v>
      </c>
    </row>
    <row r="48" spans="1:20">
      <c r="A48"/>
      <c r="E48" s="230"/>
      <c r="K48" t="s">
        <v>406</v>
      </c>
      <c r="L48">
        <f>SUM(L14:L47)</f>
        <v>12655.45</v>
      </c>
    </row>
    <row r="49" spans="1:5">
      <c r="A49"/>
      <c r="E49" s="230"/>
    </row>
    <row r="50" spans="1:5" ht="18">
      <c r="A50" s="9"/>
      <c r="B50" s="250"/>
      <c r="C50" s="250"/>
      <c r="D50" s="250"/>
      <c r="E50"/>
    </row>
    <row r="51" spans="1:5" ht="18">
      <c r="A51" s="9"/>
      <c r="B51" s="250"/>
      <c r="C51" s="250"/>
      <c r="D51" s="250"/>
      <c r="E51"/>
    </row>
    <row r="52" spans="1:5" ht="18">
      <c r="A52" s="9"/>
      <c r="B52" s="250"/>
      <c r="C52" s="250"/>
      <c r="D52" s="250"/>
      <c r="E52"/>
    </row>
    <row r="53" spans="1:5" ht="18">
      <c r="A53" s="9"/>
      <c r="B53" s="250"/>
      <c r="C53" s="250"/>
      <c r="D53" s="250"/>
      <c r="E53"/>
    </row>
    <row r="54" spans="1:5" ht="18">
      <c r="A54" s="216"/>
      <c r="B54" s="250"/>
      <c r="C54" s="250"/>
      <c r="D54" s="250"/>
      <c r="E54"/>
    </row>
    <row r="55" spans="1:5" ht="18">
      <c r="A55" s="216"/>
      <c r="B55" s="250"/>
      <c r="C55" s="250"/>
      <c r="D55" s="250"/>
      <c r="E55"/>
    </row>
    <row r="56" spans="1:5" ht="18">
      <c r="A56" s="216"/>
      <c r="B56" s="250"/>
      <c r="C56" s="250"/>
      <c r="D56" s="250"/>
      <c r="E56"/>
    </row>
    <row r="65" spans="1:5" ht="18">
      <c r="A65" s="216"/>
      <c r="B65" s="250"/>
      <c r="C65" s="250"/>
      <c r="D65" s="250"/>
      <c r="E65"/>
    </row>
    <row r="66" spans="1:5" ht="18">
      <c r="A66" s="216"/>
      <c r="B66" s="250"/>
      <c r="C66" s="250"/>
      <c r="D66" s="250"/>
      <c r="E66"/>
    </row>
    <row r="67" spans="1:5" ht="18">
      <c r="A67" s="216"/>
      <c r="B67" s="250"/>
      <c r="C67" s="250"/>
      <c r="D67" s="250"/>
      <c r="E67"/>
    </row>
    <row r="68" spans="1:5" ht="18">
      <c r="A68" s="216"/>
      <c r="B68" s="250"/>
      <c r="C68" s="250"/>
      <c r="D68" s="250"/>
      <c r="E68"/>
    </row>
    <row r="69" spans="1:5" ht="18">
      <c r="A69" s="216"/>
      <c r="B69" s="250"/>
      <c r="C69" s="250"/>
      <c r="D69" s="250"/>
      <c r="E69"/>
    </row>
    <row r="70" spans="1:5" ht="18">
      <c r="A70" s="216"/>
      <c r="B70" s="250"/>
      <c r="C70" s="250"/>
      <c r="D70" s="250"/>
      <c r="E70"/>
    </row>
    <row r="71" spans="1:5" ht="18">
      <c r="A71" s="216"/>
      <c r="B71" s="250"/>
      <c r="C71" s="250"/>
      <c r="D71" s="250"/>
      <c r="E71"/>
    </row>
    <row r="80" spans="1:5" ht="18">
      <c r="A80" s="216"/>
      <c r="B80" s="250"/>
      <c r="C80" s="250"/>
      <c r="D80" s="250"/>
      <c r="E80"/>
    </row>
    <row r="81" spans="1:5" ht="18">
      <c r="A81" s="216"/>
      <c r="B81" s="250"/>
      <c r="C81" s="250"/>
      <c r="D81" s="250"/>
      <c r="E81"/>
    </row>
    <row r="82" spans="1:5" ht="18">
      <c r="A82" s="216"/>
      <c r="B82" s="250"/>
      <c r="C82" s="250"/>
      <c r="D82" s="250"/>
      <c r="E82"/>
    </row>
    <row r="83" spans="1:5" ht="18">
      <c r="A83" s="216"/>
      <c r="B83" s="250"/>
      <c r="C83" s="250"/>
      <c r="D83" s="250"/>
      <c r="E83"/>
    </row>
    <row r="84" spans="1:5" ht="18">
      <c r="A84" s="216"/>
      <c r="B84" s="250"/>
      <c r="C84" s="250"/>
      <c r="D84" s="250"/>
      <c r="E84"/>
    </row>
    <row r="85" spans="1:5" ht="18">
      <c r="A85" s="216"/>
      <c r="B85" s="250"/>
      <c r="C85" s="250"/>
      <c r="D85" s="250"/>
      <c r="E85"/>
    </row>
    <row r="86" spans="1:5" ht="18">
      <c r="A86" s="216"/>
      <c r="B86" s="250"/>
      <c r="C86" s="250"/>
      <c r="D86" s="250"/>
      <c r="E86"/>
    </row>
    <row r="95" spans="1:5" ht="18">
      <c r="A95" s="216"/>
      <c r="B95" s="250"/>
      <c r="C95" s="250"/>
      <c r="D95" s="250"/>
      <c r="E95"/>
    </row>
    <row r="96" spans="1:5" ht="18">
      <c r="A96" s="216"/>
      <c r="B96" s="250"/>
      <c r="C96" s="250"/>
      <c r="D96" s="250"/>
      <c r="E96"/>
    </row>
    <row r="97" spans="1:5" ht="18">
      <c r="A97" s="216"/>
      <c r="B97" s="250"/>
      <c r="C97" s="250"/>
      <c r="D97" s="250"/>
      <c r="E97"/>
    </row>
    <row r="98" spans="1:5" ht="18">
      <c r="A98" s="216"/>
      <c r="B98" s="250"/>
      <c r="C98" s="250"/>
      <c r="D98" s="250"/>
      <c r="E98"/>
    </row>
    <row r="99" spans="1:5" ht="18">
      <c r="A99" s="216"/>
      <c r="B99" s="250"/>
      <c r="C99" s="250"/>
      <c r="D99" s="250"/>
      <c r="E99"/>
    </row>
    <row r="100" spans="1:5" ht="18">
      <c r="A100" s="216"/>
      <c r="B100" s="250"/>
      <c r="C100" s="250"/>
      <c r="D100" s="250"/>
      <c r="E100"/>
    </row>
    <row r="101" spans="1:5" ht="18">
      <c r="A101" s="216"/>
      <c r="B101" s="250"/>
      <c r="C101" s="250"/>
      <c r="D101" s="250"/>
      <c r="E101"/>
    </row>
  </sheetData>
  <sortState xmlns:xlrd2="http://schemas.microsoft.com/office/spreadsheetml/2017/richdata2" ref="A18:F22">
    <sortCondition descending="1" ref="D18:D22"/>
  </sortState>
  <mergeCells count="3">
    <mergeCell ref="N5:N6"/>
    <mergeCell ref="K13:K20"/>
    <mergeCell ref="K21:K22"/>
  </mergeCells>
  <pageMargins left="0" right="0" top="0" bottom="0" header="0" footer="0"/>
  <pageSetup paperSize="9" orientation="portrait" horizontalDpi="0" verticalDpi="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J36"/>
  <sheetViews>
    <sheetView topLeftCell="A6" workbookViewId="0">
      <selection activeCell="C28" sqref="C28"/>
    </sheetView>
  </sheetViews>
  <sheetFormatPr defaultColWidth="11.33203125" defaultRowHeight="14.4" outlineLevelRow="1"/>
  <cols>
    <col min="1" max="1" width="15.44140625" customWidth="1"/>
    <col min="2" max="2" width="28.109375" customWidth="1"/>
    <col min="3" max="7" width="25" customWidth="1"/>
    <col min="8" max="8" width="19.44140625" customWidth="1"/>
    <col min="9" max="9" width="18.33203125" customWidth="1"/>
  </cols>
  <sheetData>
    <row r="1" spans="1:10" ht="18">
      <c r="A1" s="103" t="s">
        <v>163</v>
      </c>
      <c r="B1" s="13" t="s">
        <v>164</v>
      </c>
      <c r="C1" s="44" t="str">
        <f>"22/02/17" &amp; " - " &amp; "28/02/17"</f>
        <v>22/02/17 - 28/02/17</v>
      </c>
      <c r="D1" s="44" t="str">
        <f>TEXT(DATEVALUE(RIGHT(C1,8))+1,"dd/mm/yy")&amp; " - "&amp; TEXT(DATEVALUE(RIGHT(C1,8))+7,"dd/mm/yy")</f>
        <v>01/03/17 - 07/03/17</v>
      </c>
      <c r="E1" s="44" t="str">
        <f>TEXT(DATEVALUE(RIGHT(D1,8))+1,"dd/mm/yy")&amp; " - "&amp; TEXT(DATEVALUE(RIGHT(D1,8))+7,"dd/mm/yy")</f>
        <v>08/03/17 - 14/03/17</v>
      </c>
      <c r="F1" s="44" t="str">
        <f>TEXT(DATEVALUE(RIGHT(E1,8))+1,"dd/mm/yy")&amp; " - "&amp; TEXT(DATEVALUE(RIGHT(E1,8))+7,"dd/mm/yy")</f>
        <v>15/03/17 - 21/03/17</v>
      </c>
      <c r="G1" s="44" t="str">
        <f>TEXT(DATEVALUE(RIGHT(F1,8))+1,"dd/mm/yy")&amp; " - "&amp; TEXT(DATEVALUE(RIGHT(F1,8))+7,"dd/mm/yy")</f>
        <v>22/03/17 - 28/03/17</v>
      </c>
      <c r="H1" s="12" t="s">
        <v>10</v>
      </c>
      <c r="I1" s="9"/>
      <c r="J1" t="s">
        <v>407</v>
      </c>
    </row>
    <row r="2" spans="1:10" ht="18">
      <c r="A2" s="12" t="s">
        <v>165</v>
      </c>
      <c r="B2" s="10" t="e">
        <f>SUM(B4+B14)</f>
        <v>#REF!</v>
      </c>
      <c r="C2" s="296">
        <f>SUM(C5:C23)</f>
        <v>281.27</v>
      </c>
      <c r="D2" s="296">
        <f>SUM(D5:D23)</f>
        <v>509.79</v>
      </c>
      <c r="E2" s="296">
        <f>SUM(E5:E23)</f>
        <v>195.29</v>
      </c>
      <c r="F2" s="296">
        <f>SUM(F5:F23)</f>
        <v>123.61999999999999</v>
      </c>
      <c r="G2" s="296">
        <f>SUM(G5:G23)</f>
        <v>563.23</v>
      </c>
      <c r="H2" s="10"/>
      <c r="I2" s="9"/>
    </row>
    <row r="3" spans="1:10" ht="18">
      <c r="A3" s="9"/>
      <c r="B3" s="10"/>
      <c r="C3" s="296"/>
      <c r="D3" s="296"/>
      <c r="E3" s="296"/>
      <c r="F3" s="296"/>
      <c r="G3" s="296"/>
      <c r="H3" s="10"/>
      <c r="I3" s="9"/>
    </row>
    <row r="4" spans="1:10" ht="18">
      <c r="A4" s="178" t="s">
        <v>166</v>
      </c>
      <c r="B4" s="183">
        <f>SUM(B5:B11)</f>
        <v>392.5</v>
      </c>
      <c r="C4" s="296"/>
      <c r="D4" s="296"/>
      <c r="E4" s="296"/>
      <c r="F4" s="296"/>
      <c r="G4" s="296"/>
      <c r="H4" s="184" t="str">
        <f>"Remaining: £" &amp; SUM(H5:H11)</f>
        <v>Remaining: £-99.77</v>
      </c>
      <c r="I4" s="9"/>
      <c r="J4" s="11">
        <f>SUM(J5:J11)</f>
        <v>137.27000000000001</v>
      </c>
    </row>
    <row r="5" spans="1:10" ht="18" outlineLevel="1">
      <c r="A5" s="31" t="s">
        <v>408</v>
      </c>
      <c r="B5" s="17">
        <v>95</v>
      </c>
      <c r="C5" s="10">
        <v>15</v>
      </c>
      <c r="D5" s="10">
        <f>80+100</f>
        <v>180</v>
      </c>
      <c r="E5" s="10"/>
      <c r="F5" s="10"/>
      <c r="G5" s="10"/>
      <c r="H5" s="10">
        <f>IF(B5&lt;&gt;"",B5-C5-D5-E5-F5-G5,"")</f>
        <v>-100</v>
      </c>
      <c r="I5" s="34" t="str">
        <f>A5</f>
        <v>Poodini Fund</v>
      </c>
      <c r="J5" s="11">
        <f>IF(H5&lt;0,0-H5,"")</f>
        <v>100</v>
      </c>
    </row>
    <row r="6" spans="1:10" ht="18" outlineLevel="1">
      <c r="A6" s="31" t="s">
        <v>167</v>
      </c>
      <c r="B6" s="17">
        <f>IF(G1="Remaining",17.5*4,17.5*5)</f>
        <v>87.5</v>
      </c>
      <c r="C6" s="10">
        <v>30</v>
      </c>
      <c r="D6" s="10">
        <v>20</v>
      </c>
      <c r="E6" s="10"/>
      <c r="F6" s="10"/>
      <c r="G6" s="10"/>
      <c r="H6" s="10">
        <f>IF(B6&lt;&gt;"",B6-C6-D6-E6-F6-G6,"")</f>
        <v>37.5</v>
      </c>
      <c r="I6" s="12" t="str">
        <f>A6</f>
        <v xml:space="preserve">Car Petrol </v>
      </c>
      <c r="J6" s="11" t="str">
        <f t="shared" ref="J6:J23" si="0">IF(H6&lt;0,0-H6,"")</f>
        <v/>
      </c>
    </row>
    <row r="7" spans="1:10" ht="18" outlineLevel="1">
      <c r="A7" s="31" t="s">
        <v>168</v>
      </c>
      <c r="B7" s="17">
        <v>20</v>
      </c>
      <c r="C7" s="10"/>
      <c r="D7" s="10">
        <v>20</v>
      </c>
      <c r="E7" s="10"/>
      <c r="F7" s="10"/>
      <c r="G7" s="10"/>
      <c r="H7" s="10">
        <f t="shared" ref="H7:H18" si="1">IF(B7&lt;&gt;"",B7-C7-D7-E7-F7-G7,"")</f>
        <v>0</v>
      </c>
      <c r="I7" s="12" t="str">
        <f t="shared" ref="I7:I23" si="2">A7</f>
        <v>Bike petrol</v>
      </c>
      <c r="J7" s="11" t="str">
        <f t="shared" si="0"/>
        <v/>
      </c>
    </row>
    <row r="8" spans="1:10" ht="18" outlineLevel="1">
      <c r="A8" s="31" t="s">
        <v>409</v>
      </c>
      <c r="B8" s="10">
        <v>50</v>
      </c>
      <c r="C8" s="10">
        <v>50</v>
      </c>
      <c r="D8" s="10"/>
      <c r="E8" s="10"/>
      <c r="F8" s="10"/>
      <c r="G8" s="10"/>
      <c r="H8" s="10">
        <f>IF(B8&lt;&gt;"",B8-C8-D8-E8-F8-G8,"")</f>
        <v>0</v>
      </c>
      <c r="I8" s="12" t="str">
        <f>A8</f>
        <v>House Deposit</v>
      </c>
      <c r="J8" s="11" t="str">
        <f t="shared" si="0"/>
        <v/>
      </c>
    </row>
    <row r="9" spans="1:10" ht="18" outlineLevel="1">
      <c r="A9" s="31" t="s">
        <v>169</v>
      </c>
      <c r="B9" s="10">
        <f>IF(G1="Remaining",20*4,IF(H1= "Remaining",20* 5,""))</f>
        <v>100</v>
      </c>
      <c r="C9" s="10">
        <f>22.49+6.5</f>
        <v>28.99</v>
      </c>
      <c r="D9" s="10">
        <f>48.4+20</f>
        <v>68.400000000000006</v>
      </c>
      <c r="E9" s="10">
        <v>4.09</v>
      </c>
      <c r="F9" s="10">
        <v>3.3</v>
      </c>
      <c r="G9" s="10">
        <f>6.06+8.9+12.47+5.06</f>
        <v>32.49</v>
      </c>
      <c r="H9" s="10">
        <f t="shared" ref="H9:H11" si="3">IF(B9&lt;&gt;"",B9-C9-D9-E9-F9-G9,"")</f>
        <v>-37.270000000000003</v>
      </c>
      <c r="I9" s="12" t="str">
        <f>A9</f>
        <v>Food</v>
      </c>
      <c r="J9" s="11">
        <f t="shared" si="0"/>
        <v>37.270000000000003</v>
      </c>
    </row>
    <row r="10" spans="1:10" ht="18" outlineLevel="1">
      <c r="A10" s="31" t="s">
        <v>170</v>
      </c>
      <c r="B10" s="10">
        <v>0</v>
      </c>
      <c r="C10" s="10"/>
      <c r="D10" s="10"/>
      <c r="E10" s="10"/>
      <c r="F10" s="10"/>
      <c r="G10" s="10"/>
      <c r="H10" s="10">
        <f t="shared" si="3"/>
        <v>0</v>
      </c>
      <c r="I10" s="12" t="str">
        <f>A10</f>
        <v>Gift Fund</v>
      </c>
      <c r="J10" s="11" t="str">
        <f t="shared" si="0"/>
        <v/>
      </c>
    </row>
    <row r="11" spans="1:10" ht="18" outlineLevel="1">
      <c r="A11" s="31" t="s">
        <v>171</v>
      </c>
      <c r="B11" s="10">
        <v>40</v>
      </c>
      <c r="C11" s="10"/>
      <c r="D11" s="10">
        <v>40</v>
      </c>
      <c r="E11" s="10"/>
      <c r="F11" s="10"/>
      <c r="G11" s="10"/>
      <c r="H11" s="10">
        <f t="shared" si="3"/>
        <v>0</v>
      </c>
      <c r="I11" s="12" t="str">
        <f>A11</f>
        <v>Holiday Fund</v>
      </c>
      <c r="J11" s="11" t="str">
        <f t="shared" si="0"/>
        <v/>
      </c>
    </row>
    <row r="12" spans="1:10" ht="18" outlineLevel="1">
      <c r="A12" s="31" t="s">
        <v>172</v>
      </c>
      <c r="B12" s="10" t="e">
        <f>IF(B28 &lt;&gt; 0,B28-SUM(B5:B11)-B14-B25,0)</f>
        <v>#REF!</v>
      </c>
      <c r="C12" s="10">
        <f>15.99+44.2+16.5+10+39.92</f>
        <v>126.61</v>
      </c>
      <c r="D12" s="10">
        <f>25+11.98+31.5</f>
        <v>68.48</v>
      </c>
      <c r="E12" s="10">
        <f>17.55</f>
        <v>17.55</v>
      </c>
      <c r="F12" s="10">
        <f>18.98+2.7+98.64</f>
        <v>120.32</v>
      </c>
      <c r="G12" s="10">
        <f>450+35.75</f>
        <v>485.75</v>
      </c>
      <c r="H12" s="10" t="e">
        <f>IF(B12&lt;&gt;"",B12-C12-D12-E12-F12-G12,"")</f>
        <v>#REF!</v>
      </c>
      <c r="I12" s="12" t="s">
        <v>172</v>
      </c>
      <c r="J12" s="11" t="e">
        <f t="shared" si="0"/>
        <v>#REF!</v>
      </c>
    </row>
    <row r="13" spans="1:10" ht="18" outlineLevel="1">
      <c r="A13" s="185"/>
      <c r="B13" s="10"/>
      <c r="C13" s="10"/>
      <c r="D13" s="10"/>
      <c r="E13" s="10"/>
      <c r="F13" s="10"/>
      <c r="G13" s="10"/>
      <c r="H13" s="10"/>
      <c r="I13" s="9"/>
      <c r="J13" s="11" t="str">
        <f t="shared" si="0"/>
        <v/>
      </c>
    </row>
    <row r="14" spans="1:10" s="182" customFormat="1" ht="18">
      <c r="A14" s="177" t="s">
        <v>173</v>
      </c>
      <c r="B14" s="183" t="e">
        <f>SUM(B15:B23)</f>
        <v>#REF!</v>
      </c>
      <c r="C14" s="181"/>
      <c r="D14" s="181"/>
      <c r="E14" s="181"/>
      <c r="F14" s="181"/>
      <c r="G14" s="181"/>
      <c r="H14" s="184" t="e">
        <f>"Remaining: £" &amp; SUM(H15:H23)+J14</f>
        <v>#REF!</v>
      </c>
      <c r="I14" s="186"/>
      <c r="J14" s="11" t="e">
        <f>SUM(J15:J23)</f>
        <v>#REF!</v>
      </c>
    </row>
    <row r="15" spans="1:10" ht="18" outlineLevel="1">
      <c r="A15" s="31" t="s">
        <v>179</v>
      </c>
      <c r="B15" s="10" t="e">
        <f>'Joint Outgoings'!#REF!</f>
        <v>#REF!</v>
      </c>
      <c r="C15" s="10"/>
      <c r="D15" s="10"/>
      <c r="E15" s="10">
        <v>9.99</v>
      </c>
      <c r="F15" s="10"/>
      <c r="G15" s="10"/>
      <c r="H15" s="10" t="e">
        <f t="shared" si="1"/>
        <v>#REF!</v>
      </c>
      <c r="I15" s="12" t="str">
        <f t="shared" si="2"/>
        <v>Sky Movies</v>
      </c>
      <c r="J15" s="11" t="e">
        <f t="shared" si="0"/>
        <v>#REF!</v>
      </c>
    </row>
    <row r="16" spans="1:10" ht="18" outlineLevel="1">
      <c r="A16" s="31" t="s">
        <v>180</v>
      </c>
      <c r="B16" s="10" t="e">
        <f>'Joint Outgoings'!#REF!</f>
        <v>#REF!</v>
      </c>
      <c r="C16" s="10"/>
      <c r="D16" s="10"/>
      <c r="E16" s="10">
        <v>9.99</v>
      </c>
      <c r="F16" s="10"/>
      <c r="G16" s="10"/>
      <c r="H16" s="10" t="e">
        <f t="shared" si="1"/>
        <v>#REF!</v>
      </c>
      <c r="I16" s="12" t="str">
        <f t="shared" si="2"/>
        <v>Spotify</v>
      </c>
      <c r="J16" s="11" t="e">
        <f t="shared" si="0"/>
        <v>#REF!</v>
      </c>
    </row>
    <row r="17" spans="1:10" ht="18" outlineLevel="1">
      <c r="A17" s="31" t="s">
        <v>176</v>
      </c>
      <c r="B17" s="10">
        <f>'Joint Outgoings'!C29</f>
        <v>16.989999999999998</v>
      </c>
      <c r="C17" s="10"/>
      <c r="D17" s="10"/>
      <c r="E17" s="10"/>
      <c r="F17" s="10"/>
      <c r="G17" s="10">
        <v>44.99</v>
      </c>
      <c r="H17" s="10">
        <f t="shared" si="1"/>
        <v>-28.000000000000004</v>
      </c>
      <c r="I17" s="12" t="str">
        <f t="shared" si="2"/>
        <v xml:space="preserve">Phone </v>
      </c>
      <c r="J17" s="11">
        <f t="shared" si="0"/>
        <v>28.000000000000004</v>
      </c>
    </row>
    <row r="18" spans="1:10" ht="18" outlineLevel="1">
      <c r="A18" s="31" t="s">
        <v>410</v>
      </c>
      <c r="B18" s="10"/>
      <c r="C18" s="10"/>
      <c r="D18" s="10"/>
      <c r="E18" s="10"/>
      <c r="F18" s="10"/>
      <c r="G18" s="10"/>
      <c r="H18" s="10" t="str">
        <f t="shared" si="1"/>
        <v/>
      </c>
      <c r="I18" s="12" t="str">
        <f t="shared" si="2"/>
        <v>Bupa</v>
      </c>
      <c r="J18" s="11" t="str">
        <f t="shared" si="0"/>
        <v/>
      </c>
    </row>
    <row r="19" spans="1:10" ht="18" outlineLevel="1">
      <c r="A19" s="31" t="s">
        <v>177</v>
      </c>
      <c r="B19" s="10">
        <v>17.989999999999998</v>
      </c>
      <c r="C19" s="10">
        <v>17.989999999999998</v>
      </c>
      <c r="D19" s="10"/>
      <c r="E19" s="10"/>
      <c r="F19" s="10"/>
      <c r="G19" s="10"/>
      <c r="H19" s="10">
        <f>IF(B19&lt;&gt;"",B19-C19-D19-E19-F19-G19,"")</f>
        <v>0</v>
      </c>
      <c r="I19" s="12" t="str">
        <f t="shared" si="2"/>
        <v>Gym</v>
      </c>
      <c r="J19" s="11" t="str">
        <f t="shared" si="0"/>
        <v/>
      </c>
    </row>
    <row r="20" spans="1:10" ht="18" outlineLevel="1">
      <c r="A20" s="31" t="s">
        <v>181</v>
      </c>
      <c r="B20" s="10">
        <v>7.99</v>
      </c>
      <c r="C20" s="10"/>
      <c r="D20" s="10">
        <v>7.99</v>
      </c>
      <c r="E20" s="10"/>
      <c r="F20" s="10"/>
      <c r="G20" s="10"/>
      <c r="H20" s="10">
        <f>IF(B20&lt;&gt;"",B20-C20-D20-E20-F20-G20,"")</f>
        <v>0</v>
      </c>
      <c r="I20" s="12" t="str">
        <f t="shared" si="2"/>
        <v>Onedrive</v>
      </c>
      <c r="J20" s="11" t="str">
        <f t="shared" si="0"/>
        <v/>
      </c>
    </row>
    <row r="21" spans="1:10" ht="18" outlineLevel="1">
      <c r="A21" s="31" t="s">
        <v>175</v>
      </c>
      <c r="B21" s="10">
        <v>104.92</v>
      </c>
      <c r="C21" s="10"/>
      <c r="D21" s="10">
        <v>104.92</v>
      </c>
      <c r="E21" s="10"/>
      <c r="F21" s="10"/>
      <c r="G21" s="10"/>
      <c r="H21" s="10">
        <f>IF(B21&lt;&gt;"",B21-C21-D21-E21-F21-G21,"")</f>
        <v>0</v>
      </c>
      <c r="I21" s="12" t="str">
        <f>A21</f>
        <v>Ring</v>
      </c>
      <c r="J21" s="11" t="str">
        <f t="shared" si="0"/>
        <v/>
      </c>
    </row>
    <row r="22" spans="1:10" ht="18" outlineLevel="1">
      <c r="A22" s="31" t="s">
        <v>411</v>
      </c>
      <c r="B22" s="10">
        <v>153.66999999999999</v>
      </c>
      <c r="C22" s="10"/>
      <c r="D22" s="10"/>
      <c r="E22" s="10">
        <v>153.66999999999999</v>
      </c>
      <c r="F22" s="10"/>
      <c r="G22" s="10"/>
      <c r="H22" s="10">
        <f>IF(B22&lt;&gt;"",B22-C22-D22-E22-F22-G22,"")</f>
        <v>0</v>
      </c>
      <c r="I22" s="12" t="str">
        <f t="shared" si="2"/>
        <v>Car ins.</v>
      </c>
      <c r="J22" s="11" t="str">
        <f t="shared" si="0"/>
        <v/>
      </c>
    </row>
    <row r="23" spans="1:10" ht="18" outlineLevel="1">
      <c r="A23" s="31" t="s">
        <v>178</v>
      </c>
      <c r="B23" s="10">
        <f>'Joint Outgoings'!C25</f>
        <v>200</v>
      </c>
      <c r="C23" s="10">
        <v>12.68</v>
      </c>
      <c r="D23" s="10"/>
      <c r="E23" s="10"/>
      <c r="F23" s="10"/>
      <c r="G23" s="10"/>
      <c r="H23" s="10">
        <f>IF(B23&lt;&gt;"",B23-C23-D23-E23-F23-G23,"")</f>
        <v>187.32</v>
      </c>
      <c r="I23" s="12" t="str">
        <f t="shared" si="2"/>
        <v>Car v.tax</v>
      </c>
      <c r="J23" s="11" t="str">
        <f t="shared" si="0"/>
        <v/>
      </c>
    </row>
    <row r="24" spans="1:10" ht="18">
      <c r="A24" s="177" t="s">
        <v>183</v>
      </c>
      <c r="B24" s="10"/>
      <c r="C24" s="10"/>
      <c r="D24" s="10"/>
      <c r="E24" s="10"/>
      <c r="F24" s="10"/>
      <c r="G24" s="10"/>
      <c r="H24" s="10"/>
      <c r="I24" s="9"/>
      <c r="J24" s="11"/>
    </row>
    <row r="25" spans="1:10" ht="18" outlineLevel="1">
      <c r="A25" s="31" t="s">
        <v>184</v>
      </c>
      <c r="B25" s="10">
        <f>IF(SUM(C25:G25)&lt;&gt;0,SUM(C25:G25),0)</f>
        <v>394.08</v>
      </c>
      <c r="C25" s="10"/>
      <c r="D25" s="10"/>
      <c r="E25" s="10"/>
      <c r="F25" s="10"/>
      <c r="G25" s="10">
        <v>394.08</v>
      </c>
      <c r="H25" s="10"/>
      <c r="I25" s="9"/>
    </row>
    <row r="26" spans="1:10" ht="18" outlineLevel="1">
      <c r="A26" s="31" t="s">
        <v>185</v>
      </c>
      <c r="B26" s="10">
        <f>IF(SUM(C26:F26)&lt;&gt;0,SUM(C26:G26),0)</f>
        <v>803.9</v>
      </c>
      <c r="C26" s="10"/>
      <c r="D26" s="10">
        <v>750</v>
      </c>
      <c r="E26" s="10"/>
      <c r="F26" s="10"/>
      <c r="G26" s="10">
        <v>53.9</v>
      </c>
      <c r="H26" s="10"/>
      <c r="I26" s="9"/>
    </row>
    <row r="27" spans="1:10" ht="18" outlineLevel="1">
      <c r="A27" s="31" t="s">
        <v>412</v>
      </c>
      <c r="B27" s="10">
        <f>IF(SUM(C27:F27)&lt;&gt;0,SUM(C27:F27),0)</f>
        <v>0</v>
      </c>
      <c r="C27" s="10"/>
      <c r="D27" s="10"/>
      <c r="E27" s="10"/>
      <c r="F27" s="10"/>
      <c r="G27" s="10"/>
      <c r="H27" s="10"/>
      <c r="I27" s="9"/>
    </row>
    <row r="28" spans="1:10" ht="18">
      <c r="A28" s="32" t="s">
        <v>186</v>
      </c>
      <c r="B28" s="296">
        <f>SUM(C28:G28)+B26</f>
        <v>2067.2800000000002</v>
      </c>
      <c r="C28" s="26">
        <v>1115.3900000000001</v>
      </c>
      <c r="D28" s="26">
        <f>40+7.99</f>
        <v>47.99</v>
      </c>
      <c r="E28" s="27"/>
      <c r="F28" s="36">
        <f>100</f>
        <v>100</v>
      </c>
      <c r="G28" s="296"/>
      <c r="H28" s="46" t="e">
        <f>ROUND(SUM(H5:H23),2) &amp; " / " &amp; B28</f>
        <v>#REF!</v>
      </c>
      <c r="I28" s="10"/>
    </row>
    <row r="29" spans="1:10" ht="18">
      <c r="A29" s="24"/>
      <c r="B29" s="10"/>
      <c r="C29" s="49"/>
      <c r="D29" s="26"/>
      <c r="E29" s="23"/>
      <c r="F29" s="108"/>
      <c r="G29" s="94"/>
      <c r="H29" s="79" t="e">
        <f>IF(ROUND(SUM(H5:H23),2)&gt;0,IF(ROUND(SUM(H5:H23),2)&lt;ROUND(SUMIF(H5:H23,"&gt;0"),2),"NOT ENOUGH MONEY",""),"NO MONEY")</f>
        <v>#REF!</v>
      </c>
      <c r="I29" s="11"/>
    </row>
    <row r="30" spans="1:10" ht="18">
      <c r="A30" s="17" t="s">
        <v>187</v>
      </c>
      <c r="B30" s="17" t="str">
        <f ca="1">IF(MONTH(TODAY()) = 11, IF(MONTH(A1(RIGHT,3)) = 11, "Bike insurance due",""),"")</f>
        <v/>
      </c>
      <c r="C30" s="53"/>
      <c r="D30" s="51"/>
      <c r="E30" s="16"/>
      <c r="F30" s="21"/>
      <c r="G30" s="18"/>
    </row>
    <row r="31" spans="1:10" ht="18">
      <c r="A31" s="17"/>
      <c r="B31" s="17" t="str">
        <f ca="1">IF(MONTH(TODAY()) = 6, IF(MONTH(A1(RIGHT,3)) = 6, "Bike insurance due",""),"")</f>
        <v/>
      </c>
      <c r="C31" s="20"/>
      <c r="D31" s="52"/>
      <c r="E31" s="16"/>
      <c r="F31" s="109"/>
      <c r="G31" s="18"/>
    </row>
    <row r="32" spans="1:10" ht="18">
      <c r="A32" s="17"/>
      <c r="B32" s="17"/>
      <c r="C32" s="39"/>
      <c r="D32" s="39"/>
      <c r="E32" s="43"/>
      <c r="F32" s="110"/>
      <c r="G32" s="10"/>
      <c r="H32" s="11"/>
      <c r="I32" s="11"/>
    </row>
    <row r="33" spans="1:7" ht="18">
      <c r="A33" s="10"/>
      <c r="B33" s="10"/>
      <c r="C33" s="40"/>
      <c r="D33" s="41"/>
      <c r="E33" s="41"/>
      <c r="F33" s="28"/>
      <c r="G33" s="111"/>
    </row>
    <row r="34" spans="1:7" ht="18">
      <c r="A34" s="20" t="s">
        <v>188</v>
      </c>
      <c r="B34" s="10"/>
      <c r="D34" s="42"/>
      <c r="G34" s="97"/>
    </row>
    <row r="36" spans="1:7" ht="18">
      <c r="B36" s="10"/>
    </row>
  </sheetData>
  <dataConsolidate/>
  <conditionalFormatting sqref="H5:H12">
    <cfRule type="cellIs" dxfId="401" priority="2" operator="equal">
      <formula>0</formula>
    </cfRule>
    <cfRule type="cellIs" dxfId="400" priority="3" operator="lessThan">
      <formula>0</formula>
    </cfRule>
    <cfRule type="cellIs" dxfId="399" priority="5" operator="greaterThan">
      <formula>0</formula>
    </cfRule>
  </conditionalFormatting>
  <conditionalFormatting sqref="H15:H23">
    <cfRule type="cellIs" dxfId="398" priority="6" operator="equal">
      <formula>0</formula>
    </cfRule>
    <cfRule type="cellIs" dxfId="397" priority="7" operator="lessThan">
      <formula>0</formula>
    </cfRule>
    <cfRule type="cellIs" dxfId="396" priority="8" operator="greaterThan">
      <formula>0</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F52D3B17-7F1F-F44F-92BF-D0EE812A8196}">
            <xm:f>NOT(ISERROR(SEARCH("-",H28)))</xm:f>
            <xm:f>"-"</xm:f>
            <x14:dxf>
              <font>
                <color rgb="FF9C0006"/>
              </font>
              <fill>
                <patternFill>
                  <bgColor rgb="FFFFC7CE"/>
                </patternFill>
              </fill>
            </x14:dxf>
          </x14:cfRule>
          <xm:sqref>H28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H39"/>
  <sheetViews>
    <sheetView workbookViewId="0"/>
  </sheetViews>
  <sheetFormatPr defaultColWidth="11.33203125" defaultRowHeight="14.4" outlineLevelRow="1"/>
  <cols>
    <col min="1" max="1" width="15.44140625" customWidth="1"/>
    <col min="2" max="2" width="28.109375" customWidth="1"/>
    <col min="3" max="6" width="25" customWidth="1"/>
    <col min="7" max="7" width="19.44140625" customWidth="1"/>
    <col min="8" max="8" width="15.44140625" customWidth="1"/>
  </cols>
  <sheetData>
    <row r="1" spans="1:8" ht="18">
      <c r="A1" s="180" t="s">
        <v>163</v>
      </c>
      <c r="B1" s="13" t="s">
        <v>164</v>
      </c>
      <c r="C1" s="44" t="str">
        <f>"29/03/17" &amp; " - " &amp; "04/04/17"</f>
        <v>29/03/17 - 04/04/17</v>
      </c>
      <c r="D1" s="44" t="str">
        <f>TEXT(DATEVALUE(RIGHT(C1,8))+1,"dd/mm/yy")&amp; " - "&amp; TEXT(DATEVALUE(RIGHT(C1,8))+7,"dd/mm/yy")</f>
        <v>05/04/17 - 11/04/17</v>
      </c>
      <c r="E1" s="44" t="str">
        <f>TEXT(DATEVALUE(RIGHT(D1,8))+1,"dd/mm/yy")&amp; " - "&amp; TEXT(DATEVALUE(RIGHT(D1,8))+7,"dd/mm/yy")</f>
        <v>12/04/17 - 18/04/17</v>
      </c>
      <c r="F1" s="44" t="str">
        <f>TEXT(DATEVALUE(RIGHT(E1,8))+1,"dd/mm/yy")&amp; " - "&amp; TEXT(DATEVALUE(RIGHT(E1,8))+7,"dd/mm/yy")</f>
        <v>19/04/17 - 25/04/17</v>
      </c>
      <c r="G1" s="12" t="s">
        <v>10</v>
      </c>
      <c r="H1" s="9"/>
    </row>
    <row r="2" spans="1:8" ht="18">
      <c r="A2" s="13" t="s">
        <v>165</v>
      </c>
      <c r="B2" s="10"/>
      <c r="C2" s="296">
        <f>SUM(C5:C21)</f>
        <v>730.37999999999988</v>
      </c>
      <c r="D2" s="296">
        <f>SUM(D5:D21)</f>
        <v>68.92</v>
      </c>
      <c r="E2" s="296">
        <f>SUM(E5:E21)</f>
        <v>132.27000000000001</v>
      </c>
      <c r="F2" s="296">
        <f>SUM(F5:F21)</f>
        <v>0</v>
      </c>
      <c r="G2" s="10"/>
      <c r="H2" s="9"/>
    </row>
    <row r="3" spans="1:8" ht="18">
      <c r="A3" s="250"/>
      <c r="B3" s="10"/>
      <c r="C3" s="296"/>
      <c r="D3" s="296"/>
      <c r="E3" s="296"/>
      <c r="F3" s="296"/>
      <c r="G3" s="10"/>
      <c r="H3" s="9"/>
    </row>
    <row r="4" spans="1:8" ht="18">
      <c r="A4" s="178" t="s">
        <v>166</v>
      </c>
      <c r="B4" s="183">
        <f>SUM(B5:B10)</f>
        <v>430</v>
      </c>
      <c r="C4" s="296"/>
      <c r="D4" s="296"/>
      <c r="E4" s="296"/>
      <c r="F4" s="296"/>
      <c r="G4" s="184" t="e">
        <f>"Remaining: £" &amp; ROUND(SUM(G5:G11),2)</f>
        <v>#REF!</v>
      </c>
      <c r="H4" s="9"/>
    </row>
    <row r="5" spans="1:8" ht="18" outlineLevel="1">
      <c r="A5" s="31" t="s">
        <v>167</v>
      </c>
      <c r="B5" s="17">
        <f>IF(G1="Remaining",17.5*4,17.5*5)</f>
        <v>70</v>
      </c>
      <c r="C5" s="10">
        <f>20+50</f>
        <v>70</v>
      </c>
      <c r="D5" s="10"/>
      <c r="E5" s="10"/>
      <c r="F5" s="10"/>
      <c r="G5" s="10">
        <f t="shared" ref="G5:G11" si="0">IF(B5&lt;&gt;"",B5-C5-D5-E5-F5,"")</f>
        <v>0</v>
      </c>
      <c r="H5" s="12" t="str">
        <f>A5</f>
        <v xml:space="preserve">Car Petrol </v>
      </c>
    </row>
    <row r="6" spans="1:8" ht="18" outlineLevel="1">
      <c r="A6" s="31" t="s">
        <v>168</v>
      </c>
      <c r="B6" s="17">
        <f>IF(G1="Remaining",5*4,5*5)</f>
        <v>20</v>
      </c>
      <c r="C6" s="10">
        <v>20</v>
      </c>
      <c r="D6" s="10"/>
      <c r="E6" s="10"/>
      <c r="F6" s="10"/>
      <c r="G6" s="10">
        <f t="shared" si="0"/>
        <v>0</v>
      </c>
      <c r="H6" s="12" t="str">
        <f t="shared" ref="H6" si="1">A6</f>
        <v>Bike petrol</v>
      </c>
    </row>
    <row r="7" spans="1:8" ht="18" outlineLevel="1">
      <c r="A7" s="31" t="s">
        <v>169</v>
      </c>
      <c r="B7" s="10">
        <v>80</v>
      </c>
      <c r="C7" s="10">
        <f>40+2.31</f>
        <v>42.31</v>
      </c>
      <c r="D7" s="10">
        <v>30</v>
      </c>
      <c r="E7" s="10">
        <f>3.5+6.81+19</f>
        <v>29.31</v>
      </c>
      <c r="F7" s="10"/>
      <c r="G7" s="10">
        <f t="shared" si="0"/>
        <v>-21.62</v>
      </c>
      <c r="H7" s="12" t="str">
        <f>A7</f>
        <v>Food</v>
      </c>
    </row>
    <row r="8" spans="1:8" ht="18" outlineLevel="1">
      <c r="A8" s="31" t="s">
        <v>409</v>
      </c>
      <c r="B8" s="10">
        <f>100</f>
        <v>100</v>
      </c>
      <c r="C8" s="10">
        <v>100</v>
      </c>
      <c r="D8" s="10"/>
      <c r="E8" s="10"/>
      <c r="F8" s="10"/>
      <c r="G8" s="10">
        <f t="shared" si="0"/>
        <v>0</v>
      </c>
      <c r="H8" s="12" t="str">
        <f>A8</f>
        <v>House Deposit</v>
      </c>
    </row>
    <row r="9" spans="1:8" ht="18" outlineLevel="1">
      <c r="A9" s="31" t="s">
        <v>170</v>
      </c>
      <c r="B9" s="10">
        <f>IF(G1="Remaining",20*4,IF(H1= "Remaining",20* 5,""))</f>
        <v>80</v>
      </c>
      <c r="C9" s="10">
        <f>40+40</f>
        <v>80</v>
      </c>
      <c r="D9" s="10"/>
      <c r="E9" s="10">
        <f>19.99+35</f>
        <v>54.989999999999995</v>
      </c>
      <c r="F9" s="10"/>
      <c r="G9" s="10">
        <f t="shared" si="0"/>
        <v>-54.989999999999995</v>
      </c>
      <c r="H9" s="12" t="str">
        <f>A9</f>
        <v>Gift Fund</v>
      </c>
    </row>
    <row r="10" spans="1:8" ht="18" outlineLevel="1">
      <c r="A10" s="31" t="s">
        <v>171</v>
      </c>
      <c r="B10" s="10">
        <f>IF(G1="Remaining",20*4,IF(H1= "Remaining",20* 5,""))</f>
        <v>80</v>
      </c>
      <c r="C10" s="10">
        <v>80</v>
      </c>
      <c r="D10" s="10"/>
      <c r="E10" s="10"/>
      <c r="F10" s="10"/>
      <c r="G10" s="10">
        <f t="shared" si="0"/>
        <v>0</v>
      </c>
      <c r="H10" s="12" t="str">
        <f>A10</f>
        <v>Holiday Fund</v>
      </c>
    </row>
    <row r="11" spans="1:8" ht="18" outlineLevel="1">
      <c r="A11" s="31" t="s">
        <v>172</v>
      </c>
      <c r="B11" s="10" t="e">
        <f>IF(B28 &lt;&gt; 0,B28-B4-B13-B25,0)</f>
        <v>#REF!</v>
      </c>
      <c r="C11" s="10">
        <f>39+10+40+15+50+36+5</f>
        <v>195</v>
      </c>
      <c r="D11" s="10">
        <v>28.93</v>
      </c>
      <c r="E11" s="10">
        <f>3+24.99+9.99</f>
        <v>37.979999999999997</v>
      </c>
      <c r="F11" s="10"/>
      <c r="G11" s="10" t="e">
        <f t="shared" si="0"/>
        <v>#REF!</v>
      </c>
      <c r="H11" s="12" t="s">
        <v>172</v>
      </c>
    </row>
    <row r="12" spans="1:8" ht="18" outlineLevel="1">
      <c r="A12" s="185"/>
      <c r="B12" s="10"/>
      <c r="C12" s="10"/>
      <c r="D12" s="10"/>
      <c r="E12" s="10"/>
      <c r="F12" s="10"/>
      <c r="G12" s="10"/>
      <c r="H12" s="9"/>
    </row>
    <row r="13" spans="1:8" ht="18">
      <c r="A13" s="177" t="s">
        <v>189</v>
      </c>
      <c r="B13" s="183" t="e">
        <f>SUM(B14:B22)</f>
        <v>#REF!</v>
      </c>
      <c r="C13" s="10"/>
      <c r="D13" s="10"/>
      <c r="E13" s="10"/>
      <c r="F13" s="10"/>
      <c r="G13" s="184" t="e">
        <f>"Remaining: £" &amp; ROUND(SUM(G14:G22),2)</f>
        <v>#REF!</v>
      </c>
      <c r="H13" s="9"/>
    </row>
    <row r="14" spans="1:8" ht="18" outlineLevel="1">
      <c r="A14" s="31" t="s">
        <v>411</v>
      </c>
      <c r="B14" s="10">
        <v>153.66999999999999</v>
      </c>
      <c r="C14" s="10"/>
      <c r="D14" s="10"/>
      <c r="E14" s="10"/>
      <c r="F14" s="10"/>
      <c r="G14" s="10">
        <f t="shared" ref="G14:G22" si="2">IF(B14&lt;&gt;"",B14-C14-D14-E14-F14,"")</f>
        <v>153.66999999999999</v>
      </c>
      <c r="H14" s="12" t="str">
        <f t="shared" ref="H14:H21" si="3">A14</f>
        <v>Car ins.</v>
      </c>
    </row>
    <row r="15" spans="1:8" ht="18" outlineLevel="1">
      <c r="A15" s="31" t="s">
        <v>175</v>
      </c>
      <c r="B15" s="10">
        <v>104.92</v>
      </c>
      <c r="C15" s="10">
        <v>104.92</v>
      </c>
      <c r="D15" s="10"/>
      <c r="E15" s="10"/>
      <c r="F15" s="10"/>
      <c r="G15" s="10">
        <f t="shared" si="2"/>
        <v>0</v>
      </c>
      <c r="H15" s="12" t="str">
        <f t="shared" si="3"/>
        <v>Ring</v>
      </c>
    </row>
    <row r="16" spans="1:8" ht="18" outlineLevel="1">
      <c r="A16" s="31" t="s">
        <v>176</v>
      </c>
      <c r="B16" s="10">
        <f>'Joint Outgoings'!C29</f>
        <v>16.989999999999998</v>
      </c>
      <c r="C16" s="10"/>
      <c r="D16" s="10"/>
      <c r="E16" s="10"/>
      <c r="F16" s="10"/>
      <c r="G16" s="10">
        <f t="shared" si="2"/>
        <v>16.989999999999998</v>
      </c>
      <c r="H16" s="12" t="str">
        <f t="shared" si="3"/>
        <v xml:space="preserve">Phone </v>
      </c>
    </row>
    <row r="17" spans="1:8" ht="18" outlineLevel="1">
      <c r="A17" s="31" t="s">
        <v>177</v>
      </c>
      <c r="B17" s="10">
        <v>17.989999999999998</v>
      </c>
      <c r="C17" s="10">
        <v>17.989999999999998</v>
      </c>
      <c r="D17" s="10"/>
      <c r="E17" s="10"/>
      <c r="F17" s="10"/>
      <c r="G17" s="10">
        <f t="shared" si="2"/>
        <v>0</v>
      </c>
      <c r="H17" s="12" t="str">
        <f t="shared" si="3"/>
        <v>Gym</v>
      </c>
    </row>
    <row r="18" spans="1:8" ht="18" outlineLevel="1">
      <c r="A18" s="31" t="s">
        <v>178</v>
      </c>
      <c r="B18" s="10">
        <f>'Joint Outgoings'!C25</f>
        <v>200</v>
      </c>
      <c r="C18" s="10">
        <v>12.68</v>
      </c>
      <c r="D18" s="10"/>
      <c r="E18" s="10"/>
      <c r="F18" s="10"/>
      <c r="G18" s="10">
        <f t="shared" si="2"/>
        <v>187.32</v>
      </c>
      <c r="H18" s="12" t="str">
        <f t="shared" si="3"/>
        <v>Car v.tax</v>
      </c>
    </row>
    <row r="19" spans="1:8" ht="18" outlineLevel="1">
      <c r="A19" s="31" t="s">
        <v>179</v>
      </c>
      <c r="B19" s="10" t="e">
        <f>'Joint Outgoings'!#REF!</f>
        <v>#REF!</v>
      </c>
      <c r="C19" s="10"/>
      <c r="D19" s="10"/>
      <c r="E19" s="10">
        <v>9.99</v>
      </c>
      <c r="F19" s="10"/>
      <c r="G19" s="10" t="e">
        <f t="shared" si="2"/>
        <v>#REF!</v>
      </c>
      <c r="H19" s="12" t="str">
        <f t="shared" si="3"/>
        <v>Sky Movies</v>
      </c>
    </row>
    <row r="20" spans="1:8" ht="18" outlineLevel="1">
      <c r="A20" s="31" t="s">
        <v>180</v>
      </c>
      <c r="B20" s="10" t="e">
        <f>'Joint Outgoings'!#REF!</f>
        <v>#REF!</v>
      </c>
      <c r="C20" s="10"/>
      <c r="D20" s="10">
        <v>9.99</v>
      </c>
      <c r="E20" s="10"/>
      <c r="F20" s="10"/>
      <c r="G20" s="10" t="e">
        <f>IF(B20&lt;&gt;"",B20-C20-D20-E20-F20,"")</f>
        <v>#REF!</v>
      </c>
      <c r="H20" s="12" t="str">
        <f>A20</f>
        <v>Spotify</v>
      </c>
    </row>
    <row r="21" spans="1:8" ht="18" outlineLevel="1">
      <c r="A21" s="31" t="s">
        <v>181</v>
      </c>
      <c r="B21" s="10">
        <v>7.48</v>
      </c>
      <c r="C21" s="10">
        <v>7.48</v>
      </c>
      <c r="D21" s="10"/>
      <c r="E21" s="10"/>
      <c r="F21" s="10"/>
      <c r="G21" s="10">
        <f t="shared" si="2"/>
        <v>0</v>
      </c>
      <c r="H21" s="12" t="str">
        <f t="shared" si="3"/>
        <v>Onedrive</v>
      </c>
    </row>
    <row r="22" spans="1:8" ht="18" outlineLevel="1">
      <c r="A22" s="31" t="s">
        <v>182</v>
      </c>
      <c r="B22" s="10">
        <v>7.99</v>
      </c>
      <c r="C22" s="10"/>
      <c r="D22" s="10">
        <v>7.99</v>
      </c>
      <c r="E22" s="10"/>
      <c r="F22" s="10"/>
      <c r="G22" s="10">
        <f t="shared" si="2"/>
        <v>0</v>
      </c>
      <c r="H22" s="12" t="str">
        <f>A22</f>
        <v>Amazon Prime</v>
      </c>
    </row>
    <row r="23" spans="1:8" ht="18" outlineLevel="1">
      <c r="A23" s="185"/>
      <c r="B23" s="10"/>
      <c r="C23" s="10"/>
      <c r="D23" s="10"/>
      <c r="E23" s="10"/>
      <c r="F23" s="10"/>
      <c r="G23" s="10"/>
      <c r="H23" s="9"/>
    </row>
    <row r="24" spans="1:8" ht="18">
      <c r="A24" s="177" t="s">
        <v>183</v>
      </c>
      <c r="B24" s="10"/>
      <c r="C24" s="10"/>
      <c r="D24" s="10"/>
      <c r="E24" s="10"/>
      <c r="F24" s="10"/>
      <c r="G24" s="10"/>
      <c r="H24" s="9"/>
    </row>
    <row r="25" spans="1:8" ht="18" outlineLevel="1">
      <c r="A25" s="31" t="s">
        <v>184</v>
      </c>
      <c r="B25" s="10">
        <f>SUM(C25:F25)</f>
        <v>0</v>
      </c>
      <c r="C25" s="10"/>
      <c r="D25" s="10"/>
      <c r="E25" s="10"/>
      <c r="F25" s="10"/>
      <c r="G25" s="10"/>
      <c r="H25" s="9"/>
    </row>
    <row r="26" spans="1:8" ht="18" outlineLevel="1">
      <c r="A26" s="31" t="s">
        <v>185</v>
      </c>
      <c r="B26" s="10">
        <f>SUM(C26:F26)</f>
        <v>0</v>
      </c>
      <c r="C26" s="10"/>
      <c r="D26" s="10"/>
      <c r="E26" s="10"/>
      <c r="F26" s="10"/>
      <c r="G26" s="10"/>
      <c r="H26" s="9"/>
    </row>
    <row r="27" spans="1:8" ht="18" outlineLevel="1">
      <c r="A27" s="31" t="s">
        <v>412</v>
      </c>
      <c r="B27" s="10">
        <f>SUM(C27:F27)</f>
        <v>0</v>
      </c>
      <c r="C27" s="10"/>
      <c r="D27" s="10"/>
      <c r="E27" s="10"/>
      <c r="F27" s="10"/>
      <c r="G27" s="10"/>
      <c r="H27" s="9"/>
    </row>
    <row r="28" spans="1:8" ht="18">
      <c r="A28" s="179" t="s">
        <v>413</v>
      </c>
      <c r="B28" s="296">
        <f>SUM(C28:F28)+B29</f>
        <v>1052.3599999999999</v>
      </c>
      <c r="C28" s="26">
        <f>945.16+0.14+55+5</f>
        <v>1005.3</v>
      </c>
      <c r="D28" s="26"/>
      <c r="E28" s="27">
        <v>40</v>
      </c>
      <c r="F28" s="36"/>
      <c r="G28" s="46" t="e">
        <f>SUM(G14:G22)+SUM(G5:G11)&amp; " / " &amp; B28</f>
        <v>#REF!</v>
      </c>
      <c r="H28" s="10"/>
    </row>
    <row r="29" spans="1:8" ht="18">
      <c r="A29" s="205" t="s">
        <v>414</v>
      </c>
      <c r="B29" s="296">
        <v>7.06</v>
      </c>
      <c r="C29" s="49"/>
      <c r="D29" s="26"/>
      <c r="E29" s="23"/>
      <c r="F29" s="25"/>
      <c r="G29" s="79" t="e">
        <f>IF(ROUND(SUM(G5:G21),2)&gt;0,IF(ROUND(SUM(G5:G21),2)&lt;ROUND(SUMIF(G5:G21,"&gt;0"),2),"NOT ENOUGH MONEY",""),"NO MONEY")</f>
        <v>#REF!</v>
      </c>
      <c r="H29" s="11"/>
    </row>
    <row r="30" spans="1:8" ht="18">
      <c r="A30" s="17" t="s">
        <v>187</v>
      </c>
      <c r="B30" s="17" t="str">
        <f ca="1">IF(MONTH(TODAY()) = 11, IF(MONTH(A1(RIGHT,3)) = 11, "Bike insurance due",""),"")</f>
        <v/>
      </c>
      <c r="C30" s="59"/>
      <c r="D30" s="16"/>
      <c r="E30" s="16"/>
      <c r="F30" s="16"/>
    </row>
    <row r="31" spans="1:8" ht="18">
      <c r="A31" s="17"/>
      <c r="B31" s="17" t="str">
        <f ca="1">IF(MONTH(TODAY()) = 6, IF(MONTH(A1(RIGHT,3)) = 6, "Bike insurance due",""),"")</f>
        <v/>
      </c>
      <c r="C31" s="20"/>
      <c r="D31" s="39"/>
      <c r="E31" s="16"/>
      <c r="F31" s="18"/>
      <c r="G31" s="11"/>
    </row>
    <row r="32" spans="1:8" ht="18">
      <c r="A32" s="17"/>
      <c r="B32" s="17"/>
      <c r="C32" s="39"/>
      <c r="D32" s="39"/>
      <c r="E32" s="43"/>
      <c r="F32" s="20"/>
      <c r="G32" s="11"/>
      <c r="H32" s="11"/>
    </row>
    <row r="33" spans="1:6" ht="18">
      <c r="A33" s="10" t="s">
        <v>188</v>
      </c>
      <c r="B33" s="10"/>
      <c r="C33" s="40"/>
      <c r="D33" s="41"/>
      <c r="E33" s="41"/>
      <c r="F33" s="41"/>
    </row>
    <row r="34" spans="1:6" ht="18">
      <c r="A34" s="20"/>
      <c r="B34" s="10"/>
      <c r="D34" s="42"/>
    </row>
    <row r="36" spans="1:6" ht="18">
      <c r="A36" t="s">
        <v>415</v>
      </c>
      <c r="B36" s="10" t="s">
        <v>416</v>
      </c>
    </row>
    <row r="37" spans="1:6">
      <c r="A37">
        <v>40</v>
      </c>
      <c r="B37" t="s">
        <v>97</v>
      </c>
    </row>
    <row r="38" spans="1:6">
      <c r="A38">
        <v>30</v>
      </c>
      <c r="B38" t="s">
        <v>35</v>
      </c>
    </row>
    <row r="39" spans="1:6">
      <c r="A39">
        <f>SUM(A37:A38)</f>
        <v>70</v>
      </c>
    </row>
  </sheetData>
  <sortState xmlns:xlrd2="http://schemas.microsoft.com/office/spreadsheetml/2017/richdata2" ref="A14:H21">
    <sortCondition descending="1" ref="B14:B21"/>
  </sortState>
  <dataConsolidate/>
  <conditionalFormatting sqref="G5:G11">
    <cfRule type="cellIs" dxfId="394" priority="2" operator="lessThan">
      <formula>0</formula>
    </cfRule>
    <cfRule type="cellIs" dxfId="393" priority="3" operator="equal">
      <formula>0</formula>
    </cfRule>
    <cfRule type="cellIs" dxfId="392" priority="4" operator="greaterThan">
      <formula>0</formula>
    </cfRule>
  </conditionalFormatting>
  <conditionalFormatting sqref="G14:G22">
    <cfRule type="cellIs" dxfId="391" priority="5" operator="equal">
      <formula>0</formula>
    </cfRule>
    <cfRule type="cellIs" dxfId="390" priority="6" operator="lessThan">
      <formula>0</formula>
    </cfRule>
    <cfRule type="cellIs" dxfId="389" priority="7"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11579D8C-5CB0-1C49-9C8F-BDDE3F258C7A}">
            <xm:f>NOT(ISERROR(SEARCH("-",G28)))</xm:f>
            <xm:f>"-"</xm:f>
            <x14:dxf>
              <font>
                <color rgb="FF9C0006"/>
              </font>
              <fill>
                <patternFill>
                  <bgColor rgb="FFFFC7CE"/>
                </patternFill>
              </fill>
            </x14:dxf>
          </x14:cfRule>
          <xm:sqref>G28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J36"/>
  <sheetViews>
    <sheetView workbookViewId="0"/>
  </sheetViews>
  <sheetFormatPr defaultColWidth="11.33203125" defaultRowHeight="14.4" outlineLevelRow="1"/>
  <cols>
    <col min="1" max="1" width="15.44140625" customWidth="1"/>
    <col min="2" max="2" width="28.109375" customWidth="1"/>
    <col min="3" max="7" width="25" customWidth="1"/>
    <col min="8" max="8" width="19.44140625" customWidth="1"/>
    <col min="9" max="9" width="15.44140625" customWidth="1"/>
  </cols>
  <sheetData>
    <row r="1" spans="1:10" ht="18">
      <c r="A1" s="103" t="s">
        <v>163</v>
      </c>
      <c r="B1" s="13" t="s">
        <v>164</v>
      </c>
      <c r="C1" s="44" t="str">
        <f>"26/04/17" &amp; " - " &amp; "02/05/17"</f>
        <v>26/04/17 - 02/05/17</v>
      </c>
      <c r="D1" s="44" t="str">
        <f>TEXT(DATEVALUE(RIGHT(C1,8))+1,"dd/mm/yy")&amp; " - "&amp; TEXT(DATEVALUE(RIGHT(C1,8))+7,"dd/mm/yy")</f>
        <v>03/05/17 - 09/05/17</v>
      </c>
      <c r="E1" s="44" t="str">
        <f>TEXT(DATEVALUE(RIGHT(D1,8))+1,"dd/mm/yy")&amp; " - "&amp; TEXT(DATEVALUE(RIGHT(D1,8))+7,"dd/mm/yy")</f>
        <v>10/05/17 - 16/05/17</v>
      </c>
      <c r="F1" s="44" t="str">
        <f>TEXT(DATEVALUE(RIGHT(E1,8))+1,"dd/mm/yy")&amp; " - "&amp; TEXT(DATEVALUE(RIGHT(E1,8))+7,"dd/mm/yy")</f>
        <v>17/05/17 - 23/05/17</v>
      </c>
      <c r="G1" s="44" t="str">
        <f>TEXT(DATEVALUE(RIGHT(F1,8))+1,"dd/mm/yy")&amp; " - "&amp; TEXT(DATEVALUE(RIGHT(F1,8))+7,"dd/mm/yy")</f>
        <v>24/05/17 - 30/05/17</v>
      </c>
      <c r="H1" s="12" t="s">
        <v>10</v>
      </c>
      <c r="I1" s="9"/>
    </row>
    <row r="2" spans="1:10" ht="18">
      <c r="A2" s="12" t="s">
        <v>165</v>
      </c>
      <c r="B2" s="10"/>
      <c r="C2" s="296">
        <f>SUM(C5:C22)</f>
        <v>989.81000000000006</v>
      </c>
      <c r="D2" s="296">
        <f>SUM(D5:D22)</f>
        <v>346.05999999999995</v>
      </c>
      <c r="E2" s="296">
        <f>SUM(E5:E22)</f>
        <v>0</v>
      </c>
      <c r="F2" s="296">
        <f>SUM(F5:F22)</f>
        <v>203.03</v>
      </c>
      <c r="G2" s="296">
        <f>SUM(G5:G22)</f>
        <v>113.75999999999999</v>
      </c>
      <c r="H2" s="10"/>
      <c r="I2" s="9"/>
    </row>
    <row r="3" spans="1:10" ht="18">
      <c r="A3" s="9"/>
      <c r="B3" s="10"/>
      <c r="C3" s="296"/>
      <c r="D3" s="296"/>
      <c r="E3" s="296"/>
      <c r="F3" s="296"/>
      <c r="G3" s="296"/>
      <c r="H3" s="10"/>
      <c r="I3" s="9"/>
    </row>
    <row r="4" spans="1:10" ht="18">
      <c r="A4" s="178" t="s">
        <v>166</v>
      </c>
      <c r="B4" s="183">
        <f>SUM(B5:B10)</f>
        <v>110</v>
      </c>
      <c r="C4" s="296"/>
      <c r="D4" s="296"/>
      <c r="E4" s="296"/>
      <c r="F4" s="296"/>
      <c r="G4" s="296"/>
      <c r="H4" s="184" t="str">
        <f>"Remaining: £" &amp; SUM(H5:H10)</f>
        <v>Remaining: £-23.04</v>
      </c>
      <c r="I4" s="9"/>
    </row>
    <row r="5" spans="1:10" ht="18" outlineLevel="1">
      <c r="A5" s="31" t="s">
        <v>167</v>
      </c>
      <c r="B5" s="17">
        <v>30</v>
      </c>
      <c r="C5" s="10">
        <v>34.58</v>
      </c>
      <c r="D5" s="10"/>
      <c r="E5" s="10"/>
      <c r="F5" s="10"/>
      <c r="G5" s="10"/>
      <c r="H5" s="10">
        <f>IF(B5&lt;&gt;"",B5-C5-D5-E5-F5-G5,"")</f>
        <v>-4.5799999999999983</v>
      </c>
      <c r="I5" s="12" t="str">
        <f>A5</f>
        <v xml:space="preserve">Car Petrol </v>
      </c>
      <c r="J5">
        <f>IF(H5&lt;0,H5*-1)</f>
        <v>4.5799999999999983</v>
      </c>
    </row>
    <row r="6" spans="1:10" ht="18" outlineLevel="1">
      <c r="A6" s="31" t="s">
        <v>168</v>
      </c>
      <c r="B6" s="17">
        <v>0</v>
      </c>
      <c r="C6" s="10"/>
      <c r="D6" s="10"/>
      <c r="E6" s="10"/>
      <c r="F6" s="10"/>
      <c r="G6" s="10"/>
      <c r="H6" s="10">
        <f t="shared" ref="H6" si="0">IF(B6&lt;&gt;"",B6-C6-D6-E6-F6-G6,"")</f>
        <v>0</v>
      </c>
      <c r="I6" s="12" t="str">
        <f t="shared" ref="I6" si="1">A6</f>
        <v>Bike petrol</v>
      </c>
      <c r="J6" t="b">
        <f t="shared" ref="J6:J10" si="2">IF(H6&lt;0,H6*-1)</f>
        <v>0</v>
      </c>
    </row>
    <row r="7" spans="1:10" ht="18" outlineLevel="1">
      <c r="A7" s="31" t="s">
        <v>409</v>
      </c>
      <c r="B7" s="10">
        <v>0</v>
      </c>
      <c r="C7" s="10"/>
      <c r="D7" s="10"/>
      <c r="E7" s="10"/>
      <c r="F7" s="10"/>
      <c r="G7" s="10"/>
      <c r="H7" s="10">
        <f>IF(B7&lt;&gt;"",B7-C7-D7-E7-F7-G7,"")</f>
        <v>0</v>
      </c>
      <c r="I7" s="12" t="str">
        <f>A7</f>
        <v>House Deposit</v>
      </c>
      <c r="J7" t="b">
        <f t="shared" si="2"/>
        <v>0</v>
      </c>
    </row>
    <row r="8" spans="1:10" ht="18" outlineLevel="1">
      <c r="A8" s="31" t="s">
        <v>169</v>
      </c>
      <c r="B8" s="10">
        <v>40</v>
      </c>
      <c r="C8" s="206">
        <f>1+6+3.45+5.9+5.3+2</f>
        <v>23.650000000000002</v>
      </c>
      <c r="D8" s="10">
        <f>14.08+4.79+7.93</f>
        <v>26.8</v>
      </c>
      <c r="E8" s="10"/>
      <c r="F8" s="10"/>
      <c r="G8" s="10"/>
      <c r="H8" s="10">
        <f t="shared" ref="H8:H10" si="3">IF(B8&lt;&gt;"",B8-C8-D8-E8-F8-G8,"")</f>
        <v>-10.450000000000003</v>
      </c>
      <c r="I8" s="12" t="str">
        <f>A8</f>
        <v>Food</v>
      </c>
      <c r="J8">
        <f t="shared" si="2"/>
        <v>10.450000000000003</v>
      </c>
    </row>
    <row r="9" spans="1:10" ht="18" outlineLevel="1">
      <c r="A9" s="31" t="s">
        <v>170</v>
      </c>
      <c r="B9" s="10">
        <v>40</v>
      </c>
      <c r="C9" s="206">
        <f>10+12.79</f>
        <v>22.79</v>
      </c>
      <c r="D9" s="10">
        <f>4.99+5+15.23</f>
        <v>25.22</v>
      </c>
      <c r="E9" s="10"/>
      <c r="F9" s="10"/>
      <c r="G9" s="10"/>
      <c r="H9" s="10">
        <f t="shared" si="3"/>
        <v>-8.009999999999998</v>
      </c>
      <c r="I9" s="12" t="str">
        <f>A9</f>
        <v>Gift Fund</v>
      </c>
      <c r="J9">
        <f t="shared" si="2"/>
        <v>8.009999999999998</v>
      </c>
    </row>
    <row r="10" spans="1:10" ht="18" outlineLevel="1">
      <c r="A10" s="31" t="s">
        <v>171</v>
      </c>
      <c r="B10" s="10">
        <v>0</v>
      </c>
      <c r="C10" s="206"/>
      <c r="D10" s="10"/>
      <c r="E10" s="10"/>
      <c r="F10" s="10"/>
      <c r="G10" s="10"/>
      <c r="H10" s="10">
        <f t="shared" si="3"/>
        <v>0</v>
      </c>
      <c r="I10" s="12" t="str">
        <f>A10</f>
        <v>Holiday Fund</v>
      </c>
      <c r="J10" t="b">
        <f t="shared" si="2"/>
        <v>0</v>
      </c>
    </row>
    <row r="11" spans="1:10" ht="18" outlineLevel="1">
      <c r="A11" s="31" t="s">
        <v>172</v>
      </c>
      <c r="B11" s="10">
        <f ca="1">IF(B29 &lt;&gt; 0,B29-SUM(B5:B10)-B13-B27-J11,0)</f>
        <v>1004.99</v>
      </c>
      <c r="C11" s="206">
        <f>300+70+35.22+14.78+15+82.94+(23.77-12.79)+8.99+4.72+22.98+79.53+35.59</f>
        <v>680.73000000000013</v>
      </c>
      <c r="D11" s="10">
        <f>6+19.98+80.74+6.34+(13.03-4.99)+13.99+2.78+2.5</f>
        <v>140.37</v>
      </c>
      <c r="E11" s="10"/>
      <c r="F11" s="10">
        <f>99.99+34.8</f>
        <v>134.79</v>
      </c>
      <c r="G11" s="10">
        <f>17.14+1.25+9.49+1.25+11.59+1.25+28.27+1.99+11.8+29.73</f>
        <v>113.75999999999999</v>
      </c>
      <c r="H11" s="10">
        <f ca="1">IF(B11&lt;&gt;"",B11-C11-D11-E11-F11-G11,"")</f>
        <v>-64.66000000000011</v>
      </c>
      <c r="I11" s="12" t="s">
        <v>172</v>
      </c>
      <c r="J11">
        <f>SUM(J5:J9)</f>
        <v>23.04</v>
      </c>
    </row>
    <row r="12" spans="1:10" ht="18" outlineLevel="1">
      <c r="A12" s="185"/>
      <c r="B12" s="10"/>
      <c r="C12" s="206"/>
      <c r="D12" s="10"/>
      <c r="E12" s="10"/>
      <c r="F12" s="10"/>
      <c r="G12" s="10"/>
      <c r="H12" s="10"/>
      <c r="I12" s="9"/>
    </row>
    <row r="13" spans="1:10" s="182" customFormat="1" ht="18">
      <c r="A13" s="177" t="s">
        <v>173</v>
      </c>
      <c r="B13" s="183">
        <f ca="1">SUM(B14:B23)</f>
        <v>590.03</v>
      </c>
      <c r="C13" s="207"/>
      <c r="D13" s="181"/>
      <c r="E13" s="181"/>
      <c r="F13" s="181"/>
      <c r="G13" s="181"/>
      <c r="H13" s="184" t="str">
        <f ca="1">"Remaining: £" &amp; SUM(H14:H23)</f>
        <v>Remaining: £140.06</v>
      </c>
      <c r="I13" s="186"/>
    </row>
    <row r="14" spans="1:10" ht="18" outlineLevel="1">
      <c r="A14" s="31" t="s">
        <v>411</v>
      </c>
      <c r="B14" s="10">
        <f>153.67</f>
        <v>153.66999999999999</v>
      </c>
      <c r="C14" s="206"/>
      <c r="D14" s="10">
        <v>153.66999999999999</v>
      </c>
      <c r="E14" s="10"/>
      <c r="F14" s="10"/>
      <c r="G14" s="10"/>
      <c r="H14" s="10">
        <f t="shared" ref="H14:H23" si="4">IF(B14&lt;&gt;"",B14-C14-D14-E14-F14-G14,"")</f>
        <v>0</v>
      </c>
      <c r="I14" s="12" t="str">
        <f t="shared" ref="I14:I24" si="5">A14</f>
        <v>Car ins.</v>
      </c>
    </row>
    <row r="15" spans="1:10" ht="18" outlineLevel="1">
      <c r="A15" s="31" t="s">
        <v>175</v>
      </c>
      <c r="B15" s="10">
        <v>104.92</v>
      </c>
      <c r="C15" s="206">
        <v>104.92</v>
      </c>
      <c r="D15" s="10"/>
      <c r="E15" s="10"/>
      <c r="F15" s="10"/>
      <c r="G15" s="10"/>
      <c r="H15" s="10">
        <f t="shared" si="4"/>
        <v>0</v>
      </c>
      <c r="I15" s="12" t="str">
        <f t="shared" si="5"/>
        <v>Ring</v>
      </c>
    </row>
    <row r="16" spans="1:10" ht="18" outlineLevel="1">
      <c r="A16" s="31" t="s">
        <v>417</v>
      </c>
      <c r="B16" s="10">
        <v>84.48</v>
      </c>
      <c r="C16" s="206">
        <v>84.48</v>
      </c>
      <c r="D16" s="10"/>
      <c r="E16" s="10"/>
      <c r="F16" s="10"/>
      <c r="G16" s="10"/>
      <c r="H16" s="10">
        <f t="shared" si="4"/>
        <v>0</v>
      </c>
      <c r="I16" s="12" t="str">
        <f t="shared" si="5"/>
        <v>Travel Ins.</v>
      </c>
    </row>
    <row r="17" spans="1:9" ht="18" outlineLevel="1">
      <c r="A17" s="31" t="s">
        <v>176</v>
      </c>
      <c r="B17" s="10">
        <f>'Joint Outgoings'!C29</f>
        <v>16.989999999999998</v>
      </c>
      <c r="C17" s="206"/>
      <c r="D17" s="10"/>
      <c r="E17" s="10"/>
      <c r="F17" s="10">
        <v>46.26</v>
      </c>
      <c r="G17" s="10"/>
      <c r="H17" s="10">
        <f t="shared" si="4"/>
        <v>-29.27</v>
      </c>
      <c r="I17" s="12" t="str">
        <f t="shared" si="5"/>
        <v xml:space="preserve">Phone </v>
      </c>
    </row>
    <row r="18" spans="1:9" ht="18" outlineLevel="1">
      <c r="A18" s="31" t="s">
        <v>418</v>
      </c>
      <c r="B18" s="10">
        <f ca="1">IF(MONTH(TODAY())=5,17.99,0)</f>
        <v>0</v>
      </c>
      <c r="C18" s="206"/>
      <c r="D18" s="10"/>
      <c r="E18" s="10"/>
      <c r="F18" s="10">
        <v>17.989999999999998</v>
      </c>
      <c r="G18" s="10"/>
      <c r="H18" s="10">
        <f t="shared" ca="1" si="4"/>
        <v>-17.989999999999998</v>
      </c>
      <c r="I18" s="12" t="str">
        <f t="shared" si="5"/>
        <v xml:space="preserve">Gadget Ins. </v>
      </c>
    </row>
    <row r="19" spans="1:9" ht="18" outlineLevel="1">
      <c r="A19" s="31" t="s">
        <v>177</v>
      </c>
      <c r="B19" s="10">
        <v>17.989999999999998</v>
      </c>
      <c r="C19" s="206">
        <v>17.989999999999998</v>
      </c>
      <c r="D19" s="10"/>
      <c r="E19" s="10"/>
      <c r="F19" s="10"/>
      <c r="G19" s="10"/>
      <c r="H19" s="10">
        <f t="shared" si="4"/>
        <v>0</v>
      </c>
      <c r="I19" s="12" t="str">
        <f t="shared" si="5"/>
        <v>Gym</v>
      </c>
    </row>
    <row r="20" spans="1:9" ht="18" outlineLevel="1">
      <c r="A20" s="31" t="s">
        <v>178</v>
      </c>
      <c r="B20" s="10">
        <f>'Joint Outgoings'!C25</f>
        <v>200</v>
      </c>
      <c r="C20" s="206">
        <v>12.68</v>
      </c>
      <c r="D20" s="10"/>
      <c r="E20" s="10"/>
      <c r="F20" s="10"/>
      <c r="G20" s="10"/>
      <c r="H20" s="10">
        <f t="shared" si="4"/>
        <v>187.32</v>
      </c>
      <c r="I20" s="12" t="str">
        <f t="shared" si="5"/>
        <v>Car v.tax</v>
      </c>
    </row>
    <row r="21" spans="1:9" ht="18" outlineLevel="1">
      <c r="A21" s="31" t="s">
        <v>179</v>
      </c>
      <c r="B21" s="10">
        <v>3.99</v>
      </c>
      <c r="C21" s="10"/>
      <c r="D21" s="10"/>
      <c r="E21" s="10"/>
      <c r="F21" s="10">
        <v>3.99</v>
      </c>
      <c r="G21" s="10"/>
      <c r="H21" s="10">
        <f t="shared" si="4"/>
        <v>0</v>
      </c>
      <c r="I21" s="12" t="str">
        <f t="shared" si="5"/>
        <v>Sky Movies</v>
      </c>
    </row>
    <row r="22" spans="1:9" ht="18" outlineLevel="1">
      <c r="A22" s="31" t="s">
        <v>181</v>
      </c>
      <c r="B22" s="10">
        <v>7.99</v>
      </c>
      <c r="C22" s="10">
        <v>7.99</v>
      </c>
      <c r="D22" s="10"/>
      <c r="E22" s="10"/>
      <c r="F22" s="10"/>
      <c r="G22" s="10"/>
      <c r="H22" s="10">
        <f t="shared" si="4"/>
        <v>0</v>
      </c>
      <c r="I22" s="12" t="str">
        <f t="shared" si="5"/>
        <v>Onedrive</v>
      </c>
    </row>
    <row r="23" spans="1:9" ht="18" outlineLevel="1">
      <c r="A23" s="31" t="s">
        <v>182</v>
      </c>
      <c r="B23" s="10">
        <v>0</v>
      </c>
      <c r="C23" s="10"/>
      <c r="D23" s="10"/>
      <c r="E23" s="10"/>
      <c r="F23" s="10"/>
      <c r="G23" s="10"/>
      <c r="H23" s="10">
        <f t="shared" si="4"/>
        <v>0</v>
      </c>
      <c r="I23" s="12" t="str">
        <f t="shared" si="5"/>
        <v>Amazon Prime</v>
      </c>
    </row>
    <row r="24" spans="1:9" ht="18" outlineLevel="1">
      <c r="A24" s="31" t="s">
        <v>419</v>
      </c>
      <c r="B24" s="10"/>
      <c r="C24" s="10"/>
      <c r="D24" s="10"/>
      <c r="E24" s="10"/>
      <c r="F24" s="10"/>
      <c r="G24" s="10"/>
      <c r="H24" s="10"/>
      <c r="I24" s="12" t="str">
        <f t="shared" si="5"/>
        <v>Xbox live</v>
      </c>
    </row>
    <row r="25" spans="1:9" ht="18">
      <c r="A25" s="204"/>
      <c r="B25" s="296"/>
      <c r="C25" s="296"/>
      <c r="D25" s="296"/>
      <c r="E25" s="296"/>
      <c r="F25" s="296"/>
      <c r="G25" s="296"/>
      <c r="H25" s="46"/>
      <c r="I25" s="10"/>
    </row>
    <row r="26" spans="1:9" ht="18">
      <c r="A26" s="202" t="s">
        <v>183</v>
      </c>
      <c r="B26" s="10"/>
      <c r="C26" s="19"/>
      <c r="D26" s="19"/>
      <c r="E26" s="23"/>
      <c r="F26" s="35"/>
      <c r="G26" s="10"/>
      <c r="H26" s="10"/>
      <c r="I26" s="9"/>
    </row>
    <row r="27" spans="1:9" ht="18" outlineLevel="1">
      <c r="A27" s="31" t="s">
        <v>184</v>
      </c>
      <c r="B27" s="10">
        <f>IF(SUM(C27:G27)&lt;&gt;0,SUM(C27:G27),0)</f>
        <v>255.91</v>
      </c>
      <c r="C27" s="10"/>
      <c r="D27" s="10"/>
      <c r="E27" s="10"/>
      <c r="F27" s="10"/>
      <c r="G27" s="10">
        <f>250+5.91</f>
        <v>255.91</v>
      </c>
      <c r="H27" s="10"/>
      <c r="I27" s="9"/>
    </row>
    <row r="28" spans="1:9" ht="18" outlineLevel="1">
      <c r="A28" s="31" t="s">
        <v>185</v>
      </c>
      <c r="B28" s="10">
        <f>IF(SUM(C28:G28)&lt;&gt;0,SUM(C28:G28),0)</f>
        <v>855</v>
      </c>
      <c r="C28" s="10">
        <f>255+100</f>
        <v>355</v>
      </c>
      <c r="D28" s="10">
        <v>500</v>
      </c>
      <c r="E28" s="10"/>
      <c r="F28" s="10"/>
      <c r="G28" s="10"/>
      <c r="H28" s="10"/>
      <c r="I28" s="9"/>
    </row>
    <row r="29" spans="1:9" ht="18">
      <c r="A29" s="201" t="s">
        <v>186</v>
      </c>
      <c r="B29" s="296">
        <f>SUM(C29:G29)+B28</f>
        <v>1983.97</v>
      </c>
      <c r="C29" s="296">
        <f>1042.21+8.45+12.99+20.78+12.49</f>
        <v>1096.92</v>
      </c>
      <c r="D29" s="296">
        <v>7.99</v>
      </c>
      <c r="E29" s="296">
        <v>14.61</v>
      </c>
      <c r="F29" s="296"/>
      <c r="G29" s="296">
        <v>9.4499999999999993</v>
      </c>
      <c r="H29" s="46" t="str">
        <f ca="1">ROUND(SUMIF(H5:H28,"&gt;0"),2) &amp; " / " &amp; B29</f>
        <v>187.32 / 1983.97</v>
      </c>
      <c r="I29" s="10"/>
    </row>
    <row r="30" spans="1:9" ht="18">
      <c r="A30" s="17" t="s">
        <v>187</v>
      </c>
      <c r="B30" s="17" t="str">
        <f ca="1">IF(MONTH(TODAY()) = 11, IF(MONTH(A1(RIGHT,3)) = 11, "Bike insurance due",""),"")</f>
        <v/>
      </c>
      <c r="C30" s="53"/>
      <c r="D30" s="51"/>
      <c r="E30" s="16"/>
      <c r="F30" s="21"/>
      <c r="G30" s="18"/>
    </row>
    <row r="31" spans="1:9" ht="18">
      <c r="A31" s="17"/>
      <c r="B31" s="17" t="str">
        <f ca="1">IF(MONTH(TODAY()) = 6, IF(MONTH(A1(RIGHT,3)) = 6, "Bike insurance due",""),"")</f>
        <v/>
      </c>
      <c r="C31" s="20"/>
      <c r="D31" s="52"/>
      <c r="E31" s="16"/>
      <c r="F31" s="109"/>
      <c r="G31" s="18"/>
      <c r="H31" s="11"/>
    </row>
    <row r="32" spans="1:9" ht="18">
      <c r="A32" s="17"/>
      <c r="B32" s="17"/>
      <c r="C32" s="39"/>
      <c r="D32" s="39"/>
      <c r="E32" s="43"/>
      <c r="F32" s="110"/>
      <c r="G32" s="20"/>
      <c r="H32" s="11"/>
      <c r="I32" s="11"/>
    </row>
    <row r="33" spans="1:7" ht="18">
      <c r="A33" s="10"/>
      <c r="B33" s="10"/>
      <c r="C33" s="40"/>
      <c r="D33" s="41"/>
      <c r="E33" s="41"/>
      <c r="F33" s="28"/>
      <c r="G33" s="111"/>
    </row>
    <row r="34" spans="1:7" ht="18">
      <c r="A34" s="20" t="s">
        <v>188</v>
      </c>
      <c r="B34" s="10"/>
      <c r="D34" s="42"/>
      <c r="G34" s="97"/>
    </row>
    <row r="36" spans="1:7" ht="18">
      <c r="B36" s="10"/>
    </row>
  </sheetData>
  <dataConsolidate/>
  <conditionalFormatting sqref="H5:H11">
    <cfRule type="cellIs" dxfId="387" priority="2" operator="equal">
      <formula>0</formula>
    </cfRule>
    <cfRule type="cellIs" dxfId="386" priority="3" operator="lessThan">
      <formula>0</formula>
    </cfRule>
    <cfRule type="cellIs" dxfId="385" priority="4" operator="greaterThan">
      <formula>0</formula>
    </cfRule>
  </conditionalFormatting>
  <conditionalFormatting sqref="H14:H24">
    <cfRule type="cellIs" dxfId="384" priority="5" operator="equal">
      <formula>0</formula>
    </cfRule>
    <cfRule type="cellIs" dxfId="383" priority="6" operator="lessThan">
      <formula>0</formula>
    </cfRule>
    <cfRule type="cellIs" dxfId="382" priority="7"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B242EC97-FB5A-FF47-AF63-820B8C18FEBC}">
            <xm:f>NOT(ISERROR(SEARCH("-",H26)))</xm:f>
            <xm:f>"-"</xm:f>
            <x14:dxf>
              <font>
                <color rgb="FF9C0006"/>
              </font>
              <fill>
                <patternFill>
                  <bgColor rgb="FFFFC7CE"/>
                </patternFill>
              </fill>
            </x14:dxf>
          </x14:cfRule>
          <xm:sqref>H26</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H40"/>
  <sheetViews>
    <sheetView workbookViewId="0"/>
  </sheetViews>
  <sheetFormatPr defaultColWidth="11.33203125" defaultRowHeight="14.4" outlineLevelRow="1"/>
  <cols>
    <col min="1" max="1" width="18.33203125" customWidth="1"/>
    <col min="2" max="2" width="28.109375" customWidth="1"/>
    <col min="3" max="6" width="25" customWidth="1"/>
    <col min="7" max="7" width="19.44140625" customWidth="1"/>
    <col min="8" max="8" width="15.44140625" customWidth="1"/>
  </cols>
  <sheetData>
    <row r="1" spans="1:8" ht="18">
      <c r="A1" s="180" t="s">
        <v>420</v>
      </c>
      <c r="B1" s="13" t="s">
        <v>164</v>
      </c>
      <c r="C1" s="44" t="str">
        <f>"31/05/17" &amp; " - " &amp; "06/06/17"</f>
        <v>31/05/17 - 06/06/17</v>
      </c>
      <c r="D1" s="44" t="str">
        <f>TEXT(DATEVALUE(RIGHT(C1,8))+1,"dd/mm/yy")&amp; " - "&amp; TEXT(DATEVALUE(RIGHT(C1,8))+7,"dd/mm/yy")</f>
        <v>07/06/17 - 13/06/17</v>
      </c>
      <c r="E1" s="44" t="str">
        <f>TEXT(DATEVALUE(RIGHT(D1,8))+1,"dd/mm/yy")&amp; " - "&amp; TEXT(DATEVALUE(RIGHT(D1,8))+7,"dd/mm/yy")</f>
        <v>14/06/17 - 20/06/17</v>
      </c>
      <c r="F1" s="44" t="str">
        <f>TEXT(DATEVALUE(RIGHT(E1,8))+1,"dd/mm/yy")&amp; " - "&amp; TEXT(DATEVALUE(RIGHT(E1,8))+7,"dd/mm/yy")</f>
        <v>21/06/17 - 27/06/17</v>
      </c>
      <c r="G1" s="12" t="s">
        <v>10</v>
      </c>
      <c r="H1" s="9"/>
    </row>
    <row r="2" spans="1:8" ht="18">
      <c r="A2" s="13" t="s">
        <v>165</v>
      </c>
      <c r="B2" s="10"/>
      <c r="C2" s="296">
        <f>SUM(C5:C21)</f>
        <v>517.49</v>
      </c>
      <c r="D2" s="296">
        <f>SUM(D5:D21)</f>
        <v>174.45</v>
      </c>
      <c r="E2" s="296">
        <f>SUM(E5:E21)</f>
        <v>416.53</v>
      </c>
      <c r="F2" s="296">
        <f>SUM(F5:F21)</f>
        <v>243.60999999999999</v>
      </c>
      <c r="G2" s="10"/>
      <c r="H2" s="9"/>
    </row>
    <row r="3" spans="1:8" ht="18">
      <c r="A3" s="250"/>
      <c r="B3" s="10"/>
      <c r="C3" s="296"/>
      <c r="D3" s="296"/>
      <c r="E3" s="296"/>
      <c r="F3" s="296"/>
      <c r="G3" s="10"/>
      <c r="H3" s="9"/>
    </row>
    <row r="4" spans="1:8" ht="18">
      <c r="A4" s="178" t="s">
        <v>166</v>
      </c>
      <c r="B4" s="183">
        <f>SUM(B5:B10)</f>
        <v>504.61</v>
      </c>
      <c r="C4" s="296"/>
      <c r="D4" s="296"/>
      <c r="E4" s="296"/>
      <c r="F4" s="296"/>
      <c r="G4" s="184" t="str">
        <f ca="1">"Remaining: £" &amp; ROUND(SUM(G5:G11),2)</f>
        <v>Remaining: £194.24</v>
      </c>
      <c r="H4" s="9"/>
    </row>
    <row r="5" spans="1:8" ht="18" outlineLevel="1">
      <c r="A5" s="31" t="s">
        <v>167</v>
      </c>
      <c r="B5" s="17">
        <f>IF(G1="Remaining",25*4,25*5)</f>
        <v>100</v>
      </c>
      <c r="C5" s="10">
        <v>5</v>
      </c>
      <c r="D5" s="10">
        <v>50.64</v>
      </c>
      <c r="E5" s="10">
        <f>25+35</f>
        <v>60</v>
      </c>
      <c r="F5" s="10">
        <v>50</v>
      </c>
      <c r="G5" s="10">
        <f t="shared" ref="G5:G11" si="0">IF(B5&lt;&gt;"",B5-C5-D5-E5-F5,"")</f>
        <v>-65.64</v>
      </c>
      <c r="H5" s="12" t="str">
        <f>A5</f>
        <v xml:space="preserve">Car Petrol </v>
      </c>
    </row>
    <row r="6" spans="1:8" ht="18" outlineLevel="1">
      <c r="A6" s="31" t="s">
        <v>168</v>
      </c>
      <c r="B6" s="17">
        <v>10</v>
      </c>
      <c r="C6" s="10"/>
      <c r="D6" s="10"/>
      <c r="E6" s="10"/>
      <c r="F6" s="10"/>
      <c r="G6" s="10">
        <f t="shared" si="0"/>
        <v>10</v>
      </c>
      <c r="H6" s="12" t="str">
        <f t="shared" ref="H6" si="1">A6</f>
        <v>Bike petrol</v>
      </c>
    </row>
    <row r="7" spans="1:8" ht="18" outlineLevel="1">
      <c r="A7" s="31" t="s">
        <v>169</v>
      </c>
      <c r="B7" s="10">
        <f>IF(G1="Remaining",40*4,IF(H1= "Remaining",40* 5,""))+34.61</f>
        <v>194.61</v>
      </c>
      <c r="C7" s="10">
        <f>38.99+30</f>
        <v>68.990000000000009</v>
      </c>
      <c r="D7" s="10">
        <f>5.3+2.31+10.14+0.9+12.62+18.35</f>
        <v>49.62</v>
      </c>
      <c r="E7" s="10">
        <f>10+9.48+5.88+4.2</f>
        <v>29.56</v>
      </c>
      <c r="F7" s="10">
        <f>16</f>
        <v>16</v>
      </c>
      <c r="G7" s="10">
        <f t="shared" si="0"/>
        <v>30.439999999999998</v>
      </c>
      <c r="H7" s="12" t="str">
        <f>A7</f>
        <v>Food</v>
      </c>
    </row>
    <row r="8" spans="1:8" ht="18" outlineLevel="1">
      <c r="A8" s="31" t="s">
        <v>170</v>
      </c>
      <c r="B8" s="10">
        <f>IF(G1="Remaining",20*4,IF(H1= "Remaining",20* 5,""))</f>
        <v>80</v>
      </c>
      <c r="C8" s="10">
        <f>17.99+12</f>
        <v>29.99</v>
      </c>
      <c r="D8" s="10"/>
      <c r="E8" s="10">
        <v>50</v>
      </c>
      <c r="F8" s="10"/>
      <c r="G8" s="10">
        <f t="shared" si="0"/>
        <v>1.0000000000005116E-2</v>
      </c>
      <c r="H8" s="12" t="str">
        <f>A8</f>
        <v>Gift Fund</v>
      </c>
    </row>
    <row r="9" spans="1:8" ht="18" outlineLevel="1">
      <c r="A9" s="31" t="s">
        <v>171</v>
      </c>
      <c r="B9" s="10">
        <v>80</v>
      </c>
      <c r="C9" s="10"/>
      <c r="D9" s="10"/>
      <c r="E9" s="10">
        <v>80</v>
      </c>
      <c r="F9" s="10"/>
      <c r="G9" s="10">
        <f t="shared" si="0"/>
        <v>0</v>
      </c>
      <c r="H9" s="12" t="str">
        <f>A9</f>
        <v>Holiday Fund</v>
      </c>
    </row>
    <row r="10" spans="1:8" ht="18" outlineLevel="1">
      <c r="A10" s="31" t="s">
        <v>421</v>
      </c>
      <c r="B10" s="10">
        <f>IF(G1="Remaining",10*4,IF(H1= "Remaining",10* 5,""))</f>
        <v>40</v>
      </c>
      <c r="C10" s="10"/>
      <c r="D10" s="10">
        <v>40</v>
      </c>
      <c r="E10" s="10"/>
      <c r="F10" s="10"/>
      <c r="G10" s="10">
        <f t="shared" si="0"/>
        <v>0</v>
      </c>
      <c r="H10" s="12" t="str">
        <f>A10</f>
        <v>Horse riding</v>
      </c>
    </row>
    <row r="11" spans="1:8" ht="18" outlineLevel="1">
      <c r="A11" s="31" t="s">
        <v>172</v>
      </c>
      <c r="B11" s="10">
        <f ca="1">IF(B33 &lt;&gt; 0,B33-B4-B13-B23-B31,0)</f>
        <v>829.54999999999984</v>
      </c>
      <c r="C11" s="10">
        <f>19.99+160+0.98+54.99+2.49+10+3.99+6.99</f>
        <v>259.43</v>
      </c>
      <c r="D11" s="10">
        <f>2.4+16.5+7.3</f>
        <v>26.2</v>
      </c>
      <c r="E11" s="10">
        <f>153.67+30+8.06+1.25</f>
        <v>192.98</v>
      </c>
      <c r="F11" s="10">
        <f>16.01+10.5+105</f>
        <v>131.51</v>
      </c>
      <c r="G11" s="10">
        <f t="shared" ca="1" si="0"/>
        <v>219.42999999999984</v>
      </c>
      <c r="H11" s="12" t="s">
        <v>172</v>
      </c>
    </row>
    <row r="12" spans="1:8" ht="18" outlineLevel="1">
      <c r="A12" s="185"/>
      <c r="B12" s="10"/>
      <c r="C12" s="10"/>
      <c r="D12" s="10"/>
      <c r="E12" s="10"/>
      <c r="F12" s="10"/>
      <c r="G12" s="10"/>
      <c r="H12" s="9"/>
    </row>
    <row r="13" spans="1:8" ht="18">
      <c r="A13" s="177" t="s">
        <v>422</v>
      </c>
      <c r="B13" s="183">
        <f>SUM(B14:B21)</f>
        <v>212.32000000000005</v>
      </c>
      <c r="C13" s="10"/>
      <c r="D13" s="10"/>
      <c r="E13" s="10"/>
      <c r="F13" s="10"/>
      <c r="G13" s="184" t="str">
        <f>"Remaining: £" &amp; ROUND(SUM(G14:G21),2)</f>
        <v>Remaining: £0.16</v>
      </c>
      <c r="H13" s="9"/>
    </row>
    <row r="14" spans="1:8" ht="18" outlineLevel="1">
      <c r="A14" s="31" t="s">
        <v>174</v>
      </c>
      <c r="B14" s="10">
        <v>0</v>
      </c>
      <c r="C14" s="10"/>
      <c r="D14" s="10"/>
      <c r="E14" s="10"/>
      <c r="F14" s="10"/>
      <c r="G14" s="10">
        <f t="shared" ref="G14:G21" si="2">IF(B14&lt;&gt;"",B14-C14-D14-E14-F14,"")</f>
        <v>0</v>
      </c>
      <c r="H14" s="12" t="str">
        <f t="shared" ref="H14:H21" si="3">A14</f>
        <v>House</v>
      </c>
    </row>
    <row r="15" spans="1:8" ht="18" outlineLevel="1">
      <c r="A15" s="31" t="s">
        <v>175</v>
      </c>
      <c r="B15" s="10">
        <v>104.92</v>
      </c>
      <c r="C15" s="10">
        <v>104.92</v>
      </c>
      <c r="D15" s="10"/>
      <c r="E15" s="10"/>
      <c r="F15" s="10"/>
      <c r="G15" s="10">
        <f t="shared" si="2"/>
        <v>0</v>
      </c>
      <c r="H15" s="12" t="str">
        <f t="shared" si="3"/>
        <v>Ring</v>
      </c>
    </row>
    <row r="16" spans="1:8" ht="18" outlineLevel="1">
      <c r="A16" s="31" t="s">
        <v>176</v>
      </c>
      <c r="B16" s="10">
        <f>46.26</f>
        <v>46.26</v>
      </c>
      <c r="C16" s="10"/>
      <c r="D16" s="10"/>
      <c r="E16" s="10"/>
      <c r="F16" s="10">
        <v>46.1</v>
      </c>
      <c r="G16" s="10">
        <f t="shared" si="2"/>
        <v>0.15999999999999659</v>
      </c>
      <c r="H16" s="12" t="str">
        <f t="shared" si="3"/>
        <v xml:space="preserve">Phone </v>
      </c>
    </row>
    <row r="17" spans="1:8" ht="18" outlineLevel="1">
      <c r="A17" s="31" t="s">
        <v>177</v>
      </c>
      <c r="B17" s="10">
        <v>17.989999999999998</v>
      </c>
      <c r="C17" s="10">
        <v>17.989999999999998</v>
      </c>
      <c r="D17" s="10"/>
      <c r="E17" s="10"/>
      <c r="F17" s="10"/>
      <c r="G17" s="10">
        <f t="shared" si="2"/>
        <v>0</v>
      </c>
      <c r="H17" s="12" t="str">
        <f t="shared" si="3"/>
        <v>Gym</v>
      </c>
    </row>
    <row r="18" spans="1:8" ht="18" outlineLevel="1">
      <c r="A18" s="31" t="s">
        <v>423</v>
      </c>
      <c r="B18" s="10">
        <v>17.989999999999998</v>
      </c>
      <c r="C18" s="10">
        <v>17.989999999999998</v>
      </c>
      <c r="D18" s="10"/>
      <c r="E18" s="10"/>
      <c r="F18" s="10"/>
      <c r="G18" s="10">
        <f t="shared" si="2"/>
        <v>0</v>
      </c>
      <c r="H18" s="12" t="str">
        <f t="shared" si="3"/>
        <v>Gadget Ins.</v>
      </c>
    </row>
    <row r="19" spans="1:8" ht="18" outlineLevel="1">
      <c r="A19" s="31" t="s">
        <v>178</v>
      </c>
      <c r="B19" s="10">
        <v>13.18</v>
      </c>
      <c r="C19" s="10">
        <v>13.18</v>
      </c>
      <c r="D19" s="10"/>
      <c r="E19" s="10"/>
      <c r="F19" s="10"/>
      <c r="G19" s="10">
        <f t="shared" si="2"/>
        <v>0</v>
      </c>
      <c r="H19" s="12" t="str">
        <f t="shared" si="3"/>
        <v>Car v.tax</v>
      </c>
    </row>
    <row r="20" spans="1:8" ht="18" outlineLevel="1">
      <c r="A20" s="31" t="s">
        <v>179</v>
      </c>
      <c r="B20" s="10">
        <v>3.99</v>
      </c>
      <c r="C20" s="10"/>
      <c r="D20" s="10"/>
      <c r="E20" s="10">
        <v>3.99</v>
      </c>
      <c r="F20" s="10"/>
      <c r="G20" s="10">
        <f t="shared" si="2"/>
        <v>0</v>
      </c>
      <c r="H20" s="12" t="str">
        <f t="shared" si="3"/>
        <v>Sky Movies</v>
      </c>
    </row>
    <row r="21" spans="1:8" ht="18" outlineLevel="1">
      <c r="A21" s="31" t="s">
        <v>181</v>
      </c>
      <c r="B21" s="10">
        <v>7.99</v>
      </c>
      <c r="C21" s="10"/>
      <c r="D21" s="10">
        <v>7.99</v>
      </c>
      <c r="E21" s="10"/>
      <c r="F21" s="10"/>
      <c r="G21" s="10">
        <f t="shared" si="2"/>
        <v>0</v>
      </c>
      <c r="H21" s="12" t="str">
        <f t="shared" si="3"/>
        <v>Onedrive</v>
      </c>
    </row>
    <row r="22" spans="1:8" ht="18" outlineLevel="1">
      <c r="A22" s="185"/>
      <c r="B22" s="10"/>
      <c r="C22" s="10"/>
      <c r="D22" s="10"/>
      <c r="E22" s="10"/>
      <c r="F22" s="10"/>
      <c r="G22" s="10"/>
      <c r="H22" s="9"/>
    </row>
    <row r="23" spans="1:8" ht="18">
      <c r="A23" s="177" t="s">
        <v>424</v>
      </c>
      <c r="B23" s="183">
        <f ca="1">SUM(B24:B28)</f>
        <v>189</v>
      </c>
      <c r="C23" s="10"/>
      <c r="D23" s="10"/>
      <c r="E23" s="10"/>
      <c r="F23" s="10"/>
      <c r="G23" s="184" t="str">
        <f ca="1">"Remaining: £" &amp; ROUND(SUM(G24:G28),2)</f>
        <v>Remaining: £-155</v>
      </c>
      <c r="H23" s="9"/>
    </row>
    <row r="24" spans="1:8" ht="18" outlineLevel="1">
      <c r="A24" s="31" t="s">
        <v>182</v>
      </c>
      <c r="B24" s="10">
        <f ca="1">IF(MONTH(TODAY())&lt;&gt;6,ROUND(80/12,0),39)</f>
        <v>7</v>
      </c>
      <c r="C24" s="10">
        <v>39</v>
      </c>
      <c r="D24" s="10"/>
      <c r="E24" s="10"/>
      <c r="F24" s="10"/>
      <c r="G24" s="10">
        <f ca="1">IF(B24&lt;&gt;"",B24-C24-D24-E24-F24,"")</f>
        <v>-32</v>
      </c>
      <c r="H24" s="12" t="str">
        <f>A24</f>
        <v>Amazon Prime</v>
      </c>
    </row>
    <row r="25" spans="1:8" ht="18" outlineLevel="1">
      <c r="A25" s="31" t="s">
        <v>417</v>
      </c>
      <c r="B25" s="10">
        <f ca="1">IF(MONTH(TODAY())&lt;&gt;5,ROUND(85/12,0),85)</f>
        <v>7</v>
      </c>
      <c r="C25" s="10"/>
      <c r="D25" s="10"/>
      <c r="E25" s="10"/>
      <c r="F25" s="10"/>
      <c r="G25" s="10">
        <f t="shared" ref="G25:G28" ca="1" si="4">IF(B25&lt;&gt;"",B25-C25-D25-E25-F25,"")</f>
        <v>7</v>
      </c>
      <c r="H25" s="12" t="str">
        <f t="shared" ref="H25:H28" si="5">A25</f>
        <v>Travel Ins.</v>
      </c>
    </row>
    <row r="26" spans="1:8" ht="18" outlineLevel="1">
      <c r="A26" s="31" t="s">
        <v>425</v>
      </c>
      <c r="B26" s="10">
        <f ca="1">IF(MONTH(TODAY())&lt;&gt;6,ROUND(1500/12,0),0)</f>
        <v>125</v>
      </c>
      <c r="C26" s="10"/>
      <c r="D26" s="10"/>
      <c r="E26" s="10"/>
      <c r="F26" s="10"/>
      <c r="G26" s="10">
        <f t="shared" ca="1" si="4"/>
        <v>125</v>
      </c>
      <c r="H26" s="12" t="str">
        <f t="shared" si="5"/>
        <v>Car Ins.</v>
      </c>
    </row>
    <row r="27" spans="1:8" ht="18" outlineLevel="1">
      <c r="A27" s="31" t="s">
        <v>178</v>
      </c>
      <c r="B27" s="10">
        <f ca="1">IF(MONTH(TODAY())&lt;&gt;6,ROUND(305/12,0),305)</f>
        <v>25</v>
      </c>
      <c r="C27" s="10"/>
      <c r="D27" s="10">
        <v>305</v>
      </c>
      <c r="E27" s="10"/>
      <c r="F27" s="10"/>
      <c r="G27" s="10">
        <f t="shared" ca="1" si="4"/>
        <v>-280</v>
      </c>
      <c r="H27" s="12" t="str">
        <f t="shared" si="5"/>
        <v>Car v.tax</v>
      </c>
    </row>
    <row r="28" spans="1:8" ht="18" outlineLevel="1">
      <c r="A28" s="31" t="s">
        <v>426</v>
      </c>
      <c r="B28" s="10">
        <f ca="1">IF(MONTH(TODAY())&lt;&gt;11,ROUND(300/12,0),300)</f>
        <v>25</v>
      </c>
      <c r="C28" s="10"/>
      <c r="D28" s="10"/>
      <c r="E28" s="10"/>
      <c r="F28" s="10"/>
      <c r="G28" s="10">
        <f t="shared" ca="1" si="4"/>
        <v>25</v>
      </c>
      <c r="H28" s="12" t="str">
        <f t="shared" si="5"/>
        <v>Bike Ins.</v>
      </c>
    </row>
    <row r="29" spans="1:8" ht="18" outlineLevel="1">
      <c r="A29" s="208"/>
      <c r="B29" s="10"/>
      <c r="C29" s="10"/>
      <c r="D29" s="10"/>
      <c r="E29" s="10"/>
      <c r="F29" s="10"/>
      <c r="G29" s="10"/>
      <c r="H29" s="12"/>
    </row>
    <row r="30" spans="1:8" ht="18">
      <c r="A30" s="177" t="s">
        <v>183</v>
      </c>
      <c r="B30" s="183" t="str">
        <f>"£"&amp; B31 &amp; " / " &amp; "£" &amp;B32</f>
        <v>£0 / £272.33</v>
      </c>
      <c r="C30" s="10"/>
      <c r="D30" s="10"/>
      <c r="E30" s="10"/>
      <c r="F30" s="10"/>
      <c r="G30" s="10"/>
      <c r="H30" s="9"/>
    </row>
    <row r="31" spans="1:8" ht="18" outlineLevel="1">
      <c r="A31" s="31" t="s">
        <v>184</v>
      </c>
      <c r="B31" s="10">
        <f>SUM(C31:F31)</f>
        <v>0</v>
      </c>
      <c r="C31" s="10"/>
      <c r="D31" s="10"/>
      <c r="E31" s="10"/>
      <c r="F31" s="10"/>
      <c r="G31" s="10"/>
      <c r="H31" s="9"/>
    </row>
    <row r="32" spans="1:8" ht="18" outlineLevel="1">
      <c r="A32" s="31" t="s">
        <v>185</v>
      </c>
      <c r="B32" s="10">
        <f>SUM(C32:F32)</f>
        <v>272.33</v>
      </c>
      <c r="C32" s="10"/>
      <c r="D32" s="10"/>
      <c r="E32" s="10">
        <f>50+36.04+86.29</f>
        <v>172.32999999999998</v>
      </c>
      <c r="F32" s="10">
        <v>100</v>
      </c>
      <c r="G32" s="10"/>
      <c r="H32" s="9"/>
    </row>
    <row r="33" spans="1:8" ht="18">
      <c r="A33" s="179" t="s">
        <v>186</v>
      </c>
      <c r="B33" s="296">
        <f>SUM(C33:F33)+B32-B31</f>
        <v>1735.4799999999998</v>
      </c>
      <c r="C33" s="26">
        <f>1385.55+17.99</f>
        <v>1403.54</v>
      </c>
      <c r="D33" s="26">
        <v>25</v>
      </c>
      <c r="E33" s="27">
        <f>34.61</f>
        <v>34.61</v>
      </c>
      <c r="F33" s="36"/>
      <c r="G33" s="46" t="str">
        <f ca="1">ROUND(SUM(G5:G28),2) &amp; " / " &amp; B33</f>
        <v>39.4 / 1735.48</v>
      </c>
      <c r="H33" s="10"/>
    </row>
    <row r="34" spans="1:8" ht="18">
      <c r="A34" s="24"/>
      <c r="B34" s="10"/>
      <c r="C34" s="49"/>
      <c r="D34" s="26"/>
      <c r="E34" s="23"/>
      <c r="F34" s="25"/>
      <c r="G34" s="79" t="str">
        <f ca="1">IF(ROUND(SUM(G5:G21),2)&gt;0,IF(ROUND(SUM(G5:G21),2)&lt;ROUND(SUMIF(G5:G21,"&gt;0"),2),"NOT ENOUGH MONEY",""),"NO MONEY")</f>
        <v>NOT ENOUGH MONEY</v>
      </c>
      <c r="H34" s="11"/>
    </row>
    <row r="35" spans="1:8" ht="18">
      <c r="A35" s="17" t="s">
        <v>187</v>
      </c>
      <c r="B35" s="17" t="str">
        <f ca="1">IF(MONTH(TODAY()) = 11, IF(MONTH(DATEVALUE(RIGHT(A1,3)&amp;" 1"))=11, "Bike insurance due",""),"")</f>
        <v/>
      </c>
      <c r="C35" s="59"/>
      <c r="D35" s="16"/>
      <c r="E35" s="16"/>
      <c r="F35" s="16"/>
    </row>
    <row r="36" spans="1:8" ht="18">
      <c r="A36" s="17"/>
      <c r="B36" s="17" t="str">
        <f ca="1">IF(MONTH(TODAY()) = 6, IF(MONTH(DATEVALUE(RIGHT(A1,3)&amp;" 1"))=6, "Car insurance due",""),"")</f>
        <v/>
      </c>
      <c r="C36" s="20"/>
      <c r="D36" s="39"/>
      <c r="E36" s="16"/>
      <c r="F36" s="18"/>
    </row>
    <row r="37" spans="1:8" ht="18">
      <c r="A37" s="17"/>
      <c r="B37" s="17" t="str">
        <f ca="1">IF(MONTH(TODAY()) = 5, IF(MONTH(DATEVALUE(RIGHT(A1,3)&amp;" 1"))=5, "Travel insurance due",""),"")</f>
        <v/>
      </c>
      <c r="C37" s="39"/>
      <c r="D37" s="39"/>
      <c r="E37" s="43"/>
      <c r="F37" s="20"/>
      <c r="G37" s="11"/>
      <c r="H37" s="11"/>
    </row>
    <row r="38" spans="1:8" ht="18">
      <c r="A38" s="20"/>
      <c r="B38" s="17" t="str">
        <f ca="1">IF(MONTH(TODAY()) = 6, IF(MONTH(DATEVALUE(RIGHT(A1,3)&amp;" 1"))=6, "Amazon Prime",""),"")</f>
        <v/>
      </c>
      <c r="D38" s="42"/>
    </row>
    <row r="39" spans="1:8">
      <c r="B39" t="str">
        <f ca="1">IF(MONTH(TODAY()) = 6, IF(MONTH(DATEVALUE(RIGHT(A1,3)&amp;" 1"))=6, "Car vehicle tax",""),"")</f>
        <v/>
      </c>
    </row>
    <row r="40" spans="1:8" ht="18">
      <c r="B40" s="10"/>
    </row>
  </sheetData>
  <dataConsolidate/>
  <conditionalFormatting sqref="G5:G11">
    <cfRule type="cellIs" dxfId="380" priority="11" operator="lessThan">
      <formula>0</formula>
    </cfRule>
    <cfRule type="cellIs" dxfId="379" priority="12" operator="equal">
      <formula>0</formula>
    </cfRule>
    <cfRule type="cellIs" dxfId="378" priority="13" operator="greaterThan">
      <formula>0</formula>
    </cfRule>
  </conditionalFormatting>
  <conditionalFormatting sqref="G14:G21">
    <cfRule type="cellIs" dxfId="377" priority="14" operator="equal">
      <formula>0</formula>
    </cfRule>
    <cfRule type="cellIs" dxfId="376" priority="15" operator="lessThan">
      <formula>0</formula>
    </cfRule>
    <cfRule type="cellIs" dxfId="375" priority="16" operator="greaterThan">
      <formula>0</formula>
    </cfRule>
  </conditionalFormatting>
  <conditionalFormatting sqref="G24:G29">
    <cfRule type="cellIs" dxfId="374" priority="1" operator="equal">
      <formula>0</formula>
    </cfRule>
    <cfRule type="cellIs" dxfId="373" priority="2" operator="lessThan">
      <formula>0</formula>
    </cfRule>
    <cfRule type="cellIs" dxfId="372" priority="3"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4745A177-1F4C-6147-8A23-61C737A15AEB}">
            <xm:f>NOT(ISERROR(SEARCH("-",G33)))</xm:f>
            <xm:f>"-"</xm:f>
            <x14:dxf>
              <font>
                <color rgb="FF9C0006"/>
              </font>
              <fill>
                <patternFill>
                  <bgColor rgb="FFFFC7CE"/>
                </patternFill>
              </fill>
            </x14:dxf>
          </x14:cfRule>
          <xm:sqref>G33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H37"/>
  <sheetViews>
    <sheetView workbookViewId="0"/>
  </sheetViews>
  <sheetFormatPr defaultColWidth="11.33203125" defaultRowHeight="14.4" outlineLevelRow="1"/>
  <cols>
    <col min="1" max="1" width="15.44140625" customWidth="1"/>
    <col min="2" max="2" width="28.109375" customWidth="1"/>
    <col min="3" max="6" width="25" customWidth="1"/>
    <col min="7" max="7" width="19.44140625" customWidth="1"/>
    <col min="8" max="8" width="15.44140625" customWidth="1"/>
  </cols>
  <sheetData>
    <row r="1" spans="1:8" ht="18">
      <c r="A1" s="180" t="s">
        <v>163</v>
      </c>
      <c r="B1" s="13" t="s">
        <v>164</v>
      </c>
      <c r="C1" s="44" t="str">
        <f>"25/01/17" &amp; " - " &amp; "31/01/17"</f>
        <v>25/01/17 - 31/01/17</v>
      </c>
      <c r="D1" s="44" t="str">
        <f>TEXT(DATEVALUE(RIGHT(C1,8))+1,"dd/mm/yy")&amp; " - "&amp; TEXT(DATEVALUE(RIGHT(C1,8))+7,"dd/mm/yy")</f>
        <v>01/02/17 - 07/02/17</v>
      </c>
      <c r="E1" s="44" t="str">
        <f>TEXT(DATEVALUE(RIGHT(D1,8))+1,"dd/mm/yy")&amp; " - "&amp; TEXT(DATEVALUE(RIGHT(D1,8))+7,"dd/mm/yy")</f>
        <v>08/02/17 - 14/02/17</v>
      </c>
      <c r="F1" s="44" t="str">
        <f>TEXT(DATEVALUE(RIGHT(E1,8))+1,"dd/mm/yy")&amp; " - "&amp; TEXT(DATEVALUE(RIGHT(E1,8))+7,"dd/mm/yy")</f>
        <v>15/02/17 - 21/02/17</v>
      </c>
      <c r="G1" s="12" t="s">
        <v>10</v>
      </c>
      <c r="H1" s="9"/>
    </row>
    <row r="2" spans="1:8" ht="18">
      <c r="A2" s="13" t="s">
        <v>165</v>
      </c>
      <c r="B2" s="10"/>
      <c r="C2" s="296">
        <f>SUM(C5:C23)</f>
        <v>682</v>
      </c>
      <c r="D2" s="296">
        <f>SUM(D5:D23)</f>
        <v>474.10999999999996</v>
      </c>
      <c r="E2" s="296">
        <f>SUM(E5:E23)</f>
        <v>118.66</v>
      </c>
      <c r="F2" s="296">
        <f>SUM(F5:F23)</f>
        <v>119.33000000000001</v>
      </c>
      <c r="G2" s="10"/>
      <c r="H2" s="9"/>
    </row>
    <row r="3" spans="1:8" ht="18">
      <c r="A3" s="250"/>
      <c r="B3" s="10"/>
      <c r="C3" s="296"/>
      <c r="D3" s="296"/>
      <c r="E3" s="296"/>
      <c r="F3" s="296"/>
      <c r="G3" s="10"/>
      <c r="H3" s="9"/>
    </row>
    <row r="4" spans="1:8" ht="18">
      <c r="A4" s="178" t="s">
        <v>166</v>
      </c>
      <c r="B4" s="183" t="e">
        <f>SUM(B5:B11)</f>
        <v>#REF!</v>
      </c>
      <c r="C4" s="296"/>
      <c r="D4" s="296"/>
      <c r="E4" s="296"/>
      <c r="F4" s="296"/>
      <c r="G4" s="184" t="e">
        <f>"Remaining: £" &amp; ROUND(SUM(G5:G12),2)</f>
        <v>#REF!</v>
      </c>
      <c r="H4" s="9"/>
    </row>
    <row r="5" spans="1:8" ht="18" outlineLevel="1">
      <c r="A5" s="31" t="s">
        <v>408</v>
      </c>
      <c r="B5" s="17">
        <f>IF(G1="Remaining",'Joint Outgoings'!B3*4,IF(H1= "Remaining",'Joint Outgoings'!B3* 5,""))</f>
        <v>0</v>
      </c>
      <c r="C5" s="10">
        <v>300</v>
      </c>
      <c r="D5" s="10">
        <v>20</v>
      </c>
      <c r="E5" s="10"/>
      <c r="F5" s="10"/>
      <c r="G5" s="10">
        <f t="shared" ref="G5:G12" si="0">IF(B5&lt;&gt;"",B5-C5-D5-E5-F5,"")</f>
        <v>-320</v>
      </c>
      <c r="H5" s="34" t="str">
        <f>A5</f>
        <v>Poodini Fund</v>
      </c>
    </row>
    <row r="6" spans="1:8" ht="18" outlineLevel="1">
      <c r="A6" s="31" t="s">
        <v>167</v>
      </c>
      <c r="B6" s="17">
        <f>IF(G1="Remaining",'Joint Outgoings'!B24*4,IF(H1= "Remaining",'Joint Outgoings'!B24* 5,""))</f>
        <v>0</v>
      </c>
      <c r="C6" s="10">
        <v>30.5</v>
      </c>
      <c r="D6" s="10"/>
      <c r="E6" s="10">
        <v>33.19</v>
      </c>
      <c r="F6" s="10"/>
      <c r="G6" s="10">
        <f t="shared" si="0"/>
        <v>-63.69</v>
      </c>
      <c r="H6" s="12" t="str">
        <f>A6</f>
        <v xml:space="preserve">Car Petrol </v>
      </c>
    </row>
    <row r="7" spans="1:8" ht="18" outlineLevel="1">
      <c r="A7" s="31" t="s">
        <v>168</v>
      </c>
      <c r="B7" s="17" t="e">
        <f>IF(G1="Remaining",'Joint Outgoings'!#REF!*2,IF(H1= "Remaining",'Joint Outgoings'!#REF!* 2,""))</f>
        <v>#REF!</v>
      </c>
      <c r="C7" s="10">
        <v>9.1999999999999993</v>
      </c>
      <c r="D7" s="10"/>
      <c r="E7" s="10"/>
      <c r="F7" s="10"/>
      <c r="G7" s="10" t="e">
        <f t="shared" si="0"/>
        <v>#REF!</v>
      </c>
      <c r="H7" s="12" t="str">
        <f t="shared" ref="H7:H21" si="1">A7</f>
        <v>Bike petrol</v>
      </c>
    </row>
    <row r="8" spans="1:8" ht="18" outlineLevel="1">
      <c r="A8" s="31" t="s">
        <v>169</v>
      </c>
      <c r="B8" s="10">
        <f>IF(G1="Remaining",20*4,IF(H1= "Remaining",20* 5,""))</f>
        <v>80</v>
      </c>
      <c r="C8" s="10">
        <f>16.27+2.65+3.85+4.51+17.6+6.65</f>
        <v>51.53</v>
      </c>
      <c r="D8" s="10">
        <f>1.21+2+0.8</f>
        <v>4.01</v>
      </c>
      <c r="E8" s="10">
        <f>2.7+2.55+2+16.5+9.98</f>
        <v>33.730000000000004</v>
      </c>
      <c r="F8" s="10">
        <v>9.4700000000000006</v>
      </c>
      <c r="G8" s="10">
        <f t="shared" si="0"/>
        <v>-18.740000000000002</v>
      </c>
      <c r="H8" s="12" t="str">
        <f>A8</f>
        <v>Food</v>
      </c>
    </row>
    <row r="9" spans="1:8" ht="18" outlineLevel="1">
      <c r="A9" s="31" t="s">
        <v>409</v>
      </c>
      <c r="B9" s="10"/>
      <c r="C9" s="10"/>
      <c r="D9" s="10"/>
      <c r="E9" s="10"/>
      <c r="F9" s="10"/>
      <c r="G9" s="10" t="str">
        <f t="shared" si="0"/>
        <v/>
      </c>
      <c r="H9" s="12" t="str">
        <f>A9</f>
        <v>House Deposit</v>
      </c>
    </row>
    <row r="10" spans="1:8" ht="18" outlineLevel="1">
      <c r="A10" s="31" t="s">
        <v>170</v>
      </c>
      <c r="B10" s="10">
        <v>0</v>
      </c>
      <c r="C10" s="10"/>
      <c r="D10" s="10"/>
      <c r="E10" s="10"/>
      <c r="F10" s="10"/>
      <c r="G10" s="10">
        <f t="shared" si="0"/>
        <v>0</v>
      </c>
      <c r="H10" s="12" t="str">
        <f>A10</f>
        <v>Gift Fund</v>
      </c>
    </row>
    <row r="11" spans="1:8" ht="18" outlineLevel="1">
      <c r="A11" s="31" t="s">
        <v>171</v>
      </c>
      <c r="B11" s="10">
        <v>0</v>
      </c>
      <c r="C11" s="10"/>
      <c r="D11" s="10">
        <f>0.78+37.97+22.05+52.14</f>
        <v>112.94</v>
      </c>
      <c r="E11" s="10"/>
      <c r="F11" s="10"/>
      <c r="G11" s="10">
        <f t="shared" si="0"/>
        <v>-112.94</v>
      </c>
      <c r="H11" s="12" t="str">
        <f>A11</f>
        <v>Holiday Fund</v>
      </c>
    </row>
    <row r="12" spans="1:8" ht="18" outlineLevel="1">
      <c r="A12" s="31" t="s">
        <v>172</v>
      </c>
      <c r="B12" s="10" t="e">
        <f>IF(B29 &lt;&gt; 0,B29-B4-B14-B26,0)</f>
        <v>#REF!</v>
      </c>
      <c r="C12" s="10">
        <f>88+88.3+29.98+27.95+35.56+2.99</f>
        <v>272.77999999999997</v>
      </c>
      <c r="D12" s="10">
        <f>15+16+29.9</f>
        <v>60.9</v>
      </c>
      <c r="E12" s="10">
        <f>10+41.74</f>
        <v>51.74</v>
      </c>
      <c r="F12" s="10">
        <f>22.96+11.05+7.75+6.82+3+12</f>
        <v>63.580000000000005</v>
      </c>
      <c r="G12" s="10" t="e">
        <f t="shared" si="0"/>
        <v>#REF!</v>
      </c>
      <c r="H12" s="12" t="s">
        <v>172</v>
      </c>
    </row>
    <row r="13" spans="1:8" ht="18" outlineLevel="1">
      <c r="A13" s="185"/>
      <c r="B13" s="10"/>
      <c r="C13" s="10"/>
      <c r="D13" s="10"/>
      <c r="E13" s="10"/>
      <c r="F13" s="10"/>
      <c r="G13" s="10"/>
      <c r="H13" s="9"/>
    </row>
    <row r="14" spans="1:8" ht="18">
      <c r="A14" s="177" t="s">
        <v>189</v>
      </c>
      <c r="B14" s="183" t="e">
        <f>SUM(B15:B23)</f>
        <v>#REF!</v>
      </c>
      <c r="C14" s="10"/>
      <c r="D14" s="10"/>
      <c r="E14" s="10"/>
      <c r="F14" s="10"/>
      <c r="G14" s="184" t="e">
        <f>"Remaining: £" &amp; ROUND(SUM(G15:G23),2)</f>
        <v>#REF!</v>
      </c>
      <c r="H14" s="9"/>
    </row>
    <row r="15" spans="1:8" ht="18" outlineLevel="1">
      <c r="A15" s="31" t="s">
        <v>179</v>
      </c>
      <c r="B15" s="10" t="e">
        <f>'Joint Outgoings'!#REF!</f>
        <v>#REF!</v>
      </c>
      <c r="C15" s="10"/>
      <c r="D15" s="10"/>
      <c r="E15" s="10"/>
      <c r="F15" s="10">
        <v>9.99</v>
      </c>
      <c r="G15" s="10" t="e">
        <f t="shared" ref="G15:G21" si="2">IF(B15&lt;&gt;"",B15-C15-D15-E15-F15,"")</f>
        <v>#REF!</v>
      </c>
      <c r="H15" s="12" t="str">
        <f t="shared" si="1"/>
        <v>Sky Movies</v>
      </c>
    </row>
    <row r="16" spans="1:8" ht="18" outlineLevel="1">
      <c r="A16" s="31" t="s">
        <v>180</v>
      </c>
      <c r="B16" s="10" t="e">
        <f>'Joint Outgoings'!#REF!</f>
        <v>#REF!</v>
      </c>
      <c r="C16" s="10"/>
      <c r="D16" s="10">
        <v>4.99</v>
      </c>
      <c r="E16" s="10"/>
      <c r="F16" s="10"/>
      <c r="G16" s="10" t="e">
        <f t="shared" si="2"/>
        <v>#REF!</v>
      </c>
      <c r="H16" s="12" t="str">
        <f t="shared" si="1"/>
        <v>Spotify</v>
      </c>
    </row>
    <row r="17" spans="1:8" ht="18" outlineLevel="1">
      <c r="A17" s="31" t="s">
        <v>176</v>
      </c>
      <c r="B17" s="10">
        <f>'Joint Outgoings'!C29</f>
        <v>16.989999999999998</v>
      </c>
      <c r="C17" s="10"/>
      <c r="D17" s="10"/>
      <c r="E17" s="10"/>
      <c r="F17" s="10"/>
      <c r="G17" s="10">
        <f t="shared" si="2"/>
        <v>16.989999999999998</v>
      </c>
      <c r="H17" s="12" t="str">
        <f t="shared" si="1"/>
        <v xml:space="preserve">Phone </v>
      </c>
    </row>
    <row r="18" spans="1:8" ht="18" outlineLevel="1">
      <c r="A18" s="31" t="s">
        <v>410</v>
      </c>
      <c r="B18" s="10" t="e">
        <f>'Joint Outgoings'!#REF!</f>
        <v>#REF!</v>
      </c>
      <c r="C18" s="10"/>
      <c r="D18" s="10"/>
      <c r="E18" s="10"/>
      <c r="F18" s="10">
        <v>36.29</v>
      </c>
      <c r="G18" s="10" t="e">
        <f t="shared" si="2"/>
        <v>#REF!</v>
      </c>
      <c r="H18" s="12" t="str">
        <f>A18</f>
        <v>Bupa</v>
      </c>
    </row>
    <row r="19" spans="1:8" ht="18" outlineLevel="1">
      <c r="A19" s="31" t="s">
        <v>177</v>
      </c>
      <c r="B19" s="10">
        <v>17.989999999999998</v>
      </c>
      <c r="C19" s="10">
        <v>17.989999999999998</v>
      </c>
      <c r="D19" s="10"/>
      <c r="E19" s="10"/>
      <c r="F19" s="10"/>
      <c r="G19" s="10">
        <f t="shared" si="2"/>
        <v>0</v>
      </c>
      <c r="H19" s="12" t="str">
        <f t="shared" si="1"/>
        <v>Gym</v>
      </c>
    </row>
    <row r="20" spans="1:8" ht="18" outlineLevel="1">
      <c r="A20" s="31" t="s">
        <v>181</v>
      </c>
      <c r="B20" s="10">
        <v>7.99</v>
      </c>
      <c r="C20" s="10"/>
      <c r="D20" s="10"/>
      <c r="E20" s="10"/>
      <c r="F20" s="10"/>
      <c r="G20" s="10">
        <f t="shared" si="2"/>
        <v>7.99</v>
      </c>
      <c r="H20" s="12" t="str">
        <f t="shared" si="1"/>
        <v>Onedrive</v>
      </c>
    </row>
    <row r="21" spans="1:8" ht="18" outlineLevel="1">
      <c r="A21" s="31" t="s">
        <v>175</v>
      </c>
      <c r="B21" s="10">
        <v>104.92</v>
      </c>
      <c r="C21" s="10"/>
      <c r="D21" s="10">
        <v>104.92</v>
      </c>
      <c r="E21" s="10"/>
      <c r="F21" s="10"/>
      <c r="G21" s="10">
        <f t="shared" si="2"/>
        <v>0</v>
      </c>
      <c r="H21" s="12" t="str">
        <f t="shared" si="1"/>
        <v>Ring</v>
      </c>
    </row>
    <row r="22" spans="1:8" ht="18" outlineLevel="1">
      <c r="A22" s="31" t="s">
        <v>411</v>
      </c>
      <c r="B22" s="10">
        <v>153.66999999999999</v>
      </c>
      <c r="C22" s="10"/>
      <c r="D22" s="10">
        <v>153.66999999999999</v>
      </c>
      <c r="E22" s="10"/>
      <c r="F22" s="10"/>
      <c r="G22" s="10">
        <f>IF(B22&lt;&gt;"",B22-C22-D22-E22-F22,"")</f>
        <v>0</v>
      </c>
      <c r="H22" s="12" t="str">
        <f>A22</f>
        <v>Car ins.</v>
      </c>
    </row>
    <row r="23" spans="1:8" ht="18" outlineLevel="1">
      <c r="A23" s="31" t="s">
        <v>178</v>
      </c>
      <c r="B23" s="10">
        <f>'Joint Outgoings'!C25</f>
        <v>200</v>
      </c>
      <c r="C23" s="10"/>
      <c r="D23" s="10">
        <v>12.68</v>
      </c>
      <c r="E23" s="10"/>
      <c r="F23" s="10"/>
      <c r="G23" s="10">
        <f>IF(B23&lt;&gt;"",B23-C23-D23-E23-F23,"")</f>
        <v>187.32</v>
      </c>
      <c r="H23" s="12" t="str">
        <f>A23</f>
        <v>Car v.tax</v>
      </c>
    </row>
    <row r="24" spans="1:8" ht="18" outlineLevel="1">
      <c r="A24" s="185"/>
      <c r="B24" s="10"/>
      <c r="C24" s="10"/>
      <c r="D24" s="10"/>
      <c r="E24" s="10"/>
      <c r="F24" s="10"/>
      <c r="G24" s="10"/>
      <c r="H24" s="9"/>
    </row>
    <row r="25" spans="1:8" ht="18">
      <c r="A25" s="177" t="s">
        <v>183</v>
      </c>
      <c r="B25" s="10"/>
      <c r="C25" s="10"/>
      <c r="D25" s="10"/>
      <c r="E25" s="10"/>
      <c r="F25" s="10"/>
      <c r="G25" s="10"/>
      <c r="H25" s="9"/>
    </row>
    <row r="26" spans="1:8" ht="18" outlineLevel="1">
      <c r="A26" s="31" t="s">
        <v>184</v>
      </c>
      <c r="B26" s="10">
        <f>SUM(C26:F26)</f>
        <v>3000</v>
      </c>
      <c r="C26" s="10">
        <v>3000</v>
      </c>
      <c r="D26" s="10"/>
      <c r="E26" s="10"/>
      <c r="F26" s="10"/>
      <c r="G26" s="10"/>
      <c r="H26" s="9"/>
    </row>
    <row r="27" spans="1:8" ht="18" outlineLevel="1">
      <c r="A27" s="31" t="s">
        <v>185</v>
      </c>
      <c r="B27" s="10">
        <f>SUM(C27:F27)</f>
        <v>0</v>
      </c>
      <c r="C27" s="10"/>
      <c r="D27" s="10"/>
      <c r="E27" s="10"/>
      <c r="F27" s="10"/>
      <c r="G27" s="10"/>
      <c r="H27" s="9"/>
    </row>
    <row r="28" spans="1:8" ht="18" outlineLevel="1">
      <c r="A28" s="31" t="s">
        <v>412</v>
      </c>
      <c r="B28" s="10">
        <f>SUM(C28:F28)</f>
        <v>0</v>
      </c>
      <c r="C28" s="10"/>
      <c r="D28" s="10"/>
      <c r="E28" s="10"/>
      <c r="F28" s="10"/>
      <c r="G28" s="10"/>
      <c r="H28" s="9"/>
    </row>
    <row r="29" spans="1:8" ht="18">
      <c r="A29" s="179" t="s">
        <v>186</v>
      </c>
      <c r="B29" s="296">
        <f>SUM(C29:F29)</f>
        <v>4372.0499999999993</v>
      </c>
      <c r="C29" s="26">
        <f>132.49+3300+798.12</f>
        <v>4230.6099999999997</v>
      </c>
      <c r="D29" s="26">
        <f>33.5+15.43+26.52</f>
        <v>75.45</v>
      </c>
      <c r="E29" s="27">
        <f>14.43+9.98+41.58</f>
        <v>65.989999999999995</v>
      </c>
      <c r="F29" s="36"/>
      <c r="G29" s="46" t="e">
        <f>SUM(G5:G23) &amp; " / " &amp; B29</f>
        <v>#REF!</v>
      </c>
      <c r="H29" s="10"/>
    </row>
    <row r="30" spans="1:8" ht="18">
      <c r="A30" s="24"/>
      <c r="B30" s="10"/>
      <c r="C30" s="49"/>
      <c r="D30" s="26"/>
      <c r="E30" s="23"/>
      <c r="F30" s="25"/>
      <c r="G30" s="79" t="e">
        <f>IF(ROUND(SUM(G5:G23),2)&gt;0,IF(ROUND(SUM(G5:G23),2)&lt;ROUND(SUMIF(G5:G23,"&gt;0"),2),"NOT ENOUGH MONEY",""),"NO MONEY")</f>
        <v>#REF!</v>
      </c>
      <c r="H30" s="11"/>
    </row>
    <row r="31" spans="1:8" ht="18">
      <c r="A31" s="17" t="s">
        <v>187</v>
      </c>
      <c r="B31" s="17" t="str">
        <f ca="1">IF(MONTH(TODAY()) = 11, IF(MONTH(A1(RIGHT,3)) = 11, "Bike insurance due",""),"")</f>
        <v/>
      </c>
      <c r="C31" s="59"/>
      <c r="D31" s="16"/>
      <c r="E31" s="16"/>
      <c r="F31" s="16"/>
    </row>
    <row r="32" spans="1:8" ht="18">
      <c r="A32" s="17"/>
      <c r="B32" s="17" t="str">
        <f ca="1">IF(MONTH(TODAY()) = 6, IF(MONTH(A1(RIGHT,3)) = 6, "Bike insurance due",""),"")</f>
        <v/>
      </c>
      <c r="C32" s="20"/>
      <c r="D32" s="39"/>
      <c r="E32" s="16"/>
      <c r="F32" s="18"/>
    </row>
    <row r="33" spans="1:8" ht="18">
      <c r="A33" s="17"/>
      <c r="B33" s="17"/>
      <c r="C33" s="39"/>
      <c r="D33" s="39"/>
      <c r="E33" s="43"/>
      <c r="F33" s="20"/>
      <c r="G33" s="11"/>
      <c r="H33" s="11"/>
    </row>
    <row r="34" spans="1:8" ht="18">
      <c r="A34" s="10" t="s">
        <v>188</v>
      </c>
      <c r="B34" s="10"/>
      <c r="C34" s="40"/>
      <c r="D34" s="41"/>
      <c r="E34" s="41"/>
      <c r="F34" s="41"/>
    </row>
    <row r="35" spans="1:8" ht="18">
      <c r="A35" s="20"/>
      <c r="B35" s="10"/>
      <c r="D35" s="42"/>
    </row>
    <row r="37" spans="1:8" ht="18">
      <c r="B37" s="10"/>
    </row>
  </sheetData>
  <dataConsolidate/>
  <conditionalFormatting sqref="G5:G12">
    <cfRule type="cellIs" dxfId="370" priority="2" operator="lessThan">
      <formula>0</formula>
    </cfRule>
    <cfRule type="cellIs" dxfId="369" priority="3" operator="equal">
      <formula>0</formula>
    </cfRule>
    <cfRule type="cellIs" dxfId="368" priority="4" operator="greaterThan">
      <formula>0</formula>
    </cfRule>
  </conditionalFormatting>
  <conditionalFormatting sqref="G15:G23">
    <cfRule type="cellIs" dxfId="367" priority="5" operator="equal">
      <formula>0</formula>
    </cfRule>
    <cfRule type="cellIs" dxfId="366" priority="6" operator="lessThan">
      <formula>0</formula>
    </cfRule>
    <cfRule type="cellIs" dxfId="365" priority="7"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A0BA401E-7020-FF4A-8594-F392C6E2BF4E}">
            <xm:f>NOT(ISERROR(SEARCH("-",G29)))</xm:f>
            <xm:f>"-"</xm:f>
            <x14:dxf>
              <font>
                <color rgb="FF9C0006"/>
              </font>
              <fill>
                <patternFill>
                  <bgColor rgb="FFFFC7CE"/>
                </patternFill>
              </fill>
            </x14:dxf>
          </x14:cfRule>
          <xm:sqref>G29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J16"/>
  <sheetViews>
    <sheetView workbookViewId="0"/>
  </sheetViews>
  <sheetFormatPr defaultColWidth="11.33203125" defaultRowHeight="14.4"/>
  <cols>
    <col min="1" max="1" width="21" customWidth="1"/>
    <col min="2" max="2" width="14.6640625" customWidth="1"/>
    <col min="3" max="3" width="14.6640625" hidden="1" customWidth="1"/>
    <col min="4" max="4" width="14.6640625" style="7" customWidth="1"/>
    <col min="6" max="6" width="14.44140625" customWidth="1"/>
    <col min="7" max="7" width="11.33203125" style="7"/>
  </cols>
  <sheetData>
    <row r="1" spans="1:10">
      <c r="A1" s="60" t="s">
        <v>427</v>
      </c>
      <c r="B1" s="60" t="s">
        <v>15</v>
      </c>
      <c r="C1" s="60"/>
      <c r="D1" s="60" t="s">
        <v>5</v>
      </c>
      <c r="E1" s="61" t="s">
        <v>6</v>
      </c>
      <c r="F1" s="61" t="s">
        <v>7</v>
      </c>
      <c r="G1" s="60" t="s">
        <v>8</v>
      </c>
      <c r="H1" s="61" t="s">
        <v>9</v>
      </c>
      <c r="I1" s="61" t="s">
        <v>10</v>
      </c>
      <c r="J1" s="61" t="s">
        <v>13</v>
      </c>
    </row>
    <row r="3" spans="1:10">
      <c r="A3" s="78" t="s">
        <v>108</v>
      </c>
      <c r="B3" s="77">
        <v>22573</v>
      </c>
      <c r="C3" s="80" t="str">
        <f t="shared" ref="C3:C14" si="0">TEXT(B3,"MMDD")</f>
        <v>1019</v>
      </c>
      <c r="D3" s="79">
        <f t="shared" ref="D3:D14" ca="1" si="1">DATEDIF(B3,NOW(),"y")</f>
        <v>64</v>
      </c>
      <c r="E3" s="11">
        <v>10</v>
      </c>
      <c r="F3" s="67" t="s">
        <v>428</v>
      </c>
      <c r="G3" s="7" t="s">
        <v>20</v>
      </c>
      <c r="H3" s="11">
        <v>5</v>
      </c>
      <c r="I3" s="11">
        <f t="shared" ref="I3:I14" si="2">IF(E3&lt;&gt;"/",E3-H3,"")</f>
        <v>5</v>
      </c>
      <c r="J3" s="7" t="str">
        <f ca="1">IF(TEXT(TODAY(),"YYYY")=RIGHT(A$1,4), IF(ISERROR(DATEDIF(TEXT(TODAY(),"dd/mm/yyyy"),TEXT(B3,"dd/mm/")&amp;RIGHT(A$1,4),"d")),IF(G3="Y","DONE","MISSED"), IF(DATEDIF(TEXT(TODAY(),"dd/mm/yyyy"),TEXT(B3,"dd/mm/")&amp;RIGHT(A$1,4),"d") = 0,"TODAY!!!", IF(DATEDIF(TEXT(TODAY(),"dd/mm/yyyy"),TEXT(B3,"dd/mm/")&amp;RIGHT(A$1,4),"d") &gt; 0, DATEDIF(TEXT(TODAY(),"dd/mm/yyyy"), TEXT(B3,"dd/mm/")&amp;RIGHT(A$1,4),"d")&amp;" Days to go!",""))),"")</f>
        <v/>
      </c>
    </row>
    <row r="4" spans="1:10">
      <c r="A4" s="78" t="s">
        <v>429</v>
      </c>
      <c r="B4" s="77">
        <v>11252</v>
      </c>
      <c r="C4" s="80" t="str">
        <f t="shared" si="0"/>
        <v>1021</v>
      </c>
      <c r="D4" s="79">
        <f t="shared" ca="1" si="1"/>
        <v>95</v>
      </c>
      <c r="E4" s="11">
        <v>20</v>
      </c>
      <c r="F4" s="67" t="s">
        <v>430</v>
      </c>
      <c r="G4" s="7" t="s">
        <v>20</v>
      </c>
      <c r="H4" s="11">
        <v>15</v>
      </c>
      <c r="I4" s="11">
        <f t="shared" si="2"/>
        <v>5</v>
      </c>
      <c r="J4" s="7" t="str">
        <f t="shared" ref="J4:J14" ca="1" si="3">IF(TEXT(TODAY(),"YYYY")=RIGHT(A$1,4), IF(ISERROR(DATEDIF(TEXT(TODAY(),"dd/mm/yyyy"),TEXT(B4,"dd/mm/")&amp;RIGHT(A$1,4),"d")),IF(G4="Y","DONE","MISSED"), IF(DATEDIF(TEXT(TODAY(),"dd/mm/yyyy"),TEXT(B4,"dd/mm/")&amp;RIGHT(A$1,4),"d") = 0,"TODAY!!!", IF(DATEDIF(TEXT(TODAY(),"dd/mm/yyyy"),TEXT(B4,"dd/mm/")&amp;RIGHT(A$1,4),"d") &gt; 0, DATEDIF(TEXT(TODAY(),"dd/mm/yyyy"), TEXT(B4,"dd/mm/")&amp;RIGHT(A$1,4),"d")&amp;" Days to go!",""))),"")</f>
        <v/>
      </c>
    </row>
    <row r="5" spans="1:10">
      <c r="A5" s="78" t="s">
        <v>110</v>
      </c>
      <c r="B5" s="77">
        <v>33172</v>
      </c>
      <c r="C5" s="80" t="str">
        <f t="shared" si="0"/>
        <v>1026</v>
      </c>
      <c r="D5" s="79">
        <f t="shared" ca="1" si="1"/>
        <v>35</v>
      </c>
      <c r="E5" s="11" t="s">
        <v>431</v>
      </c>
      <c r="F5" s="67"/>
      <c r="H5" s="11"/>
      <c r="I5" s="11" t="str">
        <f t="shared" si="2"/>
        <v/>
      </c>
      <c r="J5" s="7" t="str">
        <f t="shared" ca="1" si="3"/>
        <v/>
      </c>
    </row>
    <row r="6" spans="1:10">
      <c r="A6" s="78" t="s">
        <v>112</v>
      </c>
      <c r="B6" s="77">
        <v>34280</v>
      </c>
      <c r="C6" s="80" t="str">
        <f t="shared" si="0"/>
        <v>1107</v>
      </c>
      <c r="D6" s="79">
        <f t="shared" ca="1" si="1"/>
        <v>32</v>
      </c>
      <c r="E6" s="11" t="s">
        <v>431</v>
      </c>
      <c r="F6" s="67"/>
      <c r="G6" s="7" t="s">
        <v>432</v>
      </c>
      <c r="H6" s="11"/>
      <c r="I6" s="11" t="str">
        <f t="shared" si="2"/>
        <v/>
      </c>
      <c r="J6" s="7" t="str">
        <f t="shared" ca="1" si="3"/>
        <v/>
      </c>
    </row>
    <row r="7" spans="1:10">
      <c r="A7" s="78" t="s">
        <v>116</v>
      </c>
      <c r="B7" s="77">
        <v>42684</v>
      </c>
      <c r="C7" s="80" t="str">
        <f t="shared" si="0"/>
        <v>1110</v>
      </c>
      <c r="D7" s="79">
        <f t="shared" ca="1" si="1"/>
        <v>9</v>
      </c>
      <c r="E7" s="11" t="s">
        <v>431</v>
      </c>
      <c r="F7" s="67"/>
      <c r="H7" s="11"/>
      <c r="I7" s="11" t="str">
        <f t="shared" si="2"/>
        <v/>
      </c>
      <c r="J7" s="7" t="str">
        <f t="shared" ca="1" si="3"/>
        <v/>
      </c>
    </row>
    <row r="8" spans="1:10">
      <c r="A8" s="78" t="s">
        <v>117</v>
      </c>
      <c r="B8" s="77">
        <v>42696</v>
      </c>
      <c r="C8" s="80" t="str">
        <f t="shared" si="0"/>
        <v>1122</v>
      </c>
      <c r="D8" s="79">
        <f t="shared" ca="1" si="1"/>
        <v>9</v>
      </c>
      <c r="E8" s="11">
        <v>5</v>
      </c>
      <c r="F8" s="67" t="s">
        <v>433</v>
      </c>
      <c r="G8" s="7" t="s">
        <v>20</v>
      </c>
      <c r="H8" s="11"/>
      <c r="I8" s="11">
        <f t="shared" si="2"/>
        <v>5</v>
      </c>
      <c r="J8" s="7" t="str">
        <f t="shared" ca="1" si="3"/>
        <v/>
      </c>
    </row>
    <row r="9" spans="1:10">
      <c r="A9" s="78" t="s">
        <v>123</v>
      </c>
      <c r="B9" s="77">
        <v>33221</v>
      </c>
      <c r="C9" s="80" t="str">
        <f t="shared" si="0"/>
        <v>1214</v>
      </c>
      <c r="D9" s="79">
        <f t="shared" ca="1" si="1"/>
        <v>35</v>
      </c>
      <c r="E9" s="11" t="s">
        <v>431</v>
      </c>
      <c r="F9" s="67"/>
      <c r="H9" s="11"/>
      <c r="I9" s="11" t="str">
        <f t="shared" si="2"/>
        <v/>
      </c>
      <c r="J9" s="7" t="str">
        <f t="shared" ca="1" si="3"/>
        <v/>
      </c>
    </row>
    <row r="10" spans="1:10">
      <c r="A10" s="78" t="s">
        <v>119</v>
      </c>
      <c r="B10" s="77">
        <v>34317</v>
      </c>
      <c r="C10" s="80" t="str">
        <f t="shared" si="0"/>
        <v>1214</v>
      </c>
      <c r="D10" s="79">
        <f t="shared" ca="1" si="1"/>
        <v>32</v>
      </c>
      <c r="E10" s="11">
        <v>15</v>
      </c>
      <c r="F10" s="67" t="s">
        <v>434</v>
      </c>
      <c r="G10" s="7" t="s">
        <v>20</v>
      </c>
      <c r="H10" s="11">
        <v>12.5</v>
      </c>
      <c r="I10" s="11">
        <f t="shared" si="2"/>
        <v>2.5</v>
      </c>
      <c r="J10" s="7" t="str">
        <f t="shared" ca="1" si="3"/>
        <v/>
      </c>
    </row>
    <row r="11" spans="1:10">
      <c r="A11" s="78" t="s">
        <v>60</v>
      </c>
      <c r="B11" s="77">
        <v>42720</v>
      </c>
      <c r="C11" s="80" t="str">
        <f t="shared" si="0"/>
        <v>1216</v>
      </c>
      <c r="D11" s="79">
        <f t="shared" ca="1" si="1"/>
        <v>9</v>
      </c>
      <c r="E11" s="11" t="s">
        <v>431</v>
      </c>
      <c r="F11" s="67"/>
      <c r="H11" s="11"/>
      <c r="I11" s="11" t="str">
        <f t="shared" si="2"/>
        <v/>
      </c>
      <c r="J11" s="7" t="str">
        <f t="shared" ca="1" si="3"/>
        <v/>
      </c>
    </row>
    <row r="12" spans="1:10">
      <c r="A12" s="78" t="s">
        <v>125</v>
      </c>
      <c r="B12" s="77">
        <v>34327</v>
      </c>
      <c r="C12" s="80" t="str">
        <f t="shared" si="0"/>
        <v>1224</v>
      </c>
      <c r="D12" s="79">
        <f t="shared" ca="1" si="1"/>
        <v>32</v>
      </c>
      <c r="E12" s="11">
        <v>100</v>
      </c>
      <c r="F12" s="67"/>
      <c r="G12" s="7" t="s">
        <v>20</v>
      </c>
      <c r="H12" s="11">
        <v>100</v>
      </c>
      <c r="I12" s="11"/>
      <c r="J12" s="7" t="str">
        <f t="shared" ca="1" si="3"/>
        <v/>
      </c>
    </row>
    <row r="13" spans="1:10">
      <c r="A13" s="78" t="s">
        <v>126</v>
      </c>
      <c r="B13" s="77">
        <v>32138</v>
      </c>
      <c r="C13" s="80" t="str">
        <f t="shared" si="0"/>
        <v>1227</v>
      </c>
      <c r="D13" s="79">
        <f t="shared" ca="1" si="1"/>
        <v>38</v>
      </c>
      <c r="E13" s="11" t="s">
        <v>431</v>
      </c>
      <c r="F13" s="67"/>
      <c r="H13" s="11"/>
      <c r="I13" s="11" t="str">
        <f t="shared" si="2"/>
        <v/>
      </c>
      <c r="J13" s="7" t="str">
        <f t="shared" ca="1" si="3"/>
        <v/>
      </c>
    </row>
    <row r="14" spans="1:10">
      <c r="A14" s="78" t="s">
        <v>127</v>
      </c>
      <c r="B14" s="77">
        <v>23740</v>
      </c>
      <c r="C14" s="80" t="str">
        <f t="shared" si="0"/>
        <v>1229</v>
      </c>
      <c r="D14" s="79">
        <f t="shared" ca="1" si="1"/>
        <v>61</v>
      </c>
      <c r="E14" s="11">
        <v>10</v>
      </c>
      <c r="F14" s="67"/>
      <c r="H14" s="11"/>
      <c r="I14" s="11">
        <f t="shared" si="2"/>
        <v>10</v>
      </c>
      <c r="J14" s="7" t="str">
        <f t="shared" ca="1" si="3"/>
        <v/>
      </c>
    </row>
    <row r="16" spans="1:10">
      <c r="A16" s="62" t="s">
        <v>435</v>
      </c>
      <c r="B16" s="62"/>
      <c r="C16" s="62"/>
      <c r="D16" s="60"/>
      <c r="E16" s="63">
        <f>SUMIF(E3:E10,"&gt;0")</f>
        <v>50</v>
      </c>
      <c r="F16" s="63"/>
      <c r="G16" s="60"/>
      <c r="H16" s="63">
        <f>SUM(H3:H10)</f>
        <v>32.5</v>
      </c>
      <c r="I16" s="63">
        <f>SUM(I3:I10)</f>
        <v>17.5</v>
      </c>
    </row>
  </sheetData>
  <sortState xmlns:xlrd2="http://schemas.microsoft.com/office/spreadsheetml/2017/richdata2" ref="A3:F57">
    <sortCondition ref="C3"/>
  </sortState>
  <phoneticPr fontId="33" type="noConversion"/>
  <conditionalFormatting sqref="A3:J14">
    <cfRule type="cellIs" dxfId="363" priority="2" operator="equal">
      <formula>"DONE"</formula>
    </cfRule>
  </conditionalFormatting>
  <conditionalFormatting sqref="G3:G14">
    <cfRule type="cellIs" dxfId="362" priority="9" operator="equal">
      <formula>"Y"</formula>
    </cfRule>
    <cfRule type="cellIs" dxfId="361" priority="10" operator="notEqual">
      <formula>"Y"</formula>
    </cfRule>
  </conditionalFormatting>
  <conditionalFormatting sqref="J1:J1048576">
    <cfRule type="cellIs" dxfId="360" priority="1" operator="equal">
      <formula>"MISSED"</formula>
    </cfRule>
  </conditionalFormatting>
  <conditionalFormatting sqref="J3:J14">
    <cfRule type="containsText" dxfId="359" priority="3" operator="containsText" text="WEEK">
      <formula>NOT(ISERROR(SEARCH("WEEK",J3)))</formula>
    </cfRule>
    <cfRule type="containsText" dxfId="358" priority="4" operator="containsText" text="to go">
      <formula>NOT(ISERROR(SEARCH("to go",J3)))</formula>
    </cfRule>
    <cfRule type="cellIs" dxfId="357" priority="5" operator="equal">
      <formula>"TODAY!!!"</formula>
    </cfRule>
  </conditionalFormatting>
  <pageMargins left="0.7" right="0.7" top="0.75" bottom="0.75" header="0.3" footer="0.3"/>
  <pageSetup paperSize="9" scale="67"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C15"/>
  <sheetViews>
    <sheetView workbookViewId="0"/>
  </sheetViews>
  <sheetFormatPr defaultColWidth="11.33203125" defaultRowHeight="14.4"/>
  <cols>
    <col min="1" max="1" width="19.44140625" customWidth="1"/>
    <col min="2" max="2" width="12.109375" bestFit="1" customWidth="1"/>
  </cols>
  <sheetData>
    <row r="1" spans="1:3" ht="18">
      <c r="A1" s="9"/>
      <c r="B1" s="9" t="s">
        <v>436</v>
      </c>
      <c r="C1" s="9" t="s">
        <v>437</v>
      </c>
    </row>
    <row r="2" spans="1:3" ht="18">
      <c r="A2" s="28"/>
      <c r="B2" s="28">
        <v>42458</v>
      </c>
    </row>
    <row r="3" spans="1:3" ht="18">
      <c r="A3" s="28"/>
      <c r="B3" s="28">
        <v>42459</v>
      </c>
    </row>
    <row r="4" spans="1:3" ht="18">
      <c r="A4" s="28"/>
      <c r="B4" s="28">
        <v>42460</v>
      </c>
    </row>
    <row r="5" spans="1:3" ht="18">
      <c r="A5" s="28"/>
      <c r="B5" s="28">
        <v>42464</v>
      </c>
    </row>
    <row r="6" spans="1:3" ht="18">
      <c r="A6" s="28"/>
      <c r="B6" s="28">
        <v>42465</v>
      </c>
    </row>
    <row r="7" spans="1:3" ht="18">
      <c r="A7" s="28"/>
      <c r="B7" s="28">
        <v>42466</v>
      </c>
    </row>
    <row r="8" spans="1:3" ht="18">
      <c r="A8" s="28"/>
      <c r="B8" s="28">
        <v>42467</v>
      </c>
    </row>
    <row r="9" spans="1:3" ht="18">
      <c r="A9" s="28"/>
      <c r="B9" s="28">
        <v>42468</v>
      </c>
    </row>
    <row r="10" spans="1:3" ht="18">
      <c r="A10" s="9"/>
      <c r="B10" s="28">
        <v>42471</v>
      </c>
    </row>
    <row r="11" spans="1:3" ht="18">
      <c r="A11" s="9"/>
      <c r="B11" s="9"/>
    </row>
    <row r="12" spans="1:3" ht="18">
      <c r="A12" s="9" t="s">
        <v>438</v>
      </c>
      <c r="B12" s="9">
        <f>COUNT(B2:B10)</f>
        <v>9</v>
      </c>
    </row>
    <row r="13" spans="1:3" ht="18">
      <c r="A13" s="9" t="s">
        <v>439</v>
      </c>
      <c r="B13" s="10">
        <f>B12*64.33</f>
        <v>578.97</v>
      </c>
    </row>
    <row r="14" spans="1:3" ht="18">
      <c r="A14" s="9" t="s">
        <v>440</v>
      </c>
      <c r="B14" s="10">
        <f>B12*5.71</f>
        <v>51.39</v>
      </c>
    </row>
    <row r="15" spans="1:3" ht="18">
      <c r="A15" s="9" t="s">
        <v>441</v>
      </c>
      <c r="B15" s="10">
        <f>SUM(B13,B14)</f>
        <v>630.36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H26"/>
  <sheetViews>
    <sheetView workbookViewId="0">
      <selection activeCell="B18" sqref="B18"/>
    </sheetView>
  </sheetViews>
  <sheetFormatPr defaultColWidth="11.33203125" defaultRowHeight="14.4" outlineLevelRow="1"/>
  <cols>
    <col min="1" max="1" width="15.44140625" customWidth="1"/>
    <col min="2" max="2" width="24.44140625" customWidth="1"/>
    <col min="3" max="4" width="27.44140625" customWidth="1"/>
    <col min="5" max="5" width="28.109375" customWidth="1"/>
    <col min="6" max="6" width="30.109375" customWidth="1"/>
    <col min="7" max="7" width="14.109375" customWidth="1"/>
    <col min="8" max="8" width="15.44140625" customWidth="1"/>
  </cols>
  <sheetData>
    <row r="1" spans="1:8" ht="18">
      <c r="A1" s="12"/>
      <c r="B1" s="12" t="s">
        <v>164</v>
      </c>
      <c r="C1" s="13" t="s">
        <v>442</v>
      </c>
      <c r="D1" s="13" t="s">
        <v>443</v>
      </c>
      <c r="E1" s="13" t="s">
        <v>444</v>
      </c>
      <c r="F1" s="13" t="s">
        <v>445</v>
      </c>
      <c r="G1" s="12" t="s">
        <v>10</v>
      </c>
      <c r="H1" s="12"/>
    </row>
    <row r="2" spans="1:8" ht="18">
      <c r="A2" s="12" t="s">
        <v>165</v>
      </c>
      <c r="B2" s="9"/>
      <c r="C2" s="296" t="e">
        <f>SUM(C3:C16)</f>
        <v>#REF!</v>
      </c>
      <c r="D2" s="296">
        <f>SUM(D3:D16)</f>
        <v>2181.9699999999998</v>
      </c>
      <c r="E2" s="296">
        <f>SUM(E3:E16)</f>
        <v>212.35000000000002</v>
      </c>
      <c r="F2" s="296">
        <f>SUM(F3:F16)</f>
        <v>171.26999999999998</v>
      </c>
      <c r="G2" s="10"/>
      <c r="H2" s="12"/>
    </row>
    <row r="3" spans="1:8" ht="18" outlineLevel="1">
      <c r="A3" s="31" t="s">
        <v>168</v>
      </c>
      <c r="B3" s="10" t="e">
        <f>'Joint Outgoings'!#REF!</f>
        <v>#REF!</v>
      </c>
      <c r="C3" s="10">
        <v>0</v>
      </c>
      <c r="D3" s="10">
        <v>0</v>
      </c>
      <c r="E3" s="10">
        <v>0</v>
      </c>
      <c r="F3" s="9">
        <v>7.75</v>
      </c>
      <c r="G3" s="10" t="e">
        <f>IF(B3&lt;&gt;"",B3-C3-D3-E3-F3,"")</f>
        <v>#REF!</v>
      </c>
      <c r="H3" s="12" t="str">
        <f t="shared" ref="H3:H14" si="0">A3</f>
        <v>Bike petrol</v>
      </c>
    </row>
    <row r="4" spans="1:8" ht="18" outlineLevel="1">
      <c r="A4" s="31" t="s">
        <v>169</v>
      </c>
      <c r="B4" s="10">
        <f>'Joint Outgoings'!C3</f>
        <v>750</v>
      </c>
      <c r="C4" s="10">
        <f>6+23.16+9+17.55+3+3</f>
        <v>61.709999999999994</v>
      </c>
      <c r="D4" s="10">
        <f>14.15+9.3+3.5+3.27</f>
        <v>30.220000000000002</v>
      </c>
      <c r="E4" s="10">
        <f>7.45+4.4+30.05+5+3.29+5.45+15+3.29</f>
        <v>73.930000000000021</v>
      </c>
      <c r="F4" s="9">
        <f>9.96+5.54+23.65+7.9</f>
        <v>47.05</v>
      </c>
      <c r="G4" s="10">
        <f t="shared" ref="G4:G14" si="1">IF(B4&lt;&gt;"",B4-C4-D4-E4-F4,"")</f>
        <v>537.08999999999992</v>
      </c>
      <c r="H4" s="34" t="str">
        <f t="shared" si="0"/>
        <v>Food</v>
      </c>
    </row>
    <row r="5" spans="1:8" ht="18" outlineLevel="1">
      <c r="A5" s="31" t="s">
        <v>167</v>
      </c>
      <c r="B5" s="10"/>
      <c r="C5" s="10"/>
      <c r="D5" s="10"/>
      <c r="E5" s="10"/>
      <c r="F5" s="10"/>
      <c r="G5" s="10" t="str">
        <f t="shared" si="1"/>
        <v/>
      </c>
      <c r="H5" s="12" t="str">
        <f t="shared" si="0"/>
        <v xml:space="preserve">Car Petrol </v>
      </c>
    </row>
    <row r="6" spans="1:8" ht="18" outlineLevel="1">
      <c r="A6" s="31" t="s">
        <v>446</v>
      </c>
      <c r="B6" s="10">
        <f>6.99</f>
        <v>6.99</v>
      </c>
      <c r="C6" s="10">
        <v>6.99</v>
      </c>
      <c r="D6" s="10">
        <v>0</v>
      </c>
      <c r="E6" s="10">
        <v>0</v>
      </c>
      <c r="F6" s="10">
        <v>0</v>
      </c>
      <c r="G6" s="10">
        <f t="shared" si="1"/>
        <v>0</v>
      </c>
      <c r="H6" s="12" t="str">
        <f t="shared" si="0"/>
        <v>Netflix</v>
      </c>
    </row>
    <row r="7" spans="1:8" ht="18" outlineLevel="1">
      <c r="A7" s="31" t="s">
        <v>179</v>
      </c>
      <c r="B7" s="10" t="e">
        <f>'Joint Outgoings'!#REF!</f>
        <v>#REF!</v>
      </c>
      <c r="C7" s="10">
        <v>0</v>
      </c>
      <c r="D7" s="10">
        <v>0</v>
      </c>
      <c r="E7" s="10">
        <v>9.99</v>
      </c>
      <c r="F7" s="10">
        <v>0</v>
      </c>
      <c r="G7" s="10" t="e">
        <f t="shared" si="1"/>
        <v>#REF!</v>
      </c>
      <c r="H7" s="12" t="str">
        <f t="shared" si="0"/>
        <v>Sky Movies</v>
      </c>
    </row>
    <row r="8" spans="1:8" ht="18" outlineLevel="1">
      <c r="A8" s="31" t="s">
        <v>180</v>
      </c>
      <c r="B8" s="10" t="e">
        <f>'Joint Outgoings'!#REF!</f>
        <v>#REF!</v>
      </c>
      <c r="C8" s="10">
        <v>0</v>
      </c>
      <c r="D8" s="10">
        <v>4.99</v>
      </c>
      <c r="E8" s="10">
        <v>0</v>
      </c>
      <c r="F8" s="10">
        <v>0</v>
      </c>
      <c r="G8" s="10" t="e">
        <f t="shared" si="1"/>
        <v>#REF!</v>
      </c>
      <c r="H8" s="12" t="str">
        <f t="shared" si="0"/>
        <v>Spotify</v>
      </c>
    </row>
    <row r="9" spans="1:8" ht="18" outlineLevel="1">
      <c r="A9" s="31" t="s">
        <v>176</v>
      </c>
      <c r="B9" s="10">
        <f>'Joint Outgoings'!C29</f>
        <v>16.989999999999998</v>
      </c>
      <c r="C9" s="10">
        <v>0</v>
      </c>
      <c r="D9" s="10">
        <v>0</v>
      </c>
      <c r="E9" s="10">
        <v>0</v>
      </c>
      <c r="F9" s="9">
        <v>44.99</v>
      </c>
      <c r="G9" s="10">
        <f t="shared" si="1"/>
        <v>-28.000000000000004</v>
      </c>
      <c r="H9" s="12" t="str">
        <f t="shared" si="0"/>
        <v xml:space="preserve">Phone </v>
      </c>
    </row>
    <row r="10" spans="1:8" ht="18" outlineLevel="1">
      <c r="A10" s="31" t="s">
        <v>410</v>
      </c>
      <c r="B10" s="10" t="e">
        <f>'Joint Outgoings'!#REF!</f>
        <v>#REF!</v>
      </c>
      <c r="C10" s="10">
        <v>0</v>
      </c>
      <c r="D10" s="10">
        <v>0</v>
      </c>
      <c r="E10" s="10">
        <v>0</v>
      </c>
      <c r="F10" s="9"/>
      <c r="G10" s="10" t="e">
        <f t="shared" si="1"/>
        <v>#REF!</v>
      </c>
      <c r="H10" s="12" t="str">
        <f t="shared" si="0"/>
        <v>Bupa</v>
      </c>
    </row>
    <row r="11" spans="1:8" ht="18" outlineLevel="1">
      <c r="A11" s="31" t="s">
        <v>447</v>
      </c>
      <c r="B11" s="10"/>
      <c r="C11" s="10"/>
      <c r="D11" s="10"/>
      <c r="E11" s="10"/>
      <c r="F11" s="9"/>
      <c r="G11" s="10" t="str">
        <f t="shared" si="1"/>
        <v/>
      </c>
      <c r="H11" s="12" t="str">
        <f t="shared" si="0"/>
        <v>Bike ins.</v>
      </c>
    </row>
    <row r="12" spans="1:8" ht="18" outlineLevel="1">
      <c r="A12" s="31" t="s">
        <v>411</v>
      </c>
      <c r="B12" s="10"/>
      <c r="C12" s="10"/>
      <c r="D12" s="10"/>
      <c r="E12" s="10"/>
      <c r="F12" s="9"/>
      <c r="G12" s="10" t="str">
        <f t="shared" si="1"/>
        <v/>
      </c>
      <c r="H12" s="12" t="str">
        <f t="shared" si="0"/>
        <v>Car ins.</v>
      </c>
    </row>
    <row r="13" spans="1:8" ht="18" outlineLevel="1">
      <c r="A13" s="31" t="s">
        <v>448</v>
      </c>
      <c r="B13" s="9"/>
      <c r="C13" s="9"/>
      <c r="D13" s="9"/>
      <c r="E13" s="9"/>
      <c r="F13" s="9"/>
      <c r="G13" s="10" t="str">
        <f t="shared" si="1"/>
        <v/>
      </c>
      <c r="H13" s="12" t="str">
        <f t="shared" si="0"/>
        <v>Bike v.tax</v>
      </c>
    </row>
    <row r="14" spans="1:8" ht="18" outlineLevel="1">
      <c r="A14" s="31" t="s">
        <v>419</v>
      </c>
      <c r="B14" s="19"/>
      <c r="C14" s="10"/>
      <c r="D14" s="10"/>
      <c r="E14" s="15"/>
      <c r="F14" s="35"/>
      <c r="G14" s="10" t="str">
        <f t="shared" si="1"/>
        <v/>
      </c>
      <c r="H14" s="12" t="str">
        <f t="shared" si="0"/>
        <v>Xbox live</v>
      </c>
    </row>
    <row r="15" spans="1:8" ht="18" outlineLevel="1">
      <c r="A15" s="31" t="s">
        <v>172</v>
      </c>
      <c r="B15" s="10" t="e">
        <f>B18-SUM(B3:B14)-SUM(C16:F16)</f>
        <v>#REF!</v>
      </c>
      <c r="C15" s="10">
        <f>6.4+9</f>
        <v>15.4</v>
      </c>
      <c r="D15" s="10">
        <f>95+73+101+149.99+20</f>
        <v>438.99</v>
      </c>
      <c r="E15" s="10">
        <f>4.5+4.99+9.99+13.65+4.7+37.85+22.97+2.8+3.98+23</f>
        <v>128.43</v>
      </c>
      <c r="F15" s="10">
        <f>11.99+12.99+31.5+15</f>
        <v>71.48</v>
      </c>
      <c r="G15" s="10" t="e">
        <f>IF(B15&lt;&gt;"",B15-C15-D15-E15-F15,"")</f>
        <v>#REF!</v>
      </c>
      <c r="H15" s="12" t="s">
        <v>172</v>
      </c>
    </row>
    <row r="16" spans="1:8" ht="18" outlineLevel="1">
      <c r="A16" s="31" t="s">
        <v>184</v>
      </c>
      <c r="B16" s="10" t="e">
        <f>IF(SUM(C16:F16)&lt;&gt;0,SUM(C16:F16),"")</f>
        <v>#REF!</v>
      </c>
      <c r="C16" s="10" t="e">
        <f>IF((C18-SUM(B3:B14))&gt;500,(C18-SUM(B3:B14)-500),IF(((C18-SUM(B3:B14))/2)&gt;0,((C18-SUM(B3:B14))/2),0))</f>
        <v>#REF!</v>
      </c>
      <c r="D16" s="10">
        <f>1850-142.23</f>
        <v>1707.77</v>
      </c>
      <c r="E16" s="10"/>
      <c r="F16" s="35"/>
      <c r="G16" s="10"/>
      <c r="H16" s="12" t="s">
        <v>183</v>
      </c>
    </row>
    <row r="17" spans="1:8" ht="18" outlineLevel="1">
      <c r="A17" s="31" t="s">
        <v>185</v>
      </c>
      <c r="B17" s="10">
        <f>IF(SUM(C17:F17)&lt;&gt;0,SUM(C17:F17),0)</f>
        <v>0</v>
      </c>
      <c r="C17" s="10"/>
      <c r="D17" s="10"/>
      <c r="E17" s="10"/>
      <c r="F17" s="35"/>
      <c r="G17" s="10"/>
      <c r="H17" s="12"/>
    </row>
    <row r="18" spans="1:8" ht="18">
      <c r="A18" s="32" t="s">
        <v>186</v>
      </c>
      <c r="B18" s="296">
        <f>SUM(C18:F18)</f>
        <v>3299.86</v>
      </c>
      <c r="C18" s="26">
        <v>643.51</v>
      </c>
      <c r="D18" s="26">
        <f>1129+945.88</f>
        <v>2074.88</v>
      </c>
      <c r="E18" s="27">
        <v>570.48</v>
      </c>
      <c r="F18" s="36">
        <v>10.99</v>
      </c>
      <c r="G18" s="33" t="e">
        <f>SUM(G3:G15)</f>
        <v>#REF!</v>
      </c>
      <c r="H18" s="10"/>
    </row>
    <row r="19" spans="1:8" ht="18">
      <c r="A19" s="24"/>
      <c r="B19" s="10"/>
      <c r="C19" s="19"/>
      <c r="D19" s="19"/>
      <c r="E19" s="23"/>
      <c r="F19" s="25"/>
      <c r="G19" s="11"/>
      <c r="H19" s="11"/>
    </row>
    <row r="20" spans="1:8" ht="18">
      <c r="A20" s="17"/>
      <c r="B20" s="17"/>
      <c r="C20" s="16"/>
      <c r="D20" s="16"/>
      <c r="E20" s="16"/>
      <c r="F20" s="16"/>
    </row>
    <row r="21" spans="1:8" ht="18">
      <c r="A21" s="17"/>
      <c r="B21" s="17"/>
      <c r="C21" s="16"/>
      <c r="D21" s="16"/>
      <c r="E21" s="16"/>
      <c r="F21" s="18"/>
    </row>
    <row r="22" spans="1:8" ht="18">
      <c r="A22" s="17"/>
      <c r="B22" s="17"/>
      <c r="C22" s="16"/>
      <c r="D22" s="16"/>
      <c r="E22" s="21"/>
      <c r="F22" s="18"/>
      <c r="G22" s="11"/>
      <c r="H22" s="11"/>
    </row>
    <row r="23" spans="1:8" ht="18">
      <c r="A23" s="10"/>
      <c r="B23" s="10"/>
      <c r="C23" s="14"/>
      <c r="D23" s="15"/>
      <c r="E23" s="21"/>
      <c r="F23" s="22"/>
    </row>
    <row r="24" spans="1:8" ht="18">
      <c r="A24" s="20"/>
      <c r="B24" s="10"/>
    </row>
    <row r="26" spans="1:8" ht="18">
      <c r="B26" s="10"/>
    </row>
  </sheetData>
  <dataConsolidate/>
  <conditionalFormatting sqref="G3:G18">
    <cfRule type="iconSet" priority="2">
      <iconSet>
        <cfvo type="percent" val="0"/>
        <cfvo type="num" val="0"/>
        <cfvo type="num" val="1"/>
      </iconSet>
    </cfRule>
  </conditionalFormatting>
  <pageMargins left="0.7" right="0.7" top="0.75" bottom="0.75" header="0.3" footer="0.3"/>
  <pageSetup paperSize="9" orientation="portrait" horizontalDpi="0" verticalDpi="0"/>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H27"/>
  <sheetViews>
    <sheetView workbookViewId="0"/>
  </sheetViews>
  <sheetFormatPr defaultColWidth="11.33203125" defaultRowHeight="14.4" outlineLevelRow="1"/>
  <cols>
    <col min="1" max="1" width="15.44140625" customWidth="1"/>
    <col min="2" max="2" width="28.109375" customWidth="1"/>
    <col min="3" max="3" width="25.44140625" customWidth="1"/>
    <col min="4" max="5" width="23.6640625" customWidth="1"/>
    <col min="6" max="6" width="26" customWidth="1"/>
    <col min="7" max="7" width="14.109375" customWidth="1"/>
    <col min="8" max="8" width="15.44140625" customWidth="1"/>
  </cols>
  <sheetData>
    <row r="1" spans="1:8" ht="18">
      <c r="A1" s="12"/>
      <c r="B1" s="12" t="s">
        <v>164</v>
      </c>
      <c r="C1" s="13" t="s">
        <v>449</v>
      </c>
      <c r="D1" s="13" t="s">
        <v>450</v>
      </c>
      <c r="E1" s="13" t="s">
        <v>451</v>
      </c>
      <c r="F1" s="13" t="s">
        <v>452</v>
      </c>
      <c r="G1" s="12" t="s">
        <v>10</v>
      </c>
      <c r="H1" s="12"/>
    </row>
    <row r="2" spans="1:8" ht="18">
      <c r="A2" s="12" t="s">
        <v>165</v>
      </c>
      <c r="B2" s="10"/>
      <c r="C2" s="296">
        <f>SUM(C3:C16)</f>
        <v>924.27</v>
      </c>
      <c r="D2" s="296">
        <f>SUM(D3:D16)</f>
        <v>313.79000000000002</v>
      </c>
      <c r="E2" s="296">
        <f>SUM(E3:E16)</f>
        <v>504.68999999999994</v>
      </c>
      <c r="F2" s="296">
        <f>SUM(F3:F16)</f>
        <v>186.01</v>
      </c>
      <c r="G2" s="10"/>
      <c r="H2" s="12"/>
    </row>
    <row r="3" spans="1:8" ht="18" outlineLevel="1">
      <c r="A3" s="31" t="s">
        <v>168</v>
      </c>
      <c r="B3" s="10" t="e">
        <f>'Joint Outgoings'!#REF!</f>
        <v>#REF!</v>
      </c>
      <c r="C3" s="10">
        <v>0</v>
      </c>
      <c r="D3" s="10">
        <v>0</v>
      </c>
      <c r="E3" s="10">
        <v>7.87</v>
      </c>
      <c r="F3" s="10">
        <v>8.32</v>
      </c>
      <c r="G3" s="10" t="e">
        <f t="shared" ref="G3:G15" si="0">IF(B3&lt;&gt;"",B3-C3-D3-E3-F3,"")</f>
        <v>#REF!</v>
      </c>
      <c r="H3" s="12" t="str">
        <f t="shared" ref="H3:H14" si="1">A3</f>
        <v>Bike petrol</v>
      </c>
    </row>
    <row r="4" spans="1:8" ht="18.75" customHeight="1" outlineLevel="1">
      <c r="A4" s="31" t="s">
        <v>167</v>
      </c>
      <c r="B4" s="10"/>
      <c r="C4" s="10"/>
      <c r="D4" s="10"/>
      <c r="E4" s="10"/>
      <c r="F4" s="10"/>
      <c r="G4" s="10" t="str">
        <f t="shared" si="0"/>
        <v/>
      </c>
      <c r="H4" s="12" t="str">
        <f t="shared" si="1"/>
        <v xml:space="preserve">Car Petrol </v>
      </c>
    </row>
    <row r="5" spans="1:8" ht="19.5" customHeight="1" outlineLevel="1">
      <c r="A5" s="31" t="s">
        <v>446</v>
      </c>
      <c r="B5" s="10">
        <f>6.99</f>
        <v>6.99</v>
      </c>
      <c r="C5" s="10">
        <v>6.99</v>
      </c>
      <c r="D5" s="10"/>
      <c r="E5" s="10"/>
      <c r="F5" s="10"/>
      <c r="G5" s="10">
        <f t="shared" si="0"/>
        <v>0</v>
      </c>
      <c r="H5" s="12" t="str">
        <f t="shared" si="1"/>
        <v>Netflix</v>
      </c>
    </row>
    <row r="6" spans="1:8" ht="18.75" customHeight="1" outlineLevel="1">
      <c r="A6" s="31" t="s">
        <v>169</v>
      </c>
      <c r="B6" s="10">
        <f>'Joint Outgoings'!C3</f>
        <v>750</v>
      </c>
      <c r="C6" s="10">
        <f>2.9+11+6.6+39.96+11.5+17</f>
        <v>88.960000000000008</v>
      </c>
      <c r="D6" s="10">
        <f>20+49.61+22</f>
        <v>91.61</v>
      </c>
      <c r="E6" s="10">
        <f>14.63</f>
        <v>14.63</v>
      </c>
      <c r="F6" s="10">
        <f>6+25.7</f>
        <v>31.7</v>
      </c>
      <c r="G6" s="10">
        <f t="shared" si="0"/>
        <v>523.09999999999991</v>
      </c>
      <c r="H6" s="34" t="str">
        <f t="shared" si="1"/>
        <v>Food</v>
      </c>
    </row>
    <row r="7" spans="1:8" ht="18" customHeight="1" outlineLevel="1">
      <c r="A7" s="31" t="s">
        <v>179</v>
      </c>
      <c r="B7" s="10" t="e">
        <f>'Joint Outgoings'!#REF!</f>
        <v>#REF!</v>
      </c>
      <c r="C7" s="10"/>
      <c r="D7" s="10"/>
      <c r="E7" s="10">
        <v>9.99</v>
      </c>
      <c r="F7" s="10"/>
      <c r="G7" s="10" t="e">
        <f t="shared" si="0"/>
        <v>#REF!</v>
      </c>
      <c r="H7" s="12" t="str">
        <f t="shared" si="1"/>
        <v>Sky Movies</v>
      </c>
    </row>
    <row r="8" spans="1:8" ht="18" outlineLevel="1">
      <c r="A8" s="31" t="s">
        <v>180</v>
      </c>
      <c r="B8" s="10" t="e">
        <f>'Joint Outgoings'!#REF!</f>
        <v>#REF!</v>
      </c>
      <c r="C8" s="10"/>
      <c r="D8" s="10">
        <v>4.99</v>
      </c>
      <c r="E8" s="10"/>
      <c r="F8" s="10"/>
      <c r="G8" s="10" t="e">
        <f t="shared" si="0"/>
        <v>#REF!</v>
      </c>
      <c r="H8" s="12" t="str">
        <f t="shared" si="1"/>
        <v>Spotify</v>
      </c>
    </row>
    <row r="9" spans="1:8" ht="18" outlineLevel="1">
      <c r="A9" s="31" t="s">
        <v>176</v>
      </c>
      <c r="B9" s="10">
        <f>'Joint Outgoings'!C29</f>
        <v>16.989999999999998</v>
      </c>
      <c r="C9" s="10"/>
      <c r="D9" s="10"/>
      <c r="E9" s="10"/>
      <c r="F9" s="10">
        <v>44.99</v>
      </c>
      <c r="G9" s="10">
        <f t="shared" si="0"/>
        <v>-28.000000000000004</v>
      </c>
      <c r="H9" s="12" t="str">
        <f t="shared" si="1"/>
        <v xml:space="preserve">Phone </v>
      </c>
    </row>
    <row r="10" spans="1:8" ht="18" outlineLevel="1">
      <c r="A10" s="31" t="s">
        <v>410</v>
      </c>
      <c r="B10" s="10" t="e">
        <f>'Joint Outgoings'!#REF!</f>
        <v>#REF!</v>
      </c>
      <c r="C10" s="10"/>
      <c r="D10" s="10"/>
      <c r="E10" s="10">
        <v>36.29</v>
      </c>
      <c r="F10" s="10"/>
      <c r="G10" s="10" t="e">
        <f t="shared" si="0"/>
        <v>#REF!</v>
      </c>
      <c r="H10" s="12" t="str">
        <f t="shared" si="1"/>
        <v>Bupa</v>
      </c>
    </row>
    <row r="11" spans="1:8" ht="18" outlineLevel="1">
      <c r="A11" s="31" t="s">
        <v>419</v>
      </c>
      <c r="B11" s="19">
        <v>39.99</v>
      </c>
      <c r="C11" s="10"/>
      <c r="D11" s="10"/>
      <c r="E11" s="15"/>
      <c r="F11" s="35"/>
      <c r="G11" s="10">
        <f t="shared" si="0"/>
        <v>39.99</v>
      </c>
      <c r="H11" s="12" t="str">
        <f t="shared" si="1"/>
        <v>Xbox live</v>
      </c>
    </row>
    <row r="12" spans="1:8" ht="18" outlineLevel="1">
      <c r="A12" s="31" t="s">
        <v>447</v>
      </c>
      <c r="B12" s="10"/>
      <c r="C12" s="10"/>
      <c r="D12" s="10">
        <v>176.71</v>
      </c>
      <c r="E12" s="10"/>
      <c r="F12" s="10"/>
      <c r="G12" s="10" t="str">
        <f t="shared" si="0"/>
        <v/>
      </c>
      <c r="H12" s="12" t="str">
        <f t="shared" si="1"/>
        <v>Bike ins.</v>
      </c>
    </row>
    <row r="13" spans="1:8" ht="18" outlineLevel="1">
      <c r="A13" s="31" t="s">
        <v>411</v>
      </c>
      <c r="B13" s="10"/>
      <c r="C13" s="10"/>
      <c r="D13" s="10"/>
      <c r="E13" s="10"/>
      <c r="F13" s="10"/>
      <c r="G13" s="10" t="str">
        <f t="shared" si="0"/>
        <v/>
      </c>
      <c r="H13" s="12" t="str">
        <f t="shared" si="1"/>
        <v>Car ins.</v>
      </c>
    </row>
    <row r="14" spans="1:8" ht="18" outlineLevel="1">
      <c r="A14" s="31" t="s">
        <v>448</v>
      </c>
      <c r="B14" s="10">
        <v>39</v>
      </c>
      <c r="C14" s="10"/>
      <c r="D14" s="10"/>
      <c r="E14" s="10"/>
      <c r="F14" s="10">
        <v>39</v>
      </c>
      <c r="G14" s="10">
        <f t="shared" si="0"/>
        <v>0</v>
      </c>
      <c r="H14" s="12" t="str">
        <f t="shared" si="1"/>
        <v>Bike v.tax</v>
      </c>
    </row>
    <row r="15" spans="1:8" ht="18" outlineLevel="1">
      <c r="A15" s="31" t="s">
        <v>172</v>
      </c>
      <c r="B15" s="10" t="e">
        <f>IF(B19 &lt;&gt; 0,B19-SUM(B3:B14)-SUM(C16:F16)+SUM(C17:F17)-SUM(C18:F18),"")</f>
        <v>#REF!</v>
      </c>
      <c r="C15" s="10">
        <f>9.4+25.1+31.25+17.57+245</f>
        <v>328.32</v>
      </c>
      <c r="D15" s="10">
        <f>40.48</f>
        <v>40.479999999999997</v>
      </c>
      <c r="E15" s="10">
        <f>12.98+12.39+25+37.9+30+7.99+(545.91-308.8)+11.99+59.95+0.6</f>
        <v>435.90999999999997</v>
      </c>
      <c r="F15" s="10">
        <f>62</f>
        <v>62</v>
      </c>
      <c r="G15" s="10" t="e">
        <f t="shared" si="0"/>
        <v>#REF!</v>
      </c>
      <c r="H15" s="12" t="s">
        <v>172</v>
      </c>
    </row>
    <row r="16" spans="1:8" ht="18" outlineLevel="1">
      <c r="A16" s="31" t="s">
        <v>184</v>
      </c>
      <c r="B16" s="10">
        <f>IF(SUM(C16:F16)&lt;&gt;0,SUM(C16:F16),"")</f>
        <v>500</v>
      </c>
      <c r="C16" s="10">
        <v>500</v>
      </c>
      <c r="D16" s="10" t="str">
        <f>IF(D19 &lt;&gt; "",IF((D19-SUM(C3:C14))&gt;500,(D19-SUM(C3:C14)-500),IF(((D19-SUM(C3:C14))/2)&gt;0,((D19-SUM(C3:C14))/2),0)),"")</f>
        <v/>
      </c>
      <c r="E16" s="10" t="str">
        <f>IF(E19 &lt;&gt; "",IF((E19-SUM(D3:D14))&gt;500,(E19-SUM(D3:D14)-500),IF(((E19-SUM(D3:D14))/2)&gt;0,((E19-SUM(D3:D14))/2),0)),"")</f>
        <v/>
      </c>
      <c r="F16" s="10"/>
      <c r="G16" s="10"/>
      <c r="H16" s="12" t="s">
        <v>183</v>
      </c>
    </row>
    <row r="17" spans="1:8" ht="18" outlineLevel="1">
      <c r="A17" s="31" t="s">
        <v>185</v>
      </c>
      <c r="B17" s="10">
        <f>IF(SUM(C17:F17)&lt;&gt;0,SUM(C17:F17),"")</f>
        <v>500</v>
      </c>
      <c r="C17" s="10"/>
      <c r="D17" s="10">
        <v>500</v>
      </c>
      <c r="E17" s="10"/>
      <c r="F17" s="10"/>
      <c r="G17" s="10"/>
      <c r="H17" s="12"/>
    </row>
    <row r="18" spans="1:8" ht="18" outlineLevel="1">
      <c r="A18" s="31" t="s">
        <v>412</v>
      </c>
      <c r="B18" s="10">
        <f>IF(SUM(C18:F18)&lt;&gt;0,SUM(C18:F18),0)</f>
        <v>0</v>
      </c>
      <c r="C18" s="10"/>
      <c r="D18" s="10"/>
      <c r="E18" s="10"/>
      <c r="F18" s="10"/>
      <c r="G18" s="10"/>
      <c r="H18" s="12"/>
    </row>
    <row r="19" spans="1:8" ht="18">
      <c r="A19" s="32" t="s">
        <v>186</v>
      </c>
      <c r="B19" s="296">
        <f>SUM(C19:F19)</f>
        <v>1377.68</v>
      </c>
      <c r="C19" s="26">
        <f>80+579.76+547.49+70.43</f>
        <v>1277.68</v>
      </c>
      <c r="D19" s="26"/>
      <c r="E19" s="27"/>
      <c r="F19" s="36">
        <v>100</v>
      </c>
      <c r="G19" s="33" t="e">
        <f>SUM(G3:G15)</f>
        <v>#REF!</v>
      </c>
      <c r="H19" s="10"/>
    </row>
    <row r="20" spans="1:8" ht="18">
      <c r="A20" s="24"/>
      <c r="B20" s="10"/>
      <c r="C20" s="19"/>
      <c r="D20" s="19"/>
      <c r="E20" s="23"/>
      <c r="F20" s="25"/>
      <c r="G20" s="11"/>
      <c r="H20" s="11"/>
    </row>
    <row r="21" spans="1:8" ht="18">
      <c r="A21" s="17"/>
      <c r="B21" s="17"/>
      <c r="C21" s="16"/>
      <c r="D21" s="16"/>
      <c r="E21" s="16"/>
      <c r="F21" s="16"/>
    </row>
    <row r="22" spans="1:8" ht="18">
      <c r="A22" s="17"/>
      <c r="B22" s="17"/>
      <c r="C22" s="16"/>
      <c r="D22" s="16"/>
      <c r="E22" s="16"/>
      <c r="F22" s="18"/>
    </row>
    <row r="23" spans="1:8" ht="18">
      <c r="A23" s="17"/>
      <c r="B23" s="17"/>
      <c r="C23" s="16"/>
      <c r="D23" s="16"/>
      <c r="E23" s="21"/>
      <c r="F23" s="18"/>
      <c r="G23" s="11"/>
      <c r="H23" s="11"/>
    </row>
    <row r="24" spans="1:8" ht="18">
      <c r="A24" s="10"/>
      <c r="B24" s="10"/>
      <c r="C24" s="14"/>
      <c r="D24" s="15"/>
      <c r="E24" s="21"/>
      <c r="F24" s="22"/>
    </row>
    <row r="25" spans="1:8" ht="18">
      <c r="A25" s="20"/>
      <c r="B25" s="10"/>
    </row>
    <row r="27" spans="1:8" ht="18">
      <c r="B27" s="10"/>
    </row>
  </sheetData>
  <dataConsolidate/>
  <conditionalFormatting sqref="G3:G19">
    <cfRule type="iconSet" priority="3">
      <iconSet>
        <cfvo type="percent" val="0"/>
        <cfvo type="num" val="0"/>
        <cfvo type="num" val="1"/>
      </iconSet>
    </cfRule>
  </conditionalFormatting>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I28"/>
  <sheetViews>
    <sheetView workbookViewId="0"/>
  </sheetViews>
  <sheetFormatPr defaultColWidth="11.33203125" defaultRowHeight="14.4" outlineLevelRow="1"/>
  <cols>
    <col min="1" max="1" width="15.44140625" customWidth="1"/>
    <col min="2" max="2" width="28.109375" customWidth="1"/>
    <col min="3" max="3" width="25.44140625" customWidth="1"/>
    <col min="4" max="5" width="23.6640625" customWidth="1"/>
    <col min="6" max="7" width="26" customWidth="1"/>
    <col min="8" max="8" width="14.109375" customWidth="1"/>
    <col min="9" max="9" width="15.44140625" customWidth="1"/>
  </cols>
  <sheetData>
    <row r="1" spans="1:9" ht="18">
      <c r="A1" s="12"/>
      <c r="B1" s="12" t="s">
        <v>164</v>
      </c>
      <c r="C1" s="13" t="s">
        <v>453</v>
      </c>
      <c r="D1" s="13" t="s">
        <v>454</v>
      </c>
      <c r="E1" s="13" t="s">
        <v>455</v>
      </c>
      <c r="F1" s="13" t="s">
        <v>456</v>
      </c>
      <c r="G1" s="13" t="s">
        <v>457</v>
      </c>
      <c r="H1" s="12" t="s">
        <v>10</v>
      </c>
      <c r="I1" s="12"/>
    </row>
    <row r="2" spans="1:9" ht="18">
      <c r="A2" s="12" t="s">
        <v>165</v>
      </c>
      <c r="B2" s="10"/>
      <c r="C2" s="296">
        <f>SUM(C3:C16)</f>
        <v>817.11</v>
      </c>
      <c r="D2" s="296">
        <f>SUM(D3:D16)</f>
        <v>323.65000000000003</v>
      </c>
      <c r="E2" s="296">
        <f t="shared" ref="E2:G2" si="0">SUM(E3:E16)</f>
        <v>1085.5700000000002</v>
      </c>
      <c r="F2" s="296">
        <f t="shared" si="0"/>
        <v>9.1999999999999993</v>
      </c>
      <c r="G2" s="296">
        <f t="shared" si="0"/>
        <v>0</v>
      </c>
      <c r="H2" s="10"/>
      <c r="I2" s="12"/>
    </row>
    <row r="3" spans="1:9" ht="18" outlineLevel="1">
      <c r="A3" s="31" t="s">
        <v>168</v>
      </c>
      <c r="B3" s="10">
        <v>20</v>
      </c>
      <c r="C3" s="10">
        <v>8.32</v>
      </c>
      <c r="D3" s="10"/>
      <c r="E3" s="10"/>
      <c r="F3" s="10">
        <v>9.1999999999999993</v>
      </c>
      <c r="G3" s="10"/>
      <c r="H3" s="10">
        <f>IF(B3&lt;&gt;"",B3-C3-D3-E3-F3-G3,"")</f>
        <v>2.4800000000000004</v>
      </c>
      <c r="I3" s="12" t="str">
        <f t="shared" ref="I3:I15" si="1">A3</f>
        <v>Bike petrol</v>
      </c>
    </row>
    <row r="4" spans="1:9" ht="18.75" customHeight="1" outlineLevel="1">
      <c r="A4" s="31" t="s">
        <v>167</v>
      </c>
      <c r="B4" s="10">
        <v>100</v>
      </c>
      <c r="C4" s="10"/>
      <c r="D4" s="10">
        <f>37.84</f>
        <v>37.840000000000003</v>
      </c>
      <c r="E4" s="10">
        <v>39.9</v>
      </c>
      <c r="F4" s="10"/>
      <c r="G4" s="10"/>
      <c r="H4" s="10">
        <f t="shared" ref="H4:H15" si="2">IF(B4&lt;&gt;"",B4-C4-D4-E4-F4,"")</f>
        <v>22.259999999999998</v>
      </c>
      <c r="I4" s="12" t="str">
        <f t="shared" si="1"/>
        <v xml:space="preserve">Car Petrol </v>
      </c>
    </row>
    <row r="5" spans="1:9" ht="19.5" customHeight="1" outlineLevel="1">
      <c r="A5" s="31" t="s">
        <v>446</v>
      </c>
      <c r="B5" s="10">
        <f>6.99</f>
        <v>6.99</v>
      </c>
      <c r="C5" s="10">
        <v>6.99</v>
      </c>
      <c r="D5" s="10"/>
      <c r="E5" s="10"/>
      <c r="F5" s="10"/>
      <c r="G5" s="10"/>
      <c r="H5" s="10">
        <f t="shared" si="2"/>
        <v>0</v>
      </c>
      <c r="I5" s="12" t="str">
        <f t="shared" si="1"/>
        <v>Netflix</v>
      </c>
    </row>
    <row r="6" spans="1:9" ht="18.75" customHeight="1" outlineLevel="1">
      <c r="A6" s="31" t="s">
        <v>169</v>
      </c>
      <c r="B6" s="10">
        <f>'Joint Outgoings'!C3</f>
        <v>750</v>
      </c>
      <c r="C6" s="10">
        <f>20.3+4</f>
        <v>24.3</v>
      </c>
      <c r="D6" s="10">
        <f>40+10.15</f>
        <v>50.15</v>
      </c>
      <c r="E6" s="10">
        <f>20.1+3+3.83+19.27</f>
        <v>46.2</v>
      </c>
      <c r="F6" s="10"/>
      <c r="G6" s="10"/>
      <c r="H6" s="10">
        <f>IF(B6&lt;&gt;"",B6-C6-D6-E6-F6,"")</f>
        <v>629.35</v>
      </c>
      <c r="I6" s="34" t="str">
        <f>A6</f>
        <v>Food</v>
      </c>
    </row>
    <row r="7" spans="1:9" ht="18" customHeight="1" outlineLevel="1">
      <c r="A7" s="31" t="s">
        <v>179</v>
      </c>
      <c r="B7" s="10" t="e">
        <f>'Joint Outgoings'!#REF!</f>
        <v>#REF!</v>
      </c>
      <c r="C7" s="10"/>
      <c r="D7" s="10"/>
      <c r="E7" s="10">
        <v>9.99</v>
      </c>
      <c r="F7" s="10"/>
      <c r="G7" s="10"/>
      <c r="H7" s="10" t="e">
        <f>IF(B7&lt;&gt;"",B7-C7-D7-E7-F7,"")</f>
        <v>#REF!</v>
      </c>
      <c r="I7" s="12" t="str">
        <f>A7</f>
        <v>Sky Movies</v>
      </c>
    </row>
    <row r="8" spans="1:9" ht="18" outlineLevel="1">
      <c r="A8" s="31" t="s">
        <v>180</v>
      </c>
      <c r="B8" s="10" t="e">
        <f>'Joint Outgoings'!#REF!</f>
        <v>#REF!</v>
      </c>
      <c r="C8" s="10"/>
      <c r="D8" s="10"/>
      <c r="E8" s="10">
        <v>4.99</v>
      </c>
      <c r="F8" s="10"/>
      <c r="G8" s="10"/>
      <c r="H8" s="10" t="e">
        <f>IF(B8&lt;&gt;"",B8-C8-D8-E8-F8,"")</f>
        <v>#REF!</v>
      </c>
      <c r="I8" s="12" t="str">
        <f>A8</f>
        <v>Spotify</v>
      </c>
    </row>
    <row r="9" spans="1:9" ht="18" outlineLevel="1">
      <c r="A9" s="31" t="s">
        <v>176</v>
      </c>
      <c r="B9" s="10">
        <f>'Joint Outgoings'!C29</f>
        <v>16.989999999999998</v>
      </c>
      <c r="C9" s="10"/>
      <c r="D9" s="10"/>
      <c r="E9" s="10"/>
      <c r="F9" s="10"/>
      <c r="G9" s="10"/>
      <c r="H9" s="10">
        <f t="shared" si="2"/>
        <v>16.989999999999998</v>
      </c>
      <c r="I9" s="12" t="str">
        <f t="shared" si="1"/>
        <v xml:space="preserve">Phone </v>
      </c>
    </row>
    <row r="10" spans="1:9" ht="18" outlineLevel="1">
      <c r="A10" s="31" t="s">
        <v>410</v>
      </c>
      <c r="B10" s="10" t="e">
        <f>'Joint Outgoings'!#REF!</f>
        <v>#REF!</v>
      </c>
      <c r="C10" s="10"/>
      <c r="D10" s="10"/>
      <c r="E10" s="10">
        <v>36.29</v>
      </c>
      <c r="F10" s="10"/>
      <c r="G10" s="10"/>
      <c r="H10" s="10" t="e">
        <f t="shared" si="2"/>
        <v>#REF!</v>
      </c>
      <c r="I10" s="12" t="str">
        <f t="shared" si="1"/>
        <v>Bupa</v>
      </c>
    </row>
    <row r="11" spans="1:9" ht="18" outlineLevel="1">
      <c r="A11" s="31" t="s">
        <v>419</v>
      </c>
      <c r="B11" s="19">
        <v>39.99</v>
      </c>
      <c r="C11" s="10"/>
      <c r="D11" s="10">
        <v>39.99</v>
      </c>
      <c r="E11" s="15"/>
      <c r="F11" s="35"/>
      <c r="G11" s="10"/>
      <c r="H11" s="10">
        <f>IF(B11&lt;&gt;"",B11-C11-D11-E11-F11,"")</f>
        <v>0</v>
      </c>
      <c r="I11" s="12" t="str">
        <f>A11</f>
        <v>Xbox live</v>
      </c>
    </row>
    <row r="12" spans="1:9" ht="18" outlineLevel="1">
      <c r="A12" s="31" t="s">
        <v>447</v>
      </c>
      <c r="B12" s="10"/>
      <c r="C12" s="10"/>
      <c r="D12" s="10"/>
      <c r="E12" s="10"/>
      <c r="F12" s="10"/>
      <c r="G12" s="10"/>
      <c r="H12" s="10" t="str">
        <f t="shared" si="2"/>
        <v/>
      </c>
      <c r="I12" s="12" t="str">
        <f t="shared" si="1"/>
        <v>Bike ins.</v>
      </c>
    </row>
    <row r="13" spans="1:9" ht="18" outlineLevel="1">
      <c r="A13" s="31" t="s">
        <v>411</v>
      </c>
      <c r="B13" s="10"/>
      <c r="C13" s="10"/>
      <c r="D13" s="10"/>
      <c r="E13" s="10"/>
      <c r="F13" s="10"/>
      <c r="G13" s="10"/>
      <c r="H13" s="10" t="str">
        <f>IF(B13&lt;&gt;"",B13-C13-D13-E13-F13,"")</f>
        <v/>
      </c>
      <c r="I13" s="12" t="str">
        <f t="shared" si="1"/>
        <v>Car ins.</v>
      </c>
    </row>
    <row r="14" spans="1:9" ht="18" outlineLevel="1">
      <c r="A14" s="31" t="s">
        <v>178</v>
      </c>
      <c r="B14" s="10">
        <v>12.68</v>
      </c>
      <c r="C14" s="10"/>
      <c r="D14" s="10"/>
      <c r="E14" s="10">
        <v>12.77</v>
      </c>
      <c r="F14" s="10"/>
      <c r="G14" s="10"/>
      <c r="H14" s="10">
        <f>IF(B14&lt;&gt;"",B14-C14-D14-E14-F14,"")</f>
        <v>-8.9999999999999858E-2</v>
      </c>
      <c r="I14" s="12" t="str">
        <f t="shared" si="1"/>
        <v>Car v.tax</v>
      </c>
    </row>
    <row r="15" spans="1:9" ht="18" outlineLevel="1">
      <c r="A15" s="31" t="s">
        <v>448</v>
      </c>
      <c r="B15" s="10"/>
      <c r="C15" s="10"/>
      <c r="D15" s="10"/>
      <c r="E15" s="10"/>
      <c r="F15" s="10"/>
      <c r="G15" s="10"/>
      <c r="H15" s="10" t="str">
        <f t="shared" si="2"/>
        <v/>
      </c>
      <c r="I15" s="12" t="str">
        <f t="shared" si="1"/>
        <v>Bike v.tax</v>
      </c>
    </row>
    <row r="16" spans="1:9" ht="18" outlineLevel="1">
      <c r="A16" s="31" t="s">
        <v>172</v>
      </c>
      <c r="B16" s="10" t="e">
        <f>IF(B20 &lt;&gt; 0,B20-SUM(B3:B15)-SUM(C17:G17)+SUM(C18:G18)-SUM(C19:G19),"")</f>
        <v>#REF!</v>
      </c>
      <c r="C16" s="10">
        <f>20+24+695+18+18+2.5</f>
        <v>777.5</v>
      </c>
      <c r="D16" s="10">
        <f>28+24+111.17+2.5+30</f>
        <v>195.67000000000002</v>
      </c>
      <c r="E16" s="10">
        <f>5.23+18+10.98+7.35+20+873.87</f>
        <v>935.43000000000006</v>
      </c>
      <c r="F16" s="10"/>
      <c r="G16" s="10"/>
      <c r="H16" s="10" t="e">
        <f>IF(B16&lt;&gt;"",B16-C16-D16-E16-F16-G16,"")</f>
        <v>#REF!</v>
      </c>
      <c r="I16" s="12" t="s">
        <v>172</v>
      </c>
    </row>
    <row r="17" spans="1:9" ht="18" outlineLevel="1">
      <c r="A17" s="31" t="s">
        <v>184</v>
      </c>
      <c r="B17" s="10">
        <f>IF(SUM(C17:G17)&lt;&gt;0,SUM(C17:G17),0)</f>
        <v>0</v>
      </c>
      <c r="C17" s="10"/>
      <c r="D17" s="10"/>
      <c r="E17" s="10"/>
      <c r="F17" s="10"/>
      <c r="G17" s="10"/>
      <c r="H17" s="10"/>
      <c r="I17" s="12" t="s">
        <v>183</v>
      </c>
    </row>
    <row r="18" spans="1:9" ht="18" outlineLevel="1">
      <c r="A18" s="31" t="s">
        <v>185</v>
      </c>
      <c r="B18" s="10">
        <f>IF(SUM(C18:G18)&lt;&gt;0,SUM(C18:G18),0)</f>
        <v>1935.8600000000001</v>
      </c>
      <c r="C18" s="10">
        <v>695</v>
      </c>
      <c r="D18" s="10">
        <v>111.37</v>
      </c>
      <c r="E18" s="10">
        <f>100+50+879.49+100</f>
        <v>1129.49</v>
      </c>
      <c r="F18" s="10"/>
      <c r="G18" s="10"/>
      <c r="H18" s="10"/>
      <c r="I18" s="12"/>
    </row>
    <row r="19" spans="1:9" ht="18" outlineLevel="1">
      <c r="A19" s="31" t="s">
        <v>412</v>
      </c>
      <c r="B19" s="10">
        <f>IF(SUM(C19:G19)&lt;&gt;0,SUM(C19:G19),0)</f>
        <v>0</v>
      </c>
      <c r="C19" s="10"/>
      <c r="D19" s="10"/>
      <c r="E19" s="10"/>
      <c r="F19" s="10"/>
      <c r="G19" s="10"/>
      <c r="H19" s="10"/>
      <c r="I19" s="12"/>
    </row>
    <row r="20" spans="1:9" ht="18">
      <c r="A20" s="32" t="s">
        <v>186</v>
      </c>
      <c r="B20" s="296">
        <f>SUM(C20:G20)</f>
        <v>425.52</v>
      </c>
      <c r="C20" s="26">
        <v>372.14</v>
      </c>
      <c r="D20" s="26"/>
      <c r="E20" s="27">
        <f>7.08+46.3</f>
        <v>53.379999999999995</v>
      </c>
      <c r="F20" s="36"/>
      <c r="G20" s="296"/>
      <c r="H20" s="33" t="e">
        <f>SUM(H3:H16)</f>
        <v>#REF!</v>
      </c>
      <c r="I20" s="10"/>
    </row>
    <row r="21" spans="1:9" ht="18">
      <c r="A21" s="24"/>
      <c r="B21" s="10"/>
      <c r="C21" s="19"/>
      <c r="D21" s="19"/>
      <c r="E21" s="23"/>
      <c r="F21" s="25"/>
      <c r="G21" s="11"/>
      <c r="H21" s="11"/>
      <c r="I21" s="11"/>
    </row>
    <row r="22" spans="1:9" ht="18">
      <c r="A22" s="17"/>
      <c r="B22" s="17"/>
      <c r="C22" s="16"/>
      <c r="D22" s="16"/>
      <c r="E22" s="16"/>
      <c r="F22" s="16"/>
      <c r="G22" s="37"/>
    </row>
    <row r="23" spans="1:9" ht="18">
      <c r="A23" s="17"/>
      <c r="B23" s="17"/>
      <c r="C23" s="16"/>
      <c r="D23" s="16"/>
      <c r="E23" s="16"/>
      <c r="F23" s="18"/>
      <c r="G23" s="37"/>
    </row>
    <row r="24" spans="1:9" ht="18">
      <c r="A24" s="17"/>
      <c r="B24" s="17"/>
      <c r="C24" s="16"/>
      <c r="D24" s="16"/>
      <c r="E24" s="21"/>
      <c r="F24" s="18"/>
      <c r="G24" s="37"/>
      <c r="H24" s="11"/>
      <c r="I24" s="11"/>
    </row>
    <row r="25" spans="1:9" ht="18">
      <c r="A25" s="10"/>
      <c r="B25" s="10"/>
      <c r="C25" s="14"/>
      <c r="D25" s="15"/>
      <c r="E25" s="21"/>
      <c r="F25" s="22"/>
    </row>
    <row r="26" spans="1:9" ht="18">
      <c r="A26" s="20"/>
      <c r="B26" s="10"/>
    </row>
    <row r="28" spans="1:9" ht="18">
      <c r="B28" s="10"/>
    </row>
  </sheetData>
  <dataConsolidate/>
  <conditionalFormatting sqref="H3:H20">
    <cfRule type="iconSet" priority="6">
      <iconSet>
        <cfvo type="percent" val="0"/>
        <cfvo type="num" val="0"/>
        <cfvo type="num" val="1"/>
      </iconSet>
    </cfRule>
  </conditionalFormatting>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H26"/>
  <sheetViews>
    <sheetView workbookViewId="0"/>
  </sheetViews>
  <sheetFormatPr defaultColWidth="11.33203125" defaultRowHeight="14.4" outlineLevelRow="1"/>
  <cols>
    <col min="1" max="1" width="15.44140625" customWidth="1"/>
    <col min="2" max="2" width="28.109375" customWidth="1"/>
    <col min="3" max="6" width="25" customWidth="1"/>
    <col min="7" max="7" width="19.44140625" customWidth="1"/>
    <col min="8" max="8" width="15.44140625" customWidth="1"/>
  </cols>
  <sheetData>
    <row r="1" spans="1:8" ht="18">
      <c r="A1" s="12"/>
      <c r="B1" s="12" t="s">
        <v>164</v>
      </c>
      <c r="C1" s="44" t="str">
        <f>"29/06/16" &amp; " - " &amp; "05/7/16"</f>
        <v>29/06/16 - 05/7/16</v>
      </c>
      <c r="D1" s="44" t="str">
        <f>TEXT(DATEVALUE(RIGHT(C1,8))+1,"dd/mm/yy")&amp; " - "&amp; TEXT(DATEVALUE(RIGHT(C1,8))+7,"dd/mm/yy")</f>
        <v>06/07/16 - 12/07/16</v>
      </c>
      <c r="E1" s="44" t="str">
        <f>TEXT(DATEVALUE(RIGHT(D1,8))+1,"dd/mm/yy")&amp; " - "&amp; TEXT(DATEVALUE(RIGHT(D1,8))+7,"dd/mm/yy")</f>
        <v>13/07/16 - 19/07/16</v>
      </c>
      <c r="F1" s="44" t="str">
        <f>TEXT(DATEVALUE(RIGHT(E1,8))+1,"dd/mm/yy")&amp; " - "&amp; TEXT(DATEVALUE(RIGHT(E1,8))+7,"dd/mm/yy")</f>
        <v>20/07/16 - 26/07/16</v>
      </c>
      <c r="G1" s="12" t="s">
        <v>10</v>
      </c>
      <c r="H1" s="12"/>
    </row>
    <row r="2" spans="1:8" ht="18">
      <c r="A2" s="12" t="s">
        <v>165</v>
      </c>
      <c r="B2" s="10"/>
      <c r="C2" s="296">
        <f>SUM(C3:C14)</f>
        <v>95.81</v>
      </c>
      <c r="D2" s="296">
        <f>SUM(D3:D14)</f>
        <v>179.69</v>
      </c>
      <c r="E2" s="296">
        <f>SUM(E3:E14)</f>
        <v>277.26</v>
      </c>
      <c r="F2" s="296">
        <f>SUM(F3:F14)</f>
        <v>84.990000000000009</v>
      </c>
      <c r="G2" s="10"/>
      <c r="H2" s="12"/>
    </row>
    <row r="3" spans="1:8" ht="18" outlineLevel="1">
      <c r="A3" s="31" t="s">
        <v>168</v>
      </c>
      <c r="B3" s="10" t="e">
        <f>'Joint Outgoings'!#REF!</f>
        <v>#REF!</v>
      </c>
      <c r="C3" s="10"/>
      <c r="D3" s="10"/>
      <c r="E3" s="10"/>
      <c r="F3" s="10"/>
      <c r="G3" s="10" t="e">
        <f>IF(B3&lt;&gt;"",B3-C3-D3-E3-F3,"")</f>
        <v>#REF!</v>
      </c>
      <c r="H3" s="12" t="str">
        <f t="shared" ref="H3:H13" si="0">A3</f>
        <v>Bike petrol</v>
      </c>
    </row>
    <row r="4" spans="1:8" ht="18" outlineLevel="1">
      <c r="A4" s="31" t="s">
        <v>169</v>
      </c>
      <c r="B4" s="10">
        <f>'Joint Outgoings'!C3</f>
        <v>750</v>
      </c>
      <c r="C4" s="10">
        <f>9.14</f>
        <v>9.14</v>
      </c>
      <c r="D4" s="10">
        <f>10</f>
        <v>10</v>
      </c>
      <c r="E4" s="10">
        <v>40</v>
      </c>
      <c r="F4" s="10">
        <v>40</v>
      </c>
      <c r="G4" s="10">
        <f t="shared" ref="G4:G14" si="1">IF(B4&lt;&gt;"",B4-C4-D4-E4-F4,"")</f>
        <v>650.86</v>
      </c>
      <c r="H4" s="34" t="str">
        <f t="shared" si="0"/>
        <v>Food</v>
      </c>
    </row>
    <row r="5" spans="1:8" ht="18" outlineLevel="1">
      <c r="A5" s="31" t="s">
        <v>167</v>
      </c>
      <c r="B5" s="10">
        <v>80</v>
      </c>
      <c r="C5" s="10"/>
      <c r="D5" s="10"/>
      <c r="E5" s="10">
        <v>27</v>
      </c>
      <c r="F5" s="10"/>
      <c r="G5" s="10">
        <f t="shared" si="1"/>
        <v>53</v>
      </c>
      <c r="H5" s="12" t="str">
        <f t="shared" si="0"/>
        <v xml:space="preserve">Car Petrol </v>
      </c>
    </row>
    <row r="6" spans="1:8" ht="18" outlineLevel="1">
      <c r="A6" s="31" t="s">
        <v>179</v>
      </c>
      <c r="B6" s="10" t="e">
        <f>'Joint Outgoings'!#REF!</f>
        <v>#REF!</v>
      </c>
      <c r="C6" s="10"/>
      <c r="D6" s="10"/>
      <c r="E6" s="10">
        <v>9.99</v>
      </c>
      <c r="F6" s="10"/>
      <c r="G6" s="10" t="e">
        <f t="shared" si="1"/>
        <v>#REF!</v>
      </c>
      <c r="H6" s="12" t="str">
        <f t="shared" si="0"/>
        <v>Sky Movies</v>
      </c>
    </row>
    <row r="7" spans="1:8" ht="18" outlineLevel="1">
      <c r="A7" s="31" t="s">
        <v>180</v>
      </c>
      <c r="B7" s="10" t="e">
        <f>'Joint Outgoings'!#REF!</f>
        <v>#REF!</v>
      </c>
      <c r="C7" s="10"/>
      <c r="D7" s="10">
        <v>4.99</v>
      </c>
      <c r="E7" s="10"/>
      <c r="F7" s="10"/>
      <c r="G7" s="10" t="e">
        <f t="shared" si="1"/>
        <v>#REF!</v>
      </c>
      <c r="H7" s="12" t="str">
        <f t="shared" si="0"/>
        <v>Spotify</v>
      </c>
    </row>
    <row r="8" spans="1:8" ht="18" outlineLevel="1">
      <c r="A8" s="31" t="s">
        <v>176</v>
      </c>
      <c r="B8" s="10">
        <f>'Joint Outgoings'!C29</f>
        <v>16.989999999999998</v>
      </c>
      <c r="C8" s="10"/>
      <c r="D8" s="10"/>
      <c r="E8" s="10"/>
      <c r="F8" s="10">
        <v>44.99</v>
      </c>
      <c r="G8" s="10">
        <f t="shared" si="1"/>
        <v>-28.000000000000004</v>
      </c>
      <c r="H8" s="12" t="str">
        <f t="shared" si="0"/>
        <v xml:space="preserve">Phone </v>
      </c>
    </row>
    <row r="9" spans="1:8" ht="18" outlineLevel="1">
      <c r="A9" s="31" t="s">
        <v>410</v>
      </c>
      <c r="B9" s="10" t="e">
        <f>'Joint Outgoings'!#REF!</f>
        <v>#REF!</v>
      </c>
      <c r="C9" s="10"/>
      <c r="D9" s="10"/>
      <c r="E9" s="10">
        <v>36.29</v>
      </c>
      <c r="F9" s="10"/>
      <c r="G9" s="10" t="e">
        <f t="shared" si="1"/>
        <v>#REF!</v>
      </c>
      <c r="H9" s="12" t="str">
        <f t="shared" si="0"/>
        <v>Bupa</v>
      </c>
    </row>
    <row r="10" spans="1:8" ht="18" outlineLevel="1">
      <c r="A10" s="31" t="s">
        <v>177</v>
      </c>
      <c r="B10" s="10">
        <v>17.989999999999998</v>
      </c>
      <c r="C10" s="10">
        <v>17.989999999999998</v>
      </c>
      <c r="D10" s="10"/>
      <c r="E10" s="10"/>
      <c r="F10" s="10"/>
      <c r="G10" s="10">
        <f t="shared" si="1"/>
        <v>0</v>
      </c>
      <c r="H10" s="12" t="str">
        <f t="shared" si="0"/>
        <v>Gym</v>
      </c>
    </row>
    <row r="11" spans="1:8" ht="18" outlineLevel="1">
      <c r="A11" s="31" t="s">
        <v>409</v>
      </c>
      <c r="B11" s="10" t="e">
        <f>'Joint Outgoings'!#REF!</f>
        <v>#REF!</v>
      </c>
      <c r="C11" s="10"/>
      <c r="D11" s="10"/>
      <c r="E11" s="10"/>
      <c r="F11" s="10"/>
      <c r="G11" s="10" t="e">
        <f t="shared" si="1"/>
        <v>#REF!</v>
      </c>
      <c r="H11" s="12" t="str">
        <f t="shared" si="0"/>
        <v>House Deposit</v>
      </c>
    </row>
    <row r="12" spans="1:8" ht="18" outlineLevel="1">
      <c r="A12" s="31" t="s">
        <v>411</v>
      </c>
      <c r="B12" s="10">
        <v>158</v>
      </c>
      <c r="C12" s="10"/>
      <c r="D12" s="10">
        <v>153.69999999999999</v>
      </c>
      <c r="E12" s="10"/>
      <c r="F12" s="10"/>
      <c r="G12" s="10">
        <f t="shared" si="1"/>
        <v>4.3000000000000114</v>
      </c>
      <c r="H12" s="12" t="str">
        <f t="shared" si="0"/>
        <v>Car ins.</v>
      </c>
    </row>
    <row r="13" spans="1:8" ht="18" outlineLevel="1">
      <c r="A13" s="31" t="s">
        <v>178</v>
      </c>
      <c r="B13" s="10">
        <f>'Joint Outgoings'!C25</f>
        <v>200</v>
      </c>
      <c r="C13" s="10">
        <v>12.68</v>
      </c>
      <c r="D13" s="10"/>
      <c r="E13" s="10"/>
      <c r="F13" s="10"/>
      <c r="G13" s="10">
        <f t="shared" si="1"/>
        <v>187.32</v>
      </c>
      <c r="H13" s="12" t="str">
        <f t="shared" si="0"/>
        <v>Car v.tax</v>
      </c>
    </row>
    <row r="14" spans="1:8" ht="18" outlineLevel="1">
      <c r="A14" s="31" t="s">
        <v>172</v>
      </c>
      <c r="B14" s="10" t="e">
        <f>IF(B18 &lt;&gt; 0,B18-SUM(B3:B13)-SUM(C15:F15),"")</f>
        <v>#REF!</v>
      </c>
      <c r="C14" s="10">
        <v>56</v>
      </c>
      <c r="D14" s="10">
        <f>11</f>
        <v>11</v>
      </c>
      <c r="E14" s="10">
        <f>31.5+20+17.5+16+40.98+38</f>
        <v>163.98</v>
      </c>
      <c r="F14" s="10"/>
      <c r="G14" s="10" t="e">
        <f t="shared" si="1"/>
        <v>#REF!</v>
      </c>
      <c r="H14" s="12" t="s">
        <v>172</v>
      </c>
    </row>
    <row r="15" spans="1:8" ht="18" outlineLevel="1">
      <c r="A15" s="31" t="s">
        <v>184</v>
      </c>
      <c r="B15" s="10">
        <f>IF(SUM(C15:F15)&lt;&gt;0,SUM(C15:F15),0)</f>
        <v>0</v>
      </c>
      <c r="C15" s="10"/>
      <c r="D15" s="10"/>
      <c r="E15" s="10"/>
      <c r="F15" s="10"/>
      <c r="G15" s="10"/>
      <c r="H15" s="12" t="s">
        <v>183</v>
      </c>
    </row>
    <row r="16" spans="1:8" ht="18" outlineLevel="1">
      <c r="A16" s="31" t="s">
        <v>185</v>
      </c>
      <c r="B16" s="10">
        <f>IF(SUM(C16:F16)&lt;&gt;0,SUM(C16:F16),"")</f>
        <v>56</v>
      </c>
      <c r="C16" s="10">
        <v>56</v>
      </c>
      <c r="D16" s="10"/>
      <c r="E16" s="10"/>
      <c r="F16" s="10"/>
      <c r="G16" s="10"/>
      <c r="H16" s="12"/>
    </row>
    <row r="17" spans="1:8" ht="18" outlineLevel="1">
      <c r="A17" s="31" t="s">
        <v>412</v>
      </c>
      <c r="B17" s="10"/>
      <c r="C17" s="10"/>
      <c r="D17" s="10"/>
      <c r="E17" s="10"/>
      <c r="F17" s="10"/>
      <c r="G17" s="10"/>
      <c r="H17" s="12"/>
    </row>
    <row r="18" spans="1:8" ht="18">
      <c r="A18" s="32" t="s">
        <v>186</v>
      </c>
      <c r="B18" s="296">
        <f>SUM(C18:F18)</f>
        <v>719.86</v>
      </c>
      <c r="C18" s="26">
        <f>389.86+305</f>
        <v>694.86</v>
      </c>
      <c r="D18" s="26"/>
      <c r="E18" s="27">
        <v>25</v>
      </c>
      <c r="F18" s="36"/>
      <c r="G18" s="46" t="e">
        <f>SUM(G3:G14) &amp; " / " &amp; SUM(B3:B13)</f>
        <v>#REF!</v>
      </c>
      <c r="H18" s="10"/>
    </row>
    <row r="19" spans="1:8" ht="18">
      <c r="A19" s="24"/>
      <c r="B19" s="10"/>
      <c r="C19" s="44"/>
      <c r="D19" s="26" t="str">
        <f>TEXT(DATEVALUE(RIGHT('MAY-JUN 2016'!G1,10))+1,"dd/mm/yy") &amp; " - " &amp; TEXT(DATEVALUE(RIGHT('MAY-JUN 2016'!G1,10))+8,"dd/mm/yy")</f>
        <v>29/05/16 - 05/06/16</v>
      </c>
      <c r="E19" s="23"/>
      <c r="F19" s="25"/>
      <c r="G19" s="11"/>
      <c r="H19" s="11"/>
    </row>
    <row r="20" spans="1:8" ht="18">
      <c r="A20" s="17"/>
      <c r="B20" s="17"/>
      <c r="C20" s="47"/>
      <c r="D20" s="16"/>
      <c r="E20" s="16"/>
      <c r="F20" s="16"/>
    </row>
    <row r="21" spans="1:8" ht="18">
      <c r="A21" s="17"/>
      <c r="B21" s="17"/>
      <c r="C21" s="39"/>
      <c r="D21" s="39"/>
      <c r="E21" s="16"/>
      <c r="F21" s="18"/>
    </row>
    <row r="22" spans="1:8" ht="18">
      <c r="A22" s="17"/>
      <c r="B22" s="17"/>
      <c r="C22" s="39"/>
      <c r="D22" s="39"/>
      <c r="E22" s="43"/>
      <c r="F22" s="20"/>
      <c r="G22" s="11"/>
      <c r="H22" s="11"/>
    </row>
    <row r="23" spans="1:8" ht="18">
      <c r="A23" s="10"/>
      <c r="B23" s="10"/>
      <c r="C23" s="40"/>
      <c r="D23" s="41"/>
      <c r="E23" s="41"/>
      <c r="F23" s="41"/>
    </row>
    <row r="24" spans="1:8" ht="18">
      <c r="A24" s="20"/>
      <c r="B24" s="10"/>
      <c r="D24" s="42"/>
    </row>
    <row r="26" spans="1:8" ht="18">
      <c r="B26" s="10"/>
    </row>
  </sheetData>
  <dataConsolidate/>
  <conditionalFormatting sqref="G3:G18">
    <cfRule type="iconSet" priority="8">
      <iconSet>
        <cfvo type="percent" val="0"/>
        <cfvo type="num" val="0"/>
        <cfvo type="num" val="1"/>
      </iconSet>
    </cfRule>
  </conditionalFormatting>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I26"/>
  <sheetViews>
    <sheetView workbookViewId="0"/>
  </sheetViews>
  <sheetFormatPr defaultColWidth="11.33203125" defaultRowHeight="14.4" outlineLevelRow="1"/>
  <cols>
    <col min="1" max="1" width="15.44140625" customWidth="1"/>
    <col min="2" max="2" width="28.109375" customWidth="1"/>
    <col min="3" max="7" width="25" customWidth="1"/>
    <col min="8" max="8" width="19.44140625" customWidth="1"/>
    <col min="9" max="9" width="15.44140625" customWidth="1"/>
  </cols>
  <sheetData>
    <row r="1" spans="1:9" ht="18">
      <c r="A1" s="12"/>
      <c r="B1" s="12" t="s">
        <v>164</v>
      </c>
      <c r="C1" s="44" t="str">
        <f>"27/07/16" &amp; " - " &amp; "02/08/16"</f>
        <v>27/07/16 - 02/08/16</v>
      </c>
      <c r="D1" s="44" t="str">
        <f>TEXT(DATEVALUE(RIGHT(C1,8))+1,"dd/mm/yy")&amp; " - "&amp; TEXT(DATEVALUE(RIGHT(C1,8))+7,"dd/mm/yy")</f>
        <v>03/08/16 - 09/08/16</v>
      </c>
      <c r="E1" s="44" t="str">
        <f>TEXT(DATEVALUE(RIGHT(D1,8))+1,"dd/mm/yy")&amp; " - "&amp; TEXT(DATEVALUE(RIGHT(D1,8))+7,"dd/mm/yy")</f>
        <v>10/08/16 - 16/08/16</v>
      </c>
      <c r="F1" s="44" t="str">
        <f>TEXT(DATEVALUE(RIGHT(E1,8))+1,"dd/mm/yy")&amp; " - "&amp; TEXT(DATEVALUE(RIGHT(E1,8))+7,"dd/mm/yy")</f>
        <v>17/08/16 - 23/08/16</v>
      </c>
      <c r="G1" s="44" t="str">
        <f>TEXT(DATEVALUE(RIGHT(F1,8))+1,"dd/mm/yy")&amp; " - "&amp; TEXT(DATEVALUE(RIGHT(F1,8))+7,"dd/mm/yy")</f>
        <v>24/08/16 - 30/08/16</v>
      </c>
      <c r="H1" s="12" t="s">
        <v>10</v>
      </c>
      <c r="I1" s="12"/>
    </row>
    <row r="2" spans="1:9" ht="18">
      <c r="A2" s="12" t="s">
        <v>165</v>
      </c>
      <c r="B2" s="10"/>
      <c r="C2" s="296">
        <f>SUM(C3:C14)</f>
        <v>336.88</v>
      </c>
      <c r="D2" s="296">
        <f>SUM(D3:D14)</f>
        <v>381.11</v>
      </c>
      <c r="E2" s="296">
        <f>SUM(E3:E14)</f>
        <v>277.78999999999996</v>
      </c>
      <c r="F2" s="296">
        <f>SUM(F3:F14)</f>
        <v>46.35</v>
      </c>
      <c r="G2" s="296">
        <f>SUM(G3:G14)</f>
        <v>0</v>
      </c>
      <c r="H2" s="10"/>
      <c r="I2" s="12"/>
    </row>
    <row r="3" spans="1:9" ht="18" outlineLevel="1">
      <c r="A3" s="31" t="s">
        <v>169</v>
      </c>
      <c r="B3" s="17">
        <f>IF(G1="Remaining",'Joint Outgoings'!B3*4,IF(H1= "Remaining",'Joint Outgoings'!B3* 5,""))</f>
        <v>0</v>
      </c>
      <c r="C3" s="10">
        <f>3.35+12.87+1.32+25</f>
        <v>42.54</v>
      </c>
      <c r="D3" s="10">
        <f>40+4.11+25.68</f>
        <v>69.789999999999992</v>
      </c>
      <c r="E3" s="10">
        <f>40+3.88+3.62</f>
        <v>47.5</v>
      </c>
      <c r="F3" s="10">
        <f>43.85+2.5</f>
        <v>46.35</v>
      </c>
      <c r="G3" s="10"/>
      <c r="H3" s="10">
        <f>IF(B3&lt;&gt;"",B3-C3-D3-E3-F3-G3,"")</f>
        <v>-206.17999999999998</v>
      </c>
      <c r="I3" s="34" t="str">
        <f>A3</f>
        <v>Food</v>
      </c>
    </row>
    <row r="4" spans="1:9" ht="18" outlineLevel="1">
      <c r="A4" s="31" t="s">
        <v>167</v>
      </c>
      <c r="B4" s="17">
        <f>IF(G1="Remaining",'Joint Outgoings'!B24*4,IF(H1= "Remaining",'Joint Outgoings'!B24* 5,""))</f>
        <v>0</v>
      </c>
      <c r="C4" s="10">
        <v>26.42</v>
      </c>
      <c r="D4" s="10">
        <v>29.82</v>
      </c>
      <c r="E4" s="10">
        <f>20.36</f>
        <v>20.36</v>
      </c>
      <c r="F4" s="10"/>
      <c r="G4" s="10"/>
      <c r="H4" s="10">
        <f>IF(B4&lt;&gt;"",B4-C4-D4-E4-F4-G4,"")</f>
        <v>-76.599999999999994</v>
      </c>
      <c r="I4" s="12" t="str">
        <f>A4</f>
        <v xml:space="preserve">Car Petrol </v>
      </c>
    </row>
    <row r="5" spans="1:9" ht="18" outlineLevel="1">
      <c r="A5" s="31" t="s">
        <v>168</v>
      </c>
      <c r="B5" s="17" t="e">
        <f>IF(G1="Remaining",'Joint Outgoings'!#REF!*4,IF(H1= "Remaining",'Joint Outgoings'!#REF!* 5,""))</f>
        <v>#REF!</v>
      </c>
      <c r="C5" s="10"/>
      <c r="D5" s="10">
        <v>6.68</v>
      </c>
      <c r="E5" s="10"/>
      <c r="F5" s="10"/>
      <c r="G5" s="10"/>
      <c r="H5" s="10" t="e">
        <f t="shared" ref="H5:H10" si="0">IF(B5&lt;&gt;"",B5-C5-D5-E5-F5-G5,"")</f>
        <v>#REF!</v>
      </c>
      <c r="I5" s="12" t="str">
        <f t="shared" ref="I5:I13" si="1">A5</f>
        <v>Bike petrol</v>
      </c>
    </row>
    <row r="6" spans="1:9" ht="18" outlineLevel="1">
      <c r="A6" s="31" t="s">
        <v>179</v>
      </c>
      <c r="B6" s="10" t="e">
        <f>'Joint Outgoings'!#REF!</f>
        <v>#REF!</v>
      </c>
      <c r="C6" s="10"/>
      <c r="D6" s="10"/>
      <c r="E6" s="10">
        <f>9.99</f>
        <v>9.99</v>
      </c>
      <c r="F6" s="10"/>
      <c r="G6" s="10"/>
      <c r="H6" s="10" t="e">
        <f t="shared" si="0"/>
        <v>#REF!</v>
      </c>
      <c r="I6" s="12" t="str">
        <f t="shared" si="1"/>
        <v>Sky Movies</v>
      </c>
    </row>
    <row r="7" spans="1:9" ht="18" outlineLevel="1">
      <c r="A7" s="31" t="s">
        <v>180</v>
      </c>
      <c r="B7" s="10" t="e">
        <f>'Joint Outgoings'!#REF!</f>
        <v>#REF!</v>
      </c>
      <c r="C7" s="10"/>
      <c r="D7" s="10">
        <v>4.99</v>
      </c>
      <c r="E7" s="10"/>
      <c r="F7" s="10"/>
      <c r="G7" s="10"/>
      <c r="H7" s="10" t="e">
        <f t="shared" si="0"/>
        <v>#REF!</v>
      </c>
      <c r="I7" s="12" t="str">
        <f t="shared" si="1"/>
        <v>Spotify</v>
      </c>
    </row>
    <row r="8" spans="1:9" ht="18" outlineLevel="1">
      <c r="A8" s="31" t="s">
        <v>176</v>
      </c>
      <c r="B8" s="10">
        <f>'Joint Outgoings'!C29</f>
        <v>16.989999999999998</v>
      </c>
      <c r="C8" s="10"/>
      <c r="D8" s="10"/>
      <c r="E8" s="10"/>
      <c r="F8" s="10"/>
      <c r="G8" s="10"/>
      <c r="H8" s="10">
        <f t="shared" si="0"/>
        <v>16.989999999999998</v>
      </c>
      <c r="I8" s="12" t="str">
        <f t="shared" si="1"/>
        <v xml:space="preserve">Phone </v>
      </c>
    </row>
    <row r="9" spans="1:9" ht="18" outlineLevel="1">
      <c r="A9" s="31" t="s">
        <v>410</v>
      </c>
      <c r="B9" s="10" t="e">
        <f>'Joint Outgoings'!#REF!</f>
        <v>#REF!</v>
      </c>
      <c r="C9" s="10"/>
      <c r="D9" s="10"/>
      <c r="E9" s="10">
        <v>36.29</v>
      </c>
      <c r="F9" s="10"/>
      <c r="G9" s="10"/>
      <c r="H9" s="10" t="e">
        <f t="shared" si="0"/>
        <v>#REF!</v>
      </c>
      <c r="I9" s="12" t="str">
        <f t="shared" si="1"/>
        <v>Bupa</v>
      </c>
    </row>
    <row r="10" spans="1:9" ht="18" outlineLevel="1">
      <c r="A10" s="31" t="s">
        <v>177</v>
      </c>
      <c r="B10" s="10">
        <v>17.989999999999998</v>
      </c>
      <c r="C10" s="10">
        <v>17.989999999999998</v>
      </c>
      <c r="D10" s="10"/>
      <c r="E10" s="10"/>
      <c r="F10" s="10"/>
      <c r="G10" s="10"/>
      <c r="H10" s="10">
        <f t="shared" si="0"/>
        <v>0</v>
      </c>
      <c r="I10" s="12" t="str">
        <f t="shared" si="1"/>
        <v>Gym</v>
      </c>
    </row>
    <row r="11" spans="1:9" ht="18" outlineLevel="1">
      <c r="A11" s="31" t="s">
        <v>409</v>
      </c>
      <c r="B11" s="10" t="e">
        <f>'Joint Outgoings'!#REF!</f>
        <v>#REF!</v>
      </c>
      <c r="C11" s="10"/>
      <c r="D11" s="10"/>
      <c r="E11" s="10"/>
      <c r="F11" s="10"/>
      <c r="G11" s="10"/>
      <c r="H11" s="10" t="e">
        <f>IF(B11&lt;&gt;"",B11-C11-D11-E11-F11-G11,"")</f>
        <v>#REF!</v>
      </c>
      <c r="I11" s="12" t="str">
        <f t="shared" si="1"/>
        <v>House Deposit</v>
      </c>
    </row>
    <row r="12" spans="1:9" ht="18" outlineLevel="1">
      <c r="A12" s="31" t="s">
        <v>411</v>
      </c>
      <c r="B12" s="10">
        <v>158</v>
      </c>
      <c r="C12" s="10"/>
      <c r="D12" s="10">
        <v>153.66999999999999</v>
      </c>
      <c r="E12" s="10"/>
      <c r="F12" s="10"/>
      <c r="G12" s="10"/>
      <c r="H12" s="10">
        <f>IF(B12&lt;&gt;"",B12-C12-D12-E12-F12-G12,"")</f>
        <v>4.3300000000000125</v>
      </c>
      <c r="I12" s="12" t="str">
        <f t="shared" si="1"/>
        <v>Car ins.</v>
      </c>
    </row>
    <row r="13" spans="1:9" ht="18" outlineLevel="1">
      <c r="A13" s="31" t="s">
        <v>178</v>
      </c>
      <c r="B13" s="10">
        <f>'Joint Outgoings'!C25</f>
        <v>200</v>
      </c>
      <c r="C13" s="10">
        <v>12.68</v>
      </c>
      <c r="D13" s="10"/>
      <c r="E13" s="10"/>
      <c r="F13" s="10"/>
      <c r="G13" s="10"/>
      <c r="H13" s="10">
        <f>IF(B13&lt;&gt;"",B13-C13-D13-E13-F13-G13,"")</f>
        <v>187.32</v>
      </c>
      <c r="I13" s="12" t="str">
        <f t="shared" si="1"/>
        <v>Car v.tax</v>
      </c>
    </row>
    <row r="14" spans="1:9" ht="18" outlineLevel="1">
      <c r="A14" s="31" t="s">
        <v>172</v>
      </c>
      <c r="B14" s="10" t="e">
        <f>IF(B18 &lt;&gt; 0,B18-SUM(B3:B13)-SUM(C15:F15),"")</f>
        <v>#REF!</v>
      </c>
      <c r="C14" s="10">
        <f>40+159+22+3.25+13</f>
        <v>237.25</v>
      </c>
      <c r="D14" s="10">
        <f>55+20+21.16+20</f>
        <v>116.16</v>
      </c>
      <c r="E14" s="10">
        <f>59.95+103.7</f>
        <v>163.65</v>
      </c>
      <c r="F14" s="10"/>
      <c r="G14" s="10"/>
      <c r="H14" s="10" t="e">
        <f>IF(B14&lt;&gt;"",B14-C14-D14-E14-F14-G14,"")</f>
        <v>#REF!</v>
      </c>
      <c r="I14" s="12" t="s">
        <v>172</v>
      </c>
    </row>
    <row r="15" spans="1:9" ht="18" outlineLevel="1">
      <c r="A15" s="31" t="s">
        <v>184</v>
      </c>
      <c r="B15" s="10">
        <f>IF(SUM(C15:F15)&lt;&gt;0,SUM(C15:F15),0)</f>
        <v>0</v>
      </c>
      <c r="C15" s="10"/>
      <c r="D15" s="10"/>
      <c r="E15" s="10"/>
      <c r="F15" s="10"/>
      <c r="G15" s="10"/>
      <c r="H15" s="10"/>
      <c r="I15" s="12" t="s">
        <v>183</v>
      </c>
    </row>
    <row r="16" spans="1:9" ht="18" outlineLevel="1">
      <c r="A16" s="31" t="s">
        <v>185</v>
      </c>
      <c r="B16" s="10" t="str">
        <f>IF(SUM(C16:F16)&lt;&gt;0,SUM(C16:F16),"")</f>
        <v/>
      </c>
      <c r="C16" s="10"/>
      <c r="D16" s="10"/>
      <c r="E16" s="10"/>
      <c r="F16" s="10"/>
      <c r="G16" s="10"/>
      <c r="H16" s="10"/>
      <c r="I16" s="12"/>
    </row>
    <row r="17" spans="1:9" ht="18" outlineLevel="1">
      <c r="A17" s="31" t="s">
        <v>412</v>
      </c>
      <c r="B17" s="10"/>
      <c r="C17" s="10"/>
      <c r="D17" s="10"/>
      <c r="E17" s="10"/>
      <c r="F17" s="10"/>
      <c r="G17" s="10"/>
      <c r="H17" s="10"/>
      <c r="I17" s="12"/>
    </row>
    <row r="18" spans="1:9" ht="18">
      <c r="A18" s="32" t="s">
        <v>186</v>
      </c>
      <c r="B18" s="296">
        <f>SUM(C18:F18)</f>
        <v>1338.79</v>
      </c>
      <c r="C18" s="26">
        <v>1023.79</v>
      </c>
      <c r="D18" s="26">
        <v>10</v>
      </c>
      <c r="E18" s="27">
        <f>55+250</f>
        <v>305</v>
      </c>
      <c r="F18" s="36"/>
      <c r="G18" s="296"/>
      <c r="H18" s="46" t="e">
        <f>SUMIF(H3:H14,"&gt;0") &amp; " / " &amp; SUM(B3:B14)</f>
        <v>#REF!</v>
      </c>
      <c r="I18" s="10"/>
    </row>
    <row r="19" spans="1:9" ht="18">
      <c r="A19" s="24"/>
      <c r="B19" s="10"/>
      <c r="C19" s="49"/>
      <c r="D19" s="26"/>
      <c r="E19" s="23"/>
      <c r="F19" s="25"/>
      <c r="G19" s="11"/>
      <c r="H19" s="11"/>
      <c r="I19" s="11"/>
    </row>
    <row r="20" spans="1:9" ht="18">
      <c r="A20" s="54"/>
      <c r="B20" s="50"/>
      <c r="C20" s="53"/>
      <c r="D20" s="51"/>
      <c r="E20" s="16"/>
      <c r="F20" s="16"/>
      <c r="G20" s="37"/>
      <c r="H20" s="11" t="e">
        <f>SUM(H3:H13)-H12-H5</f>
        <v>#REF!</v>
      </c>
    </row>
    <row r="21" spans="1:9" ht="18">
      <c r="A21" s="54"/>
      <c r="B21" s="50"/>
      <c r="C21" s="20"/>
      <c r="D21" s="52"/>
      <c r="E21" s="16"/>
      <c r="F21" s="18"/>
      <c r="G21" s="37"/>
    </row>
    <row r="22" spans="1:9" ht="18">
      <c r="A22" s="54"/>
      <c r="B22" s="17"/>
      <c r="C22" s="39"/>
      <c r="D22" s="39"/>
      <c r="E22" s="43"/>
      <c r="F22" s="20"/>
      <c r="G22" s="48"/>
      <c r="H22" s="11"/>
      <c r="I22" s="11"/>
    </row>
    <row r="23" spans="1:9" ht="18">
      <c r="A23" s="10"/>
      <c r="B23" s="10"/>
      <c r="C23" s="40"/>
      <c r="D23" s="41"/>
      <c r="E23" s="41"/>
      <c r="F23" s="41"/>
      <c r="G23" s="28"/>
    </row>
    <row r="24" spans="1:9" ht="18">
      <c r="A24" s="20"/>
      <c r="B24" s="10"/>
      <c r="D24" s="42"/>
    </row>
    <row r="26" spans="1:9" ht="18">
      <c r="B26" s="10"/>
    </row>
  </sheetData>
  <dataConsolidate/>
  <conditionalFormatting sqref="H3:H18">
    <cfRule type="iconSet" priority="1">
      <iconSet>
        <cfvo type="percent" val="0"/>
        <cfvo type="num" val="0"/>
        <cfvo type="num" val="1"/>
      </iconSet>
    </cfRule>
  </conditionalFormatting>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H26"/>
  <sheetViews>
    <sheetView workbookViewId="0"/>
  </sheetViews>
  <sheetFormatPr defaultColWidth="11.33203125" defaultRowHeight="14.4" outlineLevelRow="1"/>
  <cols>
    <col min="1" max="1" width="15.44140625" customWidth="1"/>
    <col min="2" max="2" width="28.109375" customWidth="1"/>
    <col min="3" max="6" width="25" customWidth="1"/>
    <col min="7" max="7" width="19.44140625" customWidth="1"/>
    <col min="8" max="8" width="15.44140625" customWidth="1"/>
  </cols>
  <sheetData>
    <row r="1" spans="1:8" ht="18">
      <c r="A1" s="12"/>
      <c r="B1" s="12" t="s">
        <v>164</v>
      </c>
      <c r="C1" s="44" t="str">
        <f>"29/08/16" &amp; " - " &amp; "06/09/16"</f>
        <v>29/08/16 - 06/09/16</v>
      </c>
      <c r="D1" s="44" t="str">
        <f>TEXT(DATEVALUE(RIGHT(C1,8))+1,"dd/mm/yy")&amp; " - "&amp; TEXT(DATEVALUE(RIGHT(C1,8))+7,"dd/mm/yy")</f>
        <v>07/09/16 - 13/09/16</v>
      </c>
      <c r="E1" s="44" t="str">
        <f>TEXT(DATEVALUE(RIGHT(D1,8))+1,"dd/mm/yy")&amp; " - "&amp; TEXT(DATEVALUE(RIGHT(D1,8))+7,"dd/mm/yy")</f>
        <v>14/09/16 - 20/09/16</v>
      </c>
      <c r="F1" s="44" t="str">
        <f>TEXT(DATEVALUE(RIGHT(E1,8))+1,"dd/mm/yy")&amp; " - "&amp; TEXT(DATEVALUE(RIGHT(E1,8))+7,"dd/mm/yy")</f>
        <v>21/09/16 - 27/09/16</v>
      </c>
      <c r="G1" s="12" t="s">
        <v>10</v>
      </c>
      <c r="H1" s="12"/>
    </row>
    <row r="2" spans="1:8" ht="18">
      <c r="A2" s="12" t="s">
        <v>165</v>
      </c>
      <c r="B2" s="10"/>
      <c r="C2" s="296">
        <f>SUM(C3:C14)</f>
        <v>370.18</v>
      </c>
      <c r="D2" s="296">
        <f>SUM(D3:D14)</f>
        <v>270.45999999999998</v>
      </c>
      <c r="E2" s="296">
        <f>SUM(E3:E14)</f>
        <v>310.45</v>
      </c>
      <c r="F2" s="296">
        <f>SUM(F3:F14)</f>
        <v>0</v>
      </c>
      <c r="G2" s="10"/>
      <c r="H2" s="12"/>
    </row>
    <row r="3" spans="1:8" ht="18" outlineLevel="1">
      <c r="A3" s="31" t="s">
        <v>169</v>
      </c>
      <c r="B3" s="17">
        <f>IF(G1="Remaining",'Joint Outgoings'!B3*4,IF(H1= "Remaining",'Joint Outgoings'!B3* 5,""))</f>
        <v>0</v>
      </c>
      <c r="C3" s="10">
        <f>18.9+10.9+2.5+5.3</f>
        <v>37.599999999999994</v>
      </c>
      <c r="D3" s="10">
        <f>20+3+3.85+3.1</f>
        <v>29.950000000000003</v>
      </c>
      <c r="E3" s="10">
        <f>38.56+4.44+2.3</f>
        <v>45.3</v>
      </c>
      <c r="F3" s="10"/>
      <c r="G3" s="10">
        <f>IF(B3&lt;&gt;"",B3-C3-D3-E3-F3,"")</f>
        <v>-112.85</v>
      </c>
      <c r="H3" s="34" t="str">
        <f>A3</f>
        <v>Food</v>
      </c>
    </row>
    <row r="4" spans="1:8" ht="18" outlineLevel="1">
      <c r="A4" s="31" t="s">
        <v>167</v>
      </c>
      <c r="B4" s="17">
        <f>IF(G1="Remaining",'Joint Outgoings'!B24*4,IF(H1= "Remaining",'Joint Outgoings'!B24* 5,""))</f>
        <v>0</v>
      </c>
      <c r="C4" s="10">
        <v>30.73</v>
      </c>
      <c r="D4" s="10"/>
      <c r="E4" s="10">
        <v>31.5</v>
      </c>
      <c r="F4" s="10"/>
      <c r="G4" s="10">
        <f>IF(B4&lt;&gt;"",B4-C4-D4-E4-F4,"")</f>
        <v>-62.230000000000004</v>
      </c>
      <c r="H4" s="12" t="str">
        <f>A4</f>
        <v xml:space="preserve">Car Petrol </v>
      </c>
    </row>
    <row r="5" spans="1:8" ht="18" outlineLevel="1">
      <c r="A5" s="31" t="s">
        <v>168</v>
      </c>
      <c r="B5" s="17" t="e">
        <f>IF(G1="Remaining",'Joint Outgoings'!#REF!*4,IF(H1= "Remaining",'Joint Outgoings'!#REF!* 5,""))</f>
        <v>#REF!</v>
      </c>
      <c r="C5" s="10"/>
      <c r="D5" s="10">
        <f>9.16</f>
        <v>9.16</v>
      </c>
      <c r="E5" s="10"/>
      <c r="F5" s="10"/>
      <c r="G5" s="10" t="e">
        <f>IF(B5&lt;&gt;"",B5-C5-D5-E5-F5,"")</f>
        <v>#REF!</v>
      </c>
      <c r="H5" s="12" t="str">
        <f t="shared" ref="H5:H13" si="0">A5</f>
        <v>Bike petrol</v>
      </c>
    </row>
    <row r="6" spans="1:8" ht="18" outlineLevel="1">
      <c r="A6" s="31" t="s">
        <v>179</v>
      </c>
      <c r="B6" s="10" t="e">
        <f>'Joint Outgoings'!#REF!</f>
        <v>#REF!</v>
      </c>
      <c r="C6" s="10"/>
      <c r="D6" s="10"/>
      <c r="E6" s="10">
        <v>9.99</v>
      </c>
      <c r="F6" s="10"/>
      <c r="G6" s="10" t="e">
        <f t="shared" ref="G6:G14" si="1">IF(B6&lt;&gt;"",B6-C6-D6-E6-F6,"")</f>
        <v>#REF!</v>
      </c>
      <c r="H6" s="12" t="str">
        <f t="shared" si="0"/>
        <v>Sky Movies</v>
      </c>
    </row>
    <row r="7" spans="1:8" ht="18" outlineLevel="1">
      <c r="A7" s="31" t="s">
        <v>180</v>
      </c>
      <c r="B7" s="10" t="e">
        <f>'Joint Outgoings'!#REF!</f>
        <v>#REF!</v>
      </c>
      <c r="C7" s="10"/>
      <c r="D7" s="10">
        <v>4.99</v>
      </c>
      <c r="E7" s="10"/>
      <c r="F7" s="10"/>
      <c r="G7" s="10" t="e">
        <f t="shared" si="1"/>
        <v>#REF!</v>
      </c>
      <c r="H7" s="12" t="str">
        <f t="shared" si="0"/>
        <v>Spotify</v>
      </c>
    </row>
    <row r="8" spans="1:8" ht="18" outlineLevel="1">
      <c r="A8" s="31" t="s">
        <v>176</v>
      </c>
      <c r="B8" s="10">
        <f>'Joint Outgoings'!C29</f>
        <v>16.989999999999998</v>
      </c>
      <c r="C8" s="10"/>
      <c r="D8" s="10"/>
      <c r="E8" s="10">
        <v>44.99</v>
      </c>
      <c r="F8" s="10"/>
      <c r="G8" s="10">
        <f t="shared" si="1"/>
        <v>-28.000000000000004</v>
      </c>
      <c r="H8" s="12" t="str">
        <f t="shared" si="0"/>
        <v xml:space="preserve">Phone </v>
      </c>
    </row>
    <row r="9" spans="1:8" ht="18" outlineLevel="1">
      <c r="A9" s="31" t="s">
        <v>410</v>
      </c>
      <c r="B9" s="10" t="e">
        <f>'Joint Outgoings'!#REF!</f>
        <v>#REF!</v>
      </c>
      <c r="C9" s="10"/>
      <c r="D9" s="10"/>
      <c r="E9" s="10">
        <v>36.29</v>
      </c>
      <c r="F9" s="10"/>
      <c r="G9" s="10" t="e">
        <f t="shared" si="1"/>
        <v>#REF!</v>
      </c>
      <c r="H9" s="12" t="str">
        <f t="shared" si="0"/>
        <v>Bupa</v>
      </c>
    </row>
    <row r="10" spans="1:8" ht="18" outlineLevel="1">
      <c r="A10" s="31" t="s">
        <v>177</v>
      </c>
      <c r="B10" s="10">
        <v>17.989999999999998</v>
      </c>
      <c r="C10" s="10">
        <v>17.989999999999998</v>
      </c>
      <c r="D10" s="10"/>
      <c r="E10" s="10"/>
      <c r="F10" s="10"/>
      <c r="G10" s="10">
        <f t="shared" si="1"/>
        <v>0</v>
      </c>
      <c r="H10" s="12" t="str">
        <f t="shared" si="0"/>
        <v>Gym</v>
      </c>
    </row>
    <row r="11" spans="1:8" ht="18" outlineLevel="1">
      <c r="A11" s="31" t="s">
        <v>409</v>
      </c>
      <c r="B11" s="10" t="e">
        <f>'Joint Outgoings'!#REF!</f>
        <v>#REF!</v>
      </c>
      <c r="C11" s="10"/>
      <c r="D11" s="10"/>
      <c r="E11" s="10"/>
      <c r="F11" s="10"/>
      <c r="G11" s="10" t="e">
        <f t="shared" si="1"/>
        <v>#REF!</v>
      </c>
      <c r="H11" s="12" t="str">
        <f t="shared" si="0"/>
        <v>House Deposit</v>
      </c>
    </row>
    <row r="12" spans="1:8" ht="18" outlineLevel="1">
      <c r="A12" s="31" t="s">
        <v>411</v>
      </c>
      <c r="B12" s="10">
        <v>153.66999999999999</v>
      </c>
      <c r="C12" s="10"/>
      <c r="D12" s="10">
        <v>153.66999999999999</v>
      </c>
      <c r="E12" s="10"/>
      <c r="F12" s="10"/>
      <c r="G12" s="10">
        <f t="shared" si="1"/>
        <v>0</v>
      </c>
      <c r="H12" s="12" t="str">
        <f t="shared" si="0"/>
        <v>Car ins.</v>
      </c>
    </row>
    <row r="13" spans="1:8" ht="18" outlineLevel="1">
      <c r="A13" s="31" t="s">
        <v>178</v>
      </c>
      <c r="B13" s="10">
        <f>'Joint Outgoings'!C25</f>
        <v>200</v>
      </c>
      <c r="C13" s="10">
        <v>12.68</v>
      </c>
      <c r="D13" s="10"/>
      <c r="E13" s="10"/>
      <c r="F13" s="10"/>
      <c r="G13" s="10">
        <f t="shared" si="1"/>
        <v>187.32</v>
      </c>
      <c r="H13" s="12" t="str">
        <f t="shared" si="0"/>
        <v>Car v.tax</v>
      </c>
    </row>
    <row r="14" spans="1:8" ht="18" outlineLevel="1">
      <c r="A14" s="31" t="s">
        <v>172</v>
      </c>
      <c r="B14" s="10" t="e">
        <f>IF(B18 &lt;&gt; 0,B18-SUM(B3:B13)-SUM(C15:F15),"")</f>
        <v>#REF!</v>
      </c>
      <c r="C14" s="10">
        <f>100+44.94+9.39+10+46.25+39+21.6</f>
        <v>271.18</v>
      </c>
      <c r="D14" s="10">
        <f>39.45+24.25+8.99</f>
        <v>72.69</v>
      </c>
      <c r="E14" s="10">
        <f>3.5+17.2+12.48+30.85+40+5.5+32.85</f>
        <v>142.38</v>
      </c>
      <c r="F14" s="10"/>
      <c r="G14" s="10" t="e">
        <f t="shared" si="1"/>
        <v>#REF!</v>
      </c>
      <c r="H14" s="12" t="s">
        <v>172</v>
      </c>
    </row>
    <row r="15" spans="1:8" ht="18" outlineLevel="1">
      <c r="A15" s="31" t="s">
        <v>184</v>
      </c>
      <c r="B15" s="10">
        <f>IF(SUM(C15:F15)&lt;&gt;0,SUM(C15:F15),0)</f>
        <v>0</v>
      </c>
      <c r="C15" s="10"/>
      <c r="D15" s="10"/>
      <c r="E15" s="10"/>
      <c r="F15" s="10"/>
      <c r="G15" s="10"/>
      <c r="H15" s="12" t="s">
        <v>183</v>
      </c>
    </row>
    <row r="16" spans="1:8" ht="18" outlineLevel="1">
      <c r="A16" s="31" t="s">
        <v>185</v>
      </c>
      <c r="B16" s="10" t="str">
        <f>IF(SUM(C16:F16)&lt;&gt;0,SUM(C16:F16),"")</f>
        <v/>
      </c>
      <c r="C16" s="10"/>
      <c r="D16" s="10"/>
      <c r="E16" s="10"/>
      <c r="F16" s="10"/>
      <c r="G16" s="10"/>
      <c r="H16" s="12"/>
    </row>
    <row r="17" spans="1:8" ht="18" outlineLevel="1">
      <c r="A17" s="31" t="s">
        <v>412</v>
      </c>
      <c r="B17" s="10"/>
      <c r="C17" s="10"/>
      <c r="D17" s="10"/>
      <c r="E17" s="10"/>
      <c r="F17" s="10"/>
      <c r="G17" s="10"/>
      <c r="H17" s="12"/>
    </row>
    <row r="18" spans="1:8" ht="18">
      <c r="A18" s="32" t="s">
        <v>186</v>
      </c>
      <c r="B18" s="296">
        <f>SUM(C18:F18)</f>
        <v>961.54</v>
      </c>
      <c r="C18" s="26">
        <f>935.56+17.99</f>
        <v>953.55</v>
      </c>
      <c r="D18" s="26"/>
      <c r="E18" s="27">
        <f>7.99</f>
        <v>7.99</v>
      </c>
      <c r="F18" s="36"/>
      <c r="G18" s="46" t="e">
        <f>SUM(G3:G14) &amp; " / " &amp; SUM(B3:B14)</f>
        <v>#REF!</v>
      </c>
      <c r="H18" s="10"/>
    </row>
    <row r="19" spans="1:8" ht="18">
      <c r="A19" s="24"/>
      <c r="B19" s="10"/>
      <c r="C19" s="49"/>
      <c r="D19" s="26"/>
      <c r="E19" s="23"/>
      <c r="F19" s="25"/>
      <c r="G19" s="11" t="e">
        <f>SUM(G3:G14)</f>
        <v>#REF!</v>
      </c>
      <c r="H19" s="11"/>
    </row>
    <row r="20" spans="1:8" ht="18">
      <c r="A20" s="17" t="e">
        <f>IF(SUM(B3:B13)&gt;B18,"You will have insufficient funds for this month!","")</f>
        <v>#REF!</v>
      </c>
      <c r="B20" s="17"/>
      <c r="C20" s="53"/>
      <c r="D20" s="16"/>
      <c r="E20" s="16"/>
      <c r="F20" s="16"/>
      <c r="G20" s="11"/>
    </row>
    <row r="21" spans="1:8" ht="18">
      <c r="A21" s="17"/>
      <c r="B21" s="17"/>
      <c r="C21" s="20"/>
      <c r="D21" s="39"/>
      <c r="E21" s="16"/>
      <c r="F21" s="18"/>
    </row>
    <row r="22" spans="1:8" ht="18">
      <c r="A22" s="17"/>
      <c r="B22" s="17"/>
      <c r="C22" s="39"/>
      <c r="D22" s="39"/>
      <c r="E22" s="43"/>
      <c r="F22" s="20"/>
      <c r="G22" s="11"/>
      <c r="H22" s="11"/>
    </row>
    <row r="23" spans="1:8" ht="18">
      <c r="A23" s="10"/>
      <c r="B23" s="10"/>
      <c r="C23" s="40"/>
      <c r="D23" s="41"/>
      <c r="E23" s="41"/>
      <c r="F23" s="41"/>
    </row>
    <row r="24" spans="1:8" ht="18">
      <c r="A24" s="20"/>
      <c r="B24" s="10"/>
      <c r="D24" s="42"/>
    </row>
    <row r="26" spans="1:8" ht="18">
      <c r="B26" s="10"/>
    </row>
  </sheetData>
  <dataConsolidate/>
  <conditionalFormatting sqref="G3:G18">
    <cfRule type="iconSet" priority="1">
      <iconSet>
        <cfvo type="percent" val="0"/>
        <cfvo type="num" val="0"/>
        <cfvo type="num" val="1"/>
      </iconSet>
    </cfRule>
  </conditionalFormatting>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J61"/>
  <sheetViews>
    <sheetView workbookViewId="0"/>
  </sheetViews>
  <sheetFormatPr defaultColWidth="11.33203125" defaultRowHeight="14.4"/>
  <cols>
    <col min="1" max="1" width="21" customWidth="1"/>
    <col min="2" max="2" width="14.6640625" customWidth="1"/>
    <col min="3" max="3" width="14.6640625" hidden="1" customWidth="1"/>
    <col min="4" max="4" width="14.6640625" style="7" customWidth="1"/>
    <col min="7" max="7" width="11.33203125" style="79"/>
    <col min="10" max="10" width="14.6640625" style="7" customWidth="1"/>
  </cols>
  <sheetData>
    <row r="1" spans="1:10">
      <c r="A1" s="60" t="s">
        <v>458</v>
      </c>
      <c r="B1" s="60" t="s">
        <v>15</v>
      </c>
      <c r="C1" s="60"/>
      <c r="D1" s="60" t="s">
        <v>5</v>
      </c>
      <c r="E1" s="61" t="s">
        <v>6</v>
      </c>
      <c r="F1" s="61" t="s">
        <v>7</v>
      </c>
      <c r="G1" s="61" t="s">
        <v>8</v>
      </c>
      <c r="H1" s="61" t="s">
        <v>9</v>
      </c>
      <c r="I1" s="61" t="s">
        <v>10</v>
      </c>
      <c r="J1" s="107" t="s">
        <v>13</v>
      </c>
    </row>
    <row r="3" spans="1:10">
      <c r="A3" s="78" t="s">
        <v>106</v>
      </c>
      <c r="B3" s="42">
        <v>42655</v>
      </c>
      <c r="C3" s="80" t="str">
        <f t="shared" ref="C3:C58" si="0">TEXT(B3,"MMDD")</f>
        <v>1012</v>
      </c>
      <c r="D3" s="79">
        <f ca="1">DATEDIF(B3,NOW(),"y")</f>
        <v>9</v>
      </c>
      <c r="E3" s="11">
        <v>10</v>
      </c>
      <c r="F3" s="67"/>
      <c r="I3" s="11">
        <f>IF(E3&lt;&gt;"/",E3-H3,0)</f>
        <v>10</v>
      </c>
      <c r="J3" s="7" t="str">
        <f ca="1">IF(TEXT(TODAY(),"YYYY")=RIGHT(A$1,4), IF(ISERROR(DATEDIF(TEXT(TODAY(),"dd/mm/yyyy"),TEXT(B3,"dd/mm/")&amp;RIGHT(A$1,4),"d")),IF(G3="Y","DONE","MISSED"), IF(DATEDIF(TEXT(TODAY(),"dd/mm/yyyy"),TEXT(B3,"dd/mm/")&amp;RIGHT(A$1,4),"d") = 0,"TODAY!!!", IF(DATEDIF(TEXT(TODAY(),"dd/mm/yyyy"),TEXT(B3,"dd/mm/")&amp;RIGHT(A$1,4),"d") &gt; 0, DATEDIF(TEXT(TODAY(),"dd/mm/yyyy"), TEXT(B3,"dd/mm/")&amp;RIGHT(A$1,4),"d")&amp;" Days to go!",""))),"")</f>
        <v/>
      </c>
    </row>
    <row r="4" spans="1:10">
      <c r="A4" s="78" t="s">
        <v>78</v>
      </c>
      <c r="C4" s="80" t="str">
        <f t="shared" si="0"/>
        <v>0100</v>
      </c>
      <c r="D4" s="79">
        <f t="shared" ref="D4:D5" ca="1" si="1">DATEDIF(B4,NOW(),"y")</f>
        <v>126</v>
      </c>
      <c r="E4" s="11">
        <v>5</v>
      </c>
      <c r="F4" s="67" t="s">
        <v>433</v>
      </c>
      <c r="I4" s="11">
        <f t="shared" ref="I4:I58" si="2">IF(E4&lt;&gt;"/",E4-H4,0)</f>
        <v>5</v>
      </c>
      <c r="J4" s="7" t="str">
        <f t="shared" ref="J4:J58" ca="1" si="3">IF(TEXT(TODAY(),"YYYY")=RIGHT(A$1,4), IF(ISERROR(DATEDIF(TEXT(TODAY(),"dd/mm/yyyy"),TEXT(B4,"dd/mm/")&amp;RIGHT(A$1,4),"d")),IF(G4="Y","DONE","MISSED"), IF(DATEDIF(TEXT(TODAY(),"dd/mm/yyyy"),TEXT(B4,"dd/mm/")&amp;RIGHT(A$1,4),"d") = 0,"TODAY!!!", IF(DATEDIF(TEXT(TODAY(),"dd/mm/yyyy"),TEXT(B4,"dd/mm/")&amp;RIGHT(A$1,4),"d") &gt; 0, DATEDIF(TEXT(TODAY(),"dd/mm/yyyy"), TEXT(B4,"dd/mm/")&amp;RIGHT(A$1,4),"d")&amp;" Days to go!",""))),"")</f>
        <v/>
      </c>
    </row>
    <row r="5" spans="1:10">
      <c r="A5" s="78" t="s">
        <v>77</v>
      </c>
      <c r="C5" s="80" t="str">
        <f t="shared" si="0"/>
        <v>0100</v>
      </c>
      <c r="D5" s="79">
        <f t="shared" ca="1" si="1"/>
        <v>126</v>
      </c>
      <c r="E5" s="11">
        <v>5</v>
      </c>
      <c r="F5" s="67" t="s">
        <v>433</v>
      </c>
      <c r="I5" s="11">
        <f t="shared" si="2"/>
        <v>5</v>
      </c>
      <c r="J5" s="7" t="str">
        <f t="shared" ca="1" si="3"/>
        <v/>
      </c>
    </row>
    <row r="6" spans="1:10">
      <c r="A6" s="78" t="s">
        <v>22</v>
      </c>
      <c r="B6" s="77">
        <f>DATE(1990,1,6)</f>
        <v>32879</v>
      </c>
      <c r="C6" s="80" t="str">
        <f t="shared" si="0"/>
        <v>0106</v>
      </c>
      <c r="D6" s="79">
        <f ca="1">DATEDIF(B6,NOW(),"y")</f>
        <v>36</v>
      </c>
      <c r="E6" s="11" t="s">
        <v>431</v>
      </c>
      <c r="F6" s="67"/>
      <c r="I6" s="11">
        <f t="shared" si="2"/>
        <v>0</v>
      </c>
      <c r="J6" s="7" t="str">
        <f t="shared" ca="1" si="3"/>
        <v/>
      </c>
    </row>
    <row r="7" spans="1:10">
      <c r="A7" s="78" t="s">
        <v>18</v>
      </c>
      <c r="B7" s="77">
        <v>42375</v>
      </c>
      <c r="C7" s="80" t="str">
        <f t="shared" si="0"/>
        <v>0106</v>
      </c>
      <c r="D7" s="79">
        <f t="shared" ref="D7:D58" ca="1" si="4">DATEDIF(B7,NOW(),"y")</f>
        <v>10</v>
      </c>
      <c r="E7" s="11">
        <v>5</v>
      </c>
      <c r="F7" s="67" t="s">
        <v>433</v>
      </c>
      <c r="G7" s="79" t="s">
        <v>20</v>
      </c>
      <c r="I7" s="11">
        <f t="shared" si="2"/>
        <v>5</v>
      </c>
      <c r="J7" s="7" t="str">
        <f t="shared" ca="1" si="3"/>
        <v/>
      </c>
    </row>
    <row r="8" spans="1:10">
      <c r="A8" s="78" t="s">
        <v>23</v>
      </c>
      <c r="B8" s="77">
        <v>42376</v>
      </c>
      <c r="C8" s="80" t="str">
        <f t="shared" si="0"/>
        <v>0107</v>
      </c>
      <c r="D8" s="79">
        <f t="shared" ca="1" si="4"/>
        <v>10</v>
      </c>
      <c r="E8" s="11" t="s">
        <v>431</v>
      </c>
      <c r="F8" s="67"/>
      <c r="G8" s="79" t="s">
        <v>20</v>
      </c>
      <c r="I8" s="11">
        <f t="shared" si="2"/>
        <v>0</v>
      </c>
      <c r="J8" s="7" t="str">
        <f t="shared" ca="1" si="3"/>
        <v/>
      </c>
    </row>
    <row r="9" spans="1:10">
      <c r="A9" s="78" t="s">
        <v>24</v>
      </c>
      <c r="B9" s="77">
        <v>42378</v>
      </c>
      <c r="C9" s="80" t="str">
        <f t="shared" si="0"/>
        <v>0109</v>
      </c>
      <c r="D9" s="79">
        <f t="shared" ca="1" si="4"/>
        <v>10</v>
      </c>
      <c r="E9" s="11">
        <v>10</v>
      </c>
      <c r="F9" s="67"/>
      <c r="I9" s="11">
        <f t="shared" si="2"/>
        <v>10</v>
      </c>
      <c r="J9" s="7" t="str">
        <f t="shared" ca="1" si="3"/>
        <v/>
      </c>
    </row>
    <row r="10" spans="1:10">
      <c r="A10" s="78" t="s">
        <v>25</v>
      </c>
      <c r="B10" s="77">
        <v>42382</v>
      </c>
      <c r="C10" s="80" t="str">
        <f t="shared" si="0"/>
        <v>0113</v>
      </c>
      <c r="D10" s="79">
        <f t="shared" ca="1" si="4"/>
        <v>10</v>
      </c>
      <c r="E10" s="11">
        <v>10</v>
      </c>
      <c r="F10" s="67"/>
      <c r="I10" s="11">
        <f t="shared" si="2"/>
        <v>10</v>
      </c>
      <c r="J10" s="7" t="str">
        <f t="shared" ca="1" si="3"/>
        <v/>
      </c>
    </row>
    <row r="11" spans="1:10">
      <c r="A11" s="78" t="s">
        <v>26</v>
      </c>
      <c r="B11" s="77">
        <v>42383</v>
      </c>
      <c r="C11" s="80" t="str">
        <f t="shared" si="0"/>
        <v>0114</v>
      </c>
      <c r="D11" s="79">
        <f t="shared" ca="1" si="4"/>
        <v>10</v>
      </c>
      <c r="E11" s="11">
        <v>10</v>
      </c>
      <c r="F11" s="67"/>
      <c r="I11" s="11">
        <f t="shared" si="2"/>
        <v>10</v>
      </c>
      <c r="J11" s="7" t="str">
        <f t="shared" ca="1" si="3"/>
        <v/>
      </c>
    </row>
    <row r="12" spans="1:10">
      <c r="A12" s="78" t="s">
        <v>27</v>
      </c>
      <c r="B12" s="77">
        <v>20115</v>
      </c>
      <c r="C12" s="80" t="str">
        <f t="shared" si="0"/>
        <v>0126</v>
      </c>
      <c r="D12" s="79">
        <f t="shared" ca="1" si="4"/>
        <v>71</v>
      </c>
      <c r="E12" s="11">
        <v>10</v>
      </c>
      <c r="F12" s="67"/>
      <c r="G12" s="79" t="s">
        <v>20</v>
      </c>
      <c r="I12" s="11">
        <f t="shared" si="2"/>
        <v>10</v>
      </c>
      <c r="J12" s="7" t="str">
        <f t="shared" ca="1" si="3"/>
        <v/>
      </c>
    </row>
    <row r="13" spans="1:10">
      <c r="A13" s="78" t="s">
        <v>28</v>
      </c>
      <c r="B13" s="77">
        <v>42396</v>
      </c>
      <c r="C13" s="80" t="str">
        <f t="shared" si="0"/>
        <v>0127</v>
      </c>
      <c r="D13" s="79">
        <f t="shared" ca="1" si="4"/>
        <v>10</v>
      </c>
      <c r="E13" s="11" t="s">
        <v>431</v>
      </c>
      <c r="F13" s="11"/>
      <c r="I13" s="11">
        <f t="shared" si="2"/>
        <v>0</v>
      </c>
      <c r="J13" s="7" t="str">
        <f t="shared" ca="1" si="3"/>
        <v/>
      </c>
    </row>
    <row r="14" spans="1:10">
      <c r="A14" s="78" t="s">
        <v>30</v>
      </c>
      <c r="B14" s="77">
        <v>42401</v>
      </c>
      <c r="C14" s="80" t="str">
        <f t="shared" si="0"/>
        <v>0201</v>
      </c>
      <c r="D14" s="79">
        <f t="shared" ca="1" si="4"/>
        <v>10</v>
      </c>
      <c r="E14" s="11">
        <v>10</v>
      </c>
      <c r="F14" s="67"/>
      <c r="G14" s="79" t="s">
        <v>20</v>
      </c>
      <c r="I14" s="11">
        <f t="shared" si="2"/>
        <v>10</v>
      </c>
      <c r="J14" s="7" t="str">
        <f t="shared" ca="1" si="3"/>
        <v/>
      </c>
    </row>
    <row r="15" spans="1:10">
      <c r="A15" s="78" t="s">
        <v>34</v>
      </c>
      <c r="B15" s="77">
        <v>34368</v>
      </c>
      <c r="C15" s="80" t="str">
        <f t="shared" si="0"/>
        <v>0203</v>
      </c>
      <c r="D15" s="79">
        <f t="shared" ca="1" si="4"/>
        <v>32</v>
      </c>
      <c r="E15" s="11">
        <v>15</v>
      </c>
      <c r="F15" s="67"/>
      <c r="G15" s="79" t="s">
        <v>20</v>
      </c>
      <c r="I15" s="11">
        <f t="shared" si="2"/>
        <v>15</v>
      </c>
      <c r="J15" s="7" t="str">
        <f t="shared" ca="1" si="3"/>
        <v/>
      </c>
    </row>
    <row r="16" spans="1:10">
      <c r="A16" s="78" t="s">
        <v>35</v>
      </c>
      <c r="B16" s="77">
        <v>42404</v>
      </c>
      <c r="C16" s="80" t="str">
        <f t="shared" si="0"/>
        <v>0204</v>
      </c>
      <c r="D16" s="79">
        <f t="shared" ca="1" si="4"/>
        <v>10</v>
      </c>
      <c r="E16" s="11">
        <v>10</v>
      </c>
      <c r="F16" s="67"/>
      <c r="G16" s="79" t="s">
        <v>20</v>
      </c>
      <c r="I16" s="11">
        <f t="shared" si="2"/>
        <v>10</v>
      </c>
      <c r="J16" s="7" t="str">
        <f t="shared" ca="1" si="3"/>
        <v/>
      </c>
    </row>
    <row r="17" spans="1:10">
      <c r="A17" s="78" t="s">
        <v>36</v>
      </c>
      <c r="B17" s="77">
        <v>42406</v>
      </c>
      <c r="C17" s="80" t="str">
        <f t="shared" si="0"/>
        <v>0206</v>
      </c>
      <c r="D17" s="79">
        <f t="shared" ca="1" si="4"/>
        <v>10</v>
      </c>
      <c r="E17" s="11">
        <v>5</v>
      </c>
      <c r="F17" s="67" t="s">
        <v>433</v>
      </c>
      <c r="G17" s="79" t="s">
        <v>20</v>
      </c>
      <c r="I17" s="11">
        <f t="shared" si="2"/>
        <v>5</v>
      </c>
      <c r="J17" s="7" t="str">
        <f t="shared" ca="1" si="3"/>
        <v/>
      </c>
    </row>
    <row r="18" spans="1:10">
      <c r="A18" s="78" t="s">
        <v>40</v>
      </c>
      <c r="B18" s="77">
        <v>37694</v>
      </c>
      <c r="C18" s="80" t="str">
        <f t="shared" si="0"/>
        <v>0314</v>
      </c>
      <c r="D18" s="79">
        <f t="shared" ca="1" si="4"/>
        <v>23</v>
      </c>
      <c r="E18" s="11">
        <v>5</v>
      </c>
      <c r="F18" s="67" t="s">
        <v>433</v>
      </c>
      <c r="G18" s="79" t="s">
        <v>432</v>
      </c>
      <c r="I18" s="11">
        <f t="shared" si="2"/>
        <v>5</v>
      </c>
      <c r="J18" s="7" t="str">
        <f t="shared" ca="1" si="3"/>
        <v/>
      </c>
    </row>
    <row r="19" spans="1:10">
      <c r="A19" s="78" t="s">
        <v>44</v>
      </c>
      <c r="B19" s="77">
        <v>37694</v>
      </c>
      <c r="C19" s="80" t="str">
        <f t="shared" si="0"/>
        <v>0314</v>
      </c>
      <c r="D19" s="79">
        <f t="shared" ca="1" si="4"/>
        <v>23</v>
      </c>
      <c r="E19" s="11">
        <v>5</v>
      </c>
      <c r="F19" s="67" t="s">
        <v>433</v>
      </c>
      <c r="G19" s="79" t="s">
        <v>432</v>
      </c>
      <c r="I19" s="11">
        <f t="shared" si="2"/>
        <v>5</v>
      </c>
      <c r="J19" s="7" t="str">
        <f t="shared" ca="1" si="3"/>
        <v/>
      </c>
    </row>
    <row r="20" spans="1:10">
      <c r="A20" s="78" t="s">
        <v>48</v>
      </c>
      <c r="B20" s="77">
        <v>35145</v>
      </c>
      <c r="C20" s="80" t="str">
        <f t="shared" si="0"/>
        <v>0321</v>
      </c>
      <c r="D20" s="79">
        <f t="shared" ca="1" si="4"/>
        <v>30</v>
      </c>
      <c r="E20" s="11" t="s">
        <v>431</v>
      </c>
      <c r="F20" s="67"/>
      <c r="G20" s="79" t="s">
        <v>432</v>
      </c>
      <c r="I20" s="11">
        <f t="shared" si="2"/>
        <v>0</v>
      </c>
      <c r="J20" s="7" t="str">
        <f t="shared" ca="1" si="3"/>
        <v/>
      </c>
    </row>
    <row r="21" spans="1:10">
      <c r="A21" s="78" t="s">
        <v>459</v>
      </c>
      <c r="B21" s="77">
        <v>42453</v>
      </c>
      <c r="C21" s="80" t="str">
        <f t="shared" si="0"/>
        <v>0324</v>
      </c>
      <c r="D21" s="79">
        <f t="shared" ca="1" si="4"/>
        <v>10</v>
      </c>
      <c r="E21" s="11">
        <v>10</v>
      </c>
      <c r="F21" s="67"/>
      <c r="G21" s="79" t="s">
        <v>432</v>
      </c>
      <c r="I21" s="11">
        <f t="shared" si="2"/>
        <v>10</v>
      </c>
      <c r="J21" s="7" t="str">
        <f ca="1">IF(TEXT(TODAY(),"YYYY")=RIGHT(A$1,4), IF(ISERROR(DATEDIF(TEXT(TODAY(),"dd/mm/yyyy"),TEXT(B21,"dd/mm/")&amp;RIGHT(A$1,4),"d")),IF(G21="Y","DONE","MISSED"), IF(DATEDIF(TEXT(TODAY(),"dd/mm/yyyy"),TEXT(B21,"dd/mm/")&amp;RIGHT(A$1,4),"d") = 0,"TODAY!!!", IF(DATEDIF(TEXT(TODAY(),"dd/mm/yyyy"),TEXT(B21,"dd/mm/")&amp;RIGHT(A$1,4),"d") &gt; 0, DATEDIF(TEXT(TODAY(),"dd/mm/yyyy"), TEXT(B21,"dd/mm/")&amp;RIGHT(A$1,4),"d")&amp;" Days to go!",""))),"")</f>
        <v/>
      </c>
    </row>
    <row r="22" spans="1:10">
      <c r="A22" s="78" t="s">
        <v>51</v>
      </c>
      <c r="B22" s="77">
        <v>42458</v>
      </c>
      <c r="C22" s="80" t="str">
        <f t="shared" si="0"/>
        <v>0329</v>
      </c>
      <c r="D22" s="79">
        <f t="shared" ca="1" si="4"/>
        <v>10</v>
      </c>
      <c r="E22" s="11">
        <v>10</v>
      </c>
      <c r="F22" s="67"/>
      <c r="G22" s="79" t="s">
        <v>432</v>
      </c>
      <c r="I22" s="11">
        <f t="shared" si="2"/>
        <v>10</v>
      </c>
      <c r="J22" s="7" t="str">
        <f t="shared" ca="1" si="3"/>
        <v/>
      </c>
    </row>
    <row r="23" spans="1:10">
      <c r="A23" s="78" t="s">
        <v>54</v>
      </c>
      <c r="B23" s="77">
        <v>18733</v>
      </c>
      <c r="C23" s="80" t="str">
        <f t="shared" si="0"/>
        <v>0415</v>
      </c>
      <c r="D23" s="79">
        <f t="shared" ca="1" si="4"/>
        <v>75</v>
      </c>
      <c r="E23" s="11">
        <v>50</v>
      </c>
      <c r="F23" s="67"/>
      <c r="G23" s="79" t="s">
        <v>432</v>
      </c>
      <c r="I23" s="11">
        <f t="shared" si="2"/>
        <v>50</v>
      </c>
      <c r="J23" s="7" t="str">
        <f t="shared" ca="1" si="3"/>
        <v/>
      </c>
    </row>
    <row r="24" spans="1:10">
      <c r="A24" s="78" t="s">
        <v>460</v>
      </c>
      <c r="B24" s="77">
        <v>12162</v>
      </c>
      <c r="C24" s="80" t="str">
        <f t="shared" si="0"/>
        <v>0418</v>
      </c>
      <c r="D24" s="79">
        <f t="shared" ca="1" si="4"/>
        <v>93</v>
      </c>
      <c r="E24" s="11">
        <v>20</v>
      </c>
      <c r="F24" s="67"/>
      <c r="G24" s="79" t="s">
        <v>432</v>
      </c>
      <c r="I24" s="11">
        <f t="shared" si="2"/>
        <v>20</v>
      </c>
      <c r="J24" s="7" t="str">
        <f t="shared" ca="1" si="3"/>
        <v/>
      </c>
    </row>
    <row r="25" spans="1:10">
      <c r="A25" s="78" t="s">
        <v>60</v>
      </c>
      <c r="B25" s="77">
        <v>42495</v>
      </c>
      <c r="C25" s="80" t="str">
        <f t="shared" si="0"/>
        <v>0505</v>
      </c>
      <c r="D25" s="79">
        <f t="shared" ca="1" si="4"/>
        <v>10</v>
      </c>
      <c r="E25" s="11">
        <v>10</v>
      </c>
      <c r="F25" s="67"/>
      <c r="I25" s="11">
        <f t="shared" si="2"/>
        <v>10</v>
      </c>
      <c r="J25" s="7" t="str">
        <f t="shared" ca="1" si="3"/>
        <v/>
      </c>
    </row>
    <row r="26" spans="1:10">
      <c r="A26" s="78" t="s">
        <v>61</v>
      </c>
      <c r="B26" s="77">
        <v>33730</v>
      </c>
      <c r="C26" s="80" t="str">
        <f t="shared" si="0"/>
        <v>0506</v>
      </c>
      <c r="D26" s="79">
        <f t="shared" ca="1" si="4"/>
        <v>34</v>
      </c>
      <c r="E26" s="11" t="s">
        <v>431</v>
      </c>
      <c r="F26" s="11"/>
      <c r="I26" s="11">
        <f t="shared" si="2"/>
        <v>0</v>
      </c>
      <c r="J26" s="7" t="str">
        <f t="shared" ca="1" si="3"/>
        <v/>
      </c>
    </row>
    <row r="27" spans="1:10">
      <c r="A27" s="78" t="s">
        <v>62</v>
      </c>
      <c r="B27" s="77">
        <v>27895</v>
      </c>
      <c r="C27" s="80" t="str">
        <f t="shared" si="0"/>
        <v>0515</v>
      </c>
      <c r="D27" s="79">
        <f t="shared" ca="1" si="4"/>
        <v>50</v>
      </c>
      <c r="E27" s="11">
        <v>10</v>
      </c>
      <c r="F27" s="67"/>
      <c r="G27" s="79" t="s">
        <v>432</v>
      </c>
      <c r="I27" s="11">
        <f t="shared" si="2"/>
        <v>10</v>
      </c>
      <c r="J27" s="7" t="str">
        <f t="shared" ca="1" si="3"/>
        <v/>
      </c>
    </row>
    <row r="28" spans="1:10">
      <c r="A28" s="78" t="s">
        <v>63</v>
      </c>
      <c r="B28" s="77">
        <v>27895</v>
      </c>
      <c r="C28" s="80" t="str">
        <f t="shared" si="0"/>
        <v>0515</v>
      </c>
      <c r="D28" s="79">
        <f ca="1">DATEDIF(B28,NOW(),"y")</f>
        <v>50</v>
      </c>
      <c r="E28" s="11">
        <v>10</v>
      </c>
      <c r="F28" s="67"/>
      <c r="G28" s="79" t="s">
        <v>432</v>
      </c>
      <c r="I28" s="11">
        <f t="shared" si="2"/>
        <v>10</v>
      </c>
      <c r="J28" s="7" t="str">
        <f t="shared" ca="1" si="3"/>
        <v/>
      </c>
    </row>
    <row r="29" spans="1:10">
      <c r="A29" s="78" t="s">
        <v>64</v>
      </c>
      <c r="B29" s="77">
        <v>16942</v>
      </c>
      <c r="C29" s="80" t="str">
        <f t="shared" si="0"/>
        <v>0520</v>
      </c>
      <c r="D29" s="79">
        <f t="shared" ca="1" si="4"/>
        <v>80</v>
      </c>
      <c r="E29" s="11" t="s">
        <v>431</v>
      </c>
      <c r="F29" s="67"/>
      <c r="G29" s="79" t="s">
        <v>432</v>
      </c>
      <c r="I29" s="11">
        <f t="shared" si="2"/>
        <v>0</v>
      </c>
      <c r="J29" s="7" t="str">
        <f t="shared" ca="1" si="3"/>
        <v/>
      </c>
    </row>
    <row r="30" spans="1:10">
      <c r="A30" s="78" t="s">
        <v>65</v>
      </c>
      <c r="B30" s="77">
        <v>42512</v>
      </c>
      <c r="C30" s="80" t="str">
        <f t="shared" si="0"/>
        <v>0522</v>
      </c>
      <c r="D30" s="79">
        <f t="shared" ca="1" si="4"/>
        <v>10</v>
      </c>
      <c r="E30" s="11">
        <v>5</v>
      </c>
      <c r="F30" s="67" t="s">
        <v>433</v>
      </c>
      <c r="G30" s="79" t="s">
        <v>432</v>
      </c>
      <c r="I30" s="11">
        <f t="shared" si="2"/>
        <v>5</v>
      </c>
      <c r="J30" s="7" t="str">
        <f t="shared" ca="1" si="3"/>
        <v/>
      </c>
    </row>
    <row r="31" spans="1:10">
      <c r="A31" s="78" t="s">
        <v>67</v>
      </c>
      <c r="B31" s="77">
        <v>42513</v>
      </c>
      <c r="C31" s="80" t="str">
        <f t="shared" si="0"/>
        <v>0523</v>
      </c>
      <c r="D31" s="79">
        <f t="shared" ca="1" si="4"/>
        <v>10</v>
      </c>
      <c r="E31" s="11">
        <v>10</v>
      </c>
      <c r="F31" s="67"/>
      <c r="G31" s="79" t="s">
        <v>432</v>
      </c>
      <c r="I31" s="11">
        <f t="shared" si="2"/>
        <v>10</v>
      </c>
      <c r="J31" s="7" t="str">
        <f t="shared" ca="1" si="3"/>
        <v/>
      </c>
    </row>
    <row r="32" spans="1:10">
      <c r="A32" s="78" t="s">
        <v>70</v>
      </c>
      <c r="B32" s="77">
        <v>26451</v>
      </c>
      <c r="C32" s="80" t="str">
        <f t="shared" si="0"/>
        <v>0601</v>
      </c>
      <c r="D32" s="79">
        <f t="shared" ca="1" si="4"/>
        <v>54</v>
      </c>
      <c r="E32" s="11">
        <v>10</v>
      </c>
      <c r="F32" s="67"/>
      <c r="G32" s="79" t="s">
        <v>20</v>
      </c>
      <c r="I32" s="11">
        <f t="shared" si="2"/>
        <v>10</v>
      </c>
      <c r="J32" s="7" t="str">
        <f t="shared" ca="1" si="3"/>
        <v/>
      </c>
    </row>
    <row r="33" spans="1:10">
      <c r="A33" s="78" t="s">
        <v>73</v>
      </c>
      <c r="B33" s="77">
        <v>29376</v>
      </c>
      <c r="C33" s="80" t="str">
        <f t="shared" si="0"/>
        <v>0604</v>
      </c>
      <c r="D33" s="79">
        <f t="shared" ca="1" si="4"/>
        <v>46</v>
      </c>
      <c r="E33" s="11">
        <v>10</v>
      </c>
      <c r="F33" s="67"/>
      <c r="G33" s="79" t="s">
        <v>432</v>
      </c>
      <c r="I33" s="11">
        <f t="shared" si="2"/>
        <v>10</v>
      </c>
      <c r="J33" s="7" t="str">
        <f ca="1">IF(TEXT(TODAY(),"YYYY")=RIGHT(A$1,4), IF(ISERROR(DATEDIF(TEXT(TODAY(),"dd/mm/yyyy"),TEXT(B33,"dd/mm/")&amp;RIGHT(A$1,4),"d")),IF(G33="Y","DONE","MISSED"), IF(DATEDIF(TEXT(TODAY(),"dd/mm/yyyy"),TEXT(B33,"dd/mm/")&amp;RIGHT(A$1,4),"d") = 0,"TODAY!!!", IF(DATEDIF(TEXT(TODAY(),"dd/mm/yyyy"),TEXT(B33,"dd/mm/")&amp;RIGHT(A$1,4),"d") &gt; 0, DATEDIF(TEXT(TODAY(),"dd/mm/yyyy"), TEXT(B33,"dd/mm/")&amp;RIGHT(A$1,4),"d")&amp;" Days to go!",""))),"")</f>
        <v/>
      </c>
    </row>
    <row r="34" spans="1:10">
      <c r="A34" s="78" t="s">
        <v>79</v>
      </c>
      <c r="B34" s="77">
        <v>35953</v>
      </c>
      <c r="C34" s="80" t="str">
        <f t="shared" si="0"/>
        <v>0607</v>
      </c>
      <c r="D34" s="79">
        <f t="shared" ca="1" si="4"/>
        <v>28</v>
      </c>
      <c r="E34" s="11">
        <v>5</v>
      </c>
      <c r="F34" s="67" t="s">
        <v>433</v>
      </c>
      <c r="G34" s="79" t="s">
        <v>432</v>
      </c>
      <c r="I34" s="11">
        <f t="shared" si="2"/>
        <v>5</v>
      </c>
      <c r="J34" s="7" t="str">
        <f t="shared" ca="1" si="3"/>
        <v/>
      </c>
    </row>
    <row r="35" spans="1:10">
      <c r="A35" s="78" t="s">
        <v>80</v>
      </c>
      <c r="B35" s="77">
        <v>27928</v>
      </c>
      <c r="C35" s="80" t="str">
        <f t="shared" si="0"/>
        <v>0617</v>
      </c>
      <c r="D35" s="79">
        <f t="shared" ca="1" si="4"/>
        <v>50</v>
      </c>
      <c r="E35" s="11">
        <v>10</v>
      </c>
      <c r="F35" s="67"/>
      <c r="G35" s="79" t="s">
        <v>432</v>
      </c>
      <c r="I35" s="11">
        <f t="shared" si="2"/>
        <v>10</v>
      </c>
      <c r="J35" s="7" t="str">
        <f t="shared" ca="1" si="3"/>
        <v/>
      </c>
    </row>
    <row r="36" spans="1:10">
      <c r="A36" s="78" t="s">
        <v>87</v>
      </c>
      <c r="B36" s="77">
        <v>42562</v>
      </c>
      <c r="C36" s="80" t="str">
        <f t="shared" si="0"/>
        <v>0711</v>
      </c>
      <c r="D36" s="79">
        <f t="shared" ca="1" si="4"/>
        <v>10</v>
      </c>
      <c r="E36" s="11" t="s">
        <v>431</v>
      </c>
      <c r="F36" s="67"/>
      <c r="G36" s="79" t="s">
        <v>432</v>
      </c>
      <c r="I36" s="11">
        <f t="shared" si="2"/>
        <v>0</v>
      </c>
      <c r="J36" s="7" t="str">
        <f t="shared" ca="1" si="3"/>
        <v/>
      </c>
    </row>
    <row r="37" spans="1:10">
      <c r="A37" s="78" t="s">
        <v>88</v>
      </c>
      <c r="B37" s="77">
        <v>42563</v>
      </c>
      <c r="C37" s="80" t="str">
        <f t="shared" si="0"/>
        <v>0712</v>
      </c>
      <c r="D37" s="79">
        <f t="shared" ca="1" si="4"/>
        <v>10</v>
      </c>
      <c r="E37" s="11">
        <v>5</v>
      </c>
      <c r="F37" s="67" t="s">
        <v>433</v>
      </c>
      <c r="G37" s="79" t="s">
        <v>432</v>
      </c>
      <c r="I37" s="11">
        <f t="shared" si="2"/>
        <v>5</v>
      </c>
      <c r="J37" s="7" t="str">
        <f t="shared" ca="1" si="3"/>
        <v/>
      </c>
    </row>
    <row r="38" spans="1:10">
      <c r="A38" s="78" t="s">
        <v>91</v>
      </c>
      <c r="B38" s="77">
        <v>31995</v>
      </c>
      <c r="C38" s="80" t="str">
        <f t="shared" si="0"/>
        <v>0806</v>
      </c>
      <c r="D38" s="79">
        <f t="shared" ca="1" si="4"/>
        <v>39</v>
      </c>
      <c r="E38" s="11" t="s">
        <v>431</v>
      </c>
      <c r="F38" s="67"/>
      <c r="I38" s="11">
        <f t="shared" si="2"/>
        <v>0</v>
      </c>
      <c r="J38" s="7" t="str">
        <f t="shared" ca="1" si="3"/>
        <v/>
      </c>
    </row>
    <row r="39" spans="1:10">
      <c r="A39" s="78" t="s">
        <v>92</v>
      </c>
      <c r="B39" s="77">
        <v>36766</v>
      </c>
      <c r="C39" s="80" t="str">
        <f t="shared" si="0"/>
        <v>0828</v>
      </c>
      <c r="D39" s="79">
        <f t="shared" ca="1" si="4"/>
        <v>25</v>
      </c>
      <c r="E39" s="11">
        <v>5</v>
      </c>
      <c r="F39" s="67" t="s">
        <v>433</v>
      </c>
      <c r="G39" s="79" t="s">
        <v>20</v>
      </c>
      <c r="I39" s="11">
        <f>IF(E39&lt;&gt;"/",E39-H39,0)</f>
        <v>5</v>
      </c>
      <c r="J39" s="7" t="str">
        <f t="shared" ca="1" si="3"/>
        <v/>
      </c>
    </row>
    <row r="40" spans="1:10">
      <c r="A40" s="78" t="s">
        <v>94</v>
      </c>
      <c r="B40" s="77">
        <v>42620</v>
      </c>
      <c r="C40" s="80" t="str">
        <f t="shared" si="0"/>
        <v>0907</v>
      </c>
      <c r="D40" s="79">
        <f t="shared" ca="1" si="4"/>
        <v>9</v>
      </c>
      <c r="E40" s="11">
        <v>0</v>
      </c>
      <c r="F40" s="67"/>
      <c r="G40" s="79" t="s">
        <v>20</v>
      </c>
      <c r="I40" s="11">
        <f t="shared" si="2"/>
        <v>0</v>
      </c>
      <c r="J40" s="7" t="str">
        <f t="shared" ca="1" si="3"/>
        <v/>
      </c>
    </row>
    <row r="41" spans="1:10">
      <c r="A41" s="78" t="s">
        <v>95</v>
      </c>
      <c r="B41" s="77">
        <v>42624</v>
      </c>
      <c r="C41" s="80" t="str">
        <f t="shared" si="0"/>
        <v>0911</v>
      </c>
      <c r="D41" s="79">
        <f t="shared" ca="1" si="4"/>
        <v>9</v>
      </c>
      <c r="E41" s="11">
        <v>5</v>
      </c>
      <c r="F41" s="67" t="s">
        <v>433</v>
      </c>
      <c r="G41" s="79" t="s">
        <v>20</v>
      </c>
      <c r="I41" s="11">
        <f t="shared" si="2"/>
        <v>5</v>
      </c>
      <c r="J41" s="7" t="str">
        <f t="shared" ca="1" si="3"/>
        <v/>
      </c>
    </row>
    <row r="42" spans="1:10">
      <c r="A42" s="78" t="s">
        <v>96</v>
      </c>
      <c r="B42" s="77">
        <v>37511</v>
      </c>
      <c r="C42" s="80" t="str">
        <f t="shared" si="0"/>
        <v>0912</v>
      </c>
      <c r="D42" s="79">
        <f t="shared" ca="1" si="4"/>
        <v>23</v>
      </c>
      <c r="E42" s="11">
        <v>5</v>
      </c>
      <c r="F42" s="67" t="s">
        <v>433</v>
      </c>
      <c r="G42" s="79" t="s">
        <v>20</v>
      </c>
      <c r="I42" s="11">
        <f t="shared" si="2"/>
        <v>5</v>
      </c>
      <c r="J42" s="7" t="str">
        <f t="shared" ca="1" si="3"/>
        <v/>
      </c>
    </row>
    <row r="43" spans="1:10">
      <c r="A43" s="78" t="s">
        <v>97</v>
      </c>
      <c r="B43" s="77">
        <v>21076</v>
      </c>
      <c r="C43" s="80" t="str">
        <f t="shared" si="0"/>
        <v>0913</v>
      </c>
      <c r="D43" s="79">
        <f t="shared" ca="1" si="4"/>
        <v>68</v>
      </c>
      <c r="E43" s="11">
        <v>50</v>
      </c>
      <c r="F43" s="67"/>
      <c r="G43" s="79" t="s">
        <v>20</v>
      </c>
      <c r="I43" s="11">
        <f t="shared" si="2"/>
        <v>50</v>
      </c>
      <c r="J43" s="7" t="str">
        <f t="shared" ca="1" si="3"/>
        <v/>
      </c>
    </row>
    <row r="44" spans="1:10">
      <c r="A44" s="78" t="s">
        <v>100</v>
      </c>
      <c r="B44" s="77">
        <v>19262</v>
      </c>
      <c r="C44" s="80" t="str">
        <f t="shared" si="0"/>
        <v>0925</v>
      </c>
      <c r="D44" s="79">
        <f t="shared" ca="1" si="4"/>
        <v>73</v>
      </c>
      <c r="E44" s="11" t="s">
        <v>431</v>
      </c>
      <c r="F44" s="67"/>
      <c r="G44" s="79" t="s">
        <v>20</v>
      </c>
      <c r="I44" s="11">
        <f t="shared" si="2"/>
        <v>0</v>
      </c>
      <c r="J44" s="7" t="str">
        <f t="shared" ca="1" si="3"/>
        <v/>
      </c>
    </row>
    <row r="45" spans="1:10">
      <c r="A45" s="78" t="s">
        <v>102</v>
      </c>
      <c r="B45" s="77">
        <v>35342</v>
      </c>
      <c r="C45" s="80" t="str">
        <f t="shared" si="0"/>
        <v>1004</v>
      </c>
      <c r="D45" s="79">
        <f t="shared" ca="1" si="4"/>
        <v>29</v>
      </c>
      <c r="E45" s="11" t="s">
        <v>431</v>
      </c>
      <c r="F45" s="67"/>
      <c r="G45" s="79" t="s">
        <v>20</v>
      </c>
      <c r="I45" s="11">
        <f t="shared" si="2"/>
        <v>0</v>
      </c>
      <c r="J45" s="7" t="str">
        <f ca="1">IF(TEXT(TODAY(),"YYYY")=RIGHT(A$1,4), IF(ISERROR(DATEDIF(TEXT(TODAY(),"dd/mm/yyyy"),TEXT(B45,"dd/mm/")&amp;RIGHT(A$1,4),"d")),IF(G45="Y","DONE","MISSED"), IF(DATEDIF(TEXT(TODAY(),"dd/mm/yyyy"),TEXT(B45,"dd/mm/")&amp;RIGHT(A$1,4),"d") = 0,"TODAY!!!", IF(DATEDIF(TEXT(TODAY(),"dd/mm/yyyy"),TEXT(B45,"dd/mm/")&amp;RIGHT(A$1,4),"d") &gt; 0, DATEDIF(TEXT(TODAY(),"dd/mm/yyyy"), TEXT(B45,"dd/mm/")&amp;RIGHT(A$1,4),"d")&amp;" Days to go!",""))),"")</f>
        <v/>
      </c>
    </row>
    <row r="46" spans="1:10">
      <c r="A46" s="78" t="s">
        <v>105</v>
      </c>
      <c r="B46" s="77">
        <v>42654</v>
      </c>
      <c r="C46" s="80" t="str">
        <f t="shared" si="0"/>
        <v>1011</v>
      </c>
      <c r="D46" s="79">
        <f ca="1">DATEDIF(B46,NOW(),"y")</f>
        <v>9</v>
      </c>
      <c r="E46" s="11">
        <v>10</v>
      </c>
      <c r="F46" s="11"/>
      <c r="G46" s="79" t="s">
        <v>20</v>
      </c>
      <c r="H46">
        <v>10</v>
      </c>
      <c r="I46" s="11">
        <f t="shared" si="2"/>
        <v>0</v>
      </c>
      <c r="J46" s="7" t="str">
        <f t="shared" ca="1" si="3"/>
        <v/>
      </c>
    </row>
    <row r="47" spans="1:10">
      <c r="A47" s="78" t="s">
        <v>108</v>
      </c>
      <c r="B47" s="77">
        <v>22573</v>
      </c>
      <c r="C47" s="80" t="str">
        <f t="shared" si="0"/>
        <v>1019</v>
      </c>
      <c r="D47" s="79">
        <f t="shared" ca="1" si="4"/>
        <v>64</v>
      </c>
      <c r="E47" s="11">
        <v>10</v>
      </c>
      <c r="F47" s="67"/>
      <c r="G47" s="79" t="s">
        <v>20</v>
      </c>
      <c r="H47">
        <v>4</v>
      </c>
      <c r="I47" s="11">
        <f t="shared" si="2"/>
        <v>6</v>
      </c>
      <c r="J47" s="7" t="str">
        <f t="shared" ca="1" si="3"/>
        <v/>
      </c>
    </row>
    <row r="48" spans="1:10">
      <c r="A48" s="78" t="s">
        <v>429</v>
      </c>
      <c r="B48" s="77">
        <v>11252</v>
      </c>
      <c r="C48" s="80" t="str">
        <f t="shared" si="0"/>
        <v>1021</v>
      </c>
      <c r="D48" s="79">
        <f t="shared" ca="1" si="4"/>
        <v>95</v>
      </c>
      <c r="E48" s="11">
        <v>20</v>
      </c>
      <c r="F48" s="67"/>
      <c r="G48" s="79" t="s">
        <v>20</v>
      </c>
      <c r="H48">
        <v>16.989999999999998</v>
      </c>
      <c r="I48" s="11">
        <f t="shared" si="2"/>
        <v>3.0100000000000016</v>
      </c>
      <c r="J48" s="7" t="str">
        <f t="shared" ca="1" si="3"/>
        <v/>
      </c>
    </row>
    <row r="49" spans="1:10">
      <c r="A49" s="78" t="s">
        <v>110</v>
      </c>
      <c r="B49" s="77">
        <v>33172</v>
      </c>
      <c r="C49" s="80" t="str">
        <f t="shared" si="0"/>
        <v>1026</v>
      </c>
      <c r="D49" s="79">
        <f t="shared" ca="1" si="4"/>
        <v>35</v>
      </c>
      <c r="E49" s="11" t="s">
        <v>431</v>
      </c>
      <c r="F49" s="67"/>
      <c r="I49" s="11">
        <f t="shared" si="2"/>
        <v>0</v>
      </c>
      <c r="J49" s="7" t="str">
        <f t="shared" ca="1" si="3"/>
        <v/>
      </c>
    </row>
    <row r="50" spans="1:10">
      <c r="A50" s="78" t="s">
        <v>112</v>
      </c>
      <c r="B50" s="77">
        <v>34280</v>
      </c>
      <c r="C50" s="80" t="str">
        <f t="shared" si="0"/>
        <v>1107</v>
      </c>
      <c r="D50" s="79">
        <f t="shared" ca="1" si="4"/>
        <v>32</v>
      </c>
      <c r="E50" s="11" t="s">
        <v>431</v>
      </c>
      <c r="F50" s="67"/>
      <c r="G50" s="79" t="s">
        <v>20</v>
      </c>
      <c r="I50" s="11">
        <f t="shared" si="2"/>
        <v>0</v>
      </c>
      <c r="J50" s="7" t="str">
        <f t="shared" ca="1" si="3"/>
        <v/>
      </c>
    </row>
    <row r="51" spans="1:10">
      <c r="A51" s="78" t="s">
        <v>116</v>
      </c>
      <c r="B51" s="77">
        <v>42684</v>
      </c>
      <c r="C51" s="80" t="str">
        <f t="shared" si="0"/>
        <v>1110</v>
      </c>
      <c r="D51" s="79">
        <f t="shared" ca="1" si="4"/>
        <v>9</v>
      </c>
      <c r="E51" s="11" t="s">
        <v>431</v>
      </c>
      <c r="F51" s="67"/>
      <c r="I51" s="11">
        <f t="shared" si="2"/>
        <v>0</v>
      </c>
      <c r="J51" s="7" t="str">
        <f t="shared" ca="1" si="3"/>
        <v/>
      </c>
    </row>
    <row r="52" spans="1:10">
      <c r="A52" s="78" t="s">
        <v>117</v>
      </c>
      <c r="B52" s="77">
        <v>42696</v>
      </c>
      <c r="C52" s="80" t="str">
        <f t="shared" si="0"/>
        <v>1122</v>
      </c>
      <c r="D52" s="79">
        <f t="shared" ca="1" si="4"/>
        <v>9</v>
      </c>
      <c r="E52" s="11">
        <v>5</v>
      </c>
      <c r="F52" s="67" t="s">
        <v>433</v>
      </c>
      <c r="G52" s="79" t="s">
        <v>20</v>
      </c>
      <c r="I52" s="11">
        <f t="shared" si="2"/>
        <v>5</v>
      </c>
      <c r="J52" s="7" t="str">
        <f t="shared" ca="1" si="3"/>
        <v/>
      </c>
    </row>
    <row r="53" spans="1:10">
      <c r="A53" s="78" t="s">
        <v>123</v>
      </c>
      <c r="B53" s="77">
        <v>33221</v>
      </c>
      <c r="C53" s="80" t="str">
        <f t="shared" si="0"/>
        <v>1214</v>
      </c>
      <c r="D53" s="79">
        <f t="shared" ca="1" si="4"/>
        <v>35</v>
      </c>
      <c r="E53" s="11" t="s">
        <v>431</v>
      </c>
      <c r="F53" s="67"/>
      <c r="I53" s="11">
        <f t="shared" si="2"/>
        <v>0</v>
      </c>
      <c r="J53" s="7" t="str">
        <f t="shared" ca="1" si="3"/>
        <v/>
      </c>
    </row>
    <row r="54" spans="1:10">
      <c r="A54" s="78" t="s">
        <v>119</v>
      </c>
      <c r="B54" s="77">
        <v>34317</v>
      </c>
      <c r="C54" s="80" t="str">
        <f t="shared" si="0"/>
        <v>1214</v>
      </c>
      <c r="D54" s="79">
        <f t="shared" ca="1" si="4"/>
        <v>32</v>
      </c>
      <c r="E54" s="11">
        <v>15</v>
      </c>
      <c r="F54" s="67" t="s">
        <v>461</v>
      </c>
      <c r="G54" s="79" t="s">
        <v>20</v>
      </c>
      <c r="H54">
        <v>12</v>
      </c>
      <c r="I54" s="11">
        <f t="shared" si="2"/>
        <v>3</v>
      </c>
      <c r="J54" s="7" t="str">
        <f t="shared" ca="1" si="3"/>
        <v/>
      </c>
    </row>
    <row r="55" spans="1:10">
      <c r="A55" s="78" t="s">
        <v>60</v>
      </c>
      <c r="B55" s="77">
        <v>42720</v>
      </c>
      <c r="C55" s="80" t="str">
        <f t="shared" si="0"/>
        <v>1216</v>
      </c>
      <c r="D55" s="79">
        <f t="shared" ca="1" si="4"/>
        <v>9</v>
      </c>
      <c r="E55" s="11" t="s">
        <v>431</v>
      </c>
      <c r="F55" s="67"/>
      <c r="I55" s="11">
        <f t="shared" si="2"/>
        <v>0</v>
      </c>
      <c r="J55" s="7" t="str">
        <f t="shared" ca="1" si="3"/>
        <v/>
      </c>
    </row>
    <row r="56" spans="1:10">
      <c r="A56" s="78" t="s">
        <v>125</v>
      </c>
      <c r="B56" s="77">
        <v>34327</v>
      </c>
      <c r="C56" s="80"/>
      <c r="D56" s="79">
        <f t="shared" ca="1" si="4"/>
        <v>32</v>
      </c>
      <c r="E56" s="11">
        <v>150</v>
      </c>
      <c r="F56" s="67" t="s">
        <v>462</v>
      </c>
      <c r="G56" s="79" t="s">
        <v>20</v>
      </c>
      <c r="H56">
        <f>81+35+18.11</f>
        <v>134.11000000000001</v>
      </c>
      <c r="I56" s="11">
        <f t="shared" si="2"/>
        <v>15.889999999999986</v>
      </c>
    </row>
    <row r="57" spans="1:10">
      <c r="A57" s="78" t="s">
        <v>126</v>
      </c>
      <c r="B57" s="77">
        <v>32138</v>
      </c>
      <c r="C57" s="80" t="str">
        <f t="shared" si="0"/>
        <v>1227</v>
      </c>
      <c r="D57" s="79">
        <f t="shared" ca="1" si="4"/>
        <v>38</v>
      </c>
      <c r="E57" s="11" t="s">
        <v>431</v>
      </c>
      <c r="F57" s="67"/>
      <c r="I57" s="11">
        <f t="shared" si="2"/>
        <v>0</v>
      </c>
      <c r="J57" s="7" t="str">
        <f t="shared" ca="1" si="3"/>
        <v/>
      </c>
    </row>
    <row r="58" spans="1:10">
      <c r="A58" s="78" t="s">
        <v>127</v>
      </c>
      <c r="B58" s="77">
        <v>23740</v>
      </c>
      <c r="C58" s="80" t="str">
        <f t="shared" si="0"/>
        <v>1229</v>
      </c>
      <c r="D58" s="79">
        <f t="shared" ca="1" si="4"/>
        <v>61</v>
      </c>
      <c r="E58" s="11">
        <v>10</v>
      </c>
      <c r="F58" s="67"/>
      <c r="G58" s="79" t="s">
        <v>20</v>
      </c>
      <c r="H58">
        <v>10</v>
      </c>
      <c r="I58" s="11">
        <f t="shared" si="2"/>
        <v>0</v>
      </c>
      <c r="J58" s="7" t="str">
        <f t="shared" ca="1" si="3"/>
        <v/>
      </c>
    </row>
    <row r="60" spans="1:10">
      <c r="A60" s="62" t="str">
        <f>"Total gifts: "&amp;COUNTIF(E3:E58,"&lt;&gt;/")</f>
        <v>Total gifts: 40</v>
      </c>
      <c r="B60" s="62"/>
      <c r="C60" s="62"/>
      <c r="D60" s="60"/>
      <c r="E60" s="63">
        <f>SUMIF(E3:E58,"&gt;0")</f>
        <v>575</v>
      </c>
      <c r="F60" s="63"/>
      <c r="G60" s="61"/>
      <c r="H60" s="63">
        <f>SUM(H3:H54)</f>
        <v>42.989999999999995</v>
      </c>
      <c r="I60" s="63">
        <f>SUM(I3:I54)</f>
        <v>372.01</v>
      </c>
    </row>
    <row r="61" spans="1:10">
      <c r="A61" s="62" t="str">
        <f>"Total cards: "&amp;COUNTA(A3:A58)</f>
        <v>Total cards: 56</v>
      </c>
    </row>
  </sheetData>
  <conditionalFormatting sqref="A1:XFD1048576">
    <cfRule type="cellIs" dxfId="356" priority="1" operator="equal">
      <formula>"DONE"</formula>
    </cfRule>
    <cfRule type="cellIs" dxfId="355" priority="2" operator="equal">
      <formula>"MISSED"</formula>
    </cfRule>
  </conditionalFormatting>
  <conditionalFormatting sqref="G2:G58">
    <cfRule type="cellIs" dxfId="354" priority="13" operator="equal">
      <formula>"Y"</formula>
    </cfRule>
    <cfRule type="cellIs" dxfId="353" priority="14" operator="notEqual">
      <formula>"Y"</formula>
    </cfRule>
  </conditionalFormatting>
  <conditionalFormatting sqref="J1:J1048576">
    <cfRule type="containsText" dxfId="352" priority="4" operator="containsText" text="WEEK">
      <formula>NOT(ISERROR(SEARCH("WEEK",J1)))</formula>
    </cfRule>
    <cfRule type="containsText" dxfId="351" priority="5" operator="containsText" text="to go">
      <formula>NOT(ISERROR(SEARCH("to go",J1)))</formula>
    </cfRule>
    <cfRule type="cellIs" dxfId="350" priority="6" operator="equal">
      <formula>"TODAY!!!"</formula>
    </cfRule>
  </conditionalFormatting>
  <conditionalFormatting sqref="J3:J58">
    <cfRule type="cellIs" dxfId="349" priority="3" operator="equal">
      <formula>"DONE"</formula>
    </cfRule>
  </conditionalFormatting>
  <pageMargins left="0.7" right="0.7" top="0.75" bottom="0.75" header="0.3" footer="0.3"/>
  <pageSetup paperSize="9" scale="67"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B6FD8-B4B3-9147-B0CF-0BAD28EEACB2}">
  <sheetPr codeName="Sheet28"/>
  <dimension ref="A1:J68"/>
  <sheetViews>
    <sheetView workbookViewId="0"/>
  </sheetViews>
  <sheetFormatPr defaultColWidth="11.33203125" defaultRowHeight="14.4"/>
  <cols>
    <col min="1" max="1" width="27.33203125" customWidth="1"/>
    <col min="2" max="2" width="11.33203125" style="79"/>
    <col min="4" max="4" width="17.44140625" customWidth="1"/>
    <col min="5" max="5" width="12.109375" customWidth="1"/>
    <col min="6" max="6" width="42.109375" style="66" customWidth="1"/>
    <col min="7" max="7" width="14" style="7" customWidth="1"/>
    <col min="11" max="11" width="14.44140625" customWidth="1"/>
  </cols>
  <sheetData>
    <row r="1" spans="1:10" ht="15" thickBot="1">
      <c r="A1" s="119" t="s">
        <v>463</v>
      </c>
      <c r="B1" s="120" t="s">
        <v>8</v>
      </c>
      <c r="D1" s="121" t="s">
        <v>464</v>
      </c>
      <c r="E1" s="122" t="s">
        <v>6</v>
      </c>
      <c r="F1" s="123" t="s">
        <v>7</v>
      </c>
      <c r="G1" s="123" t="s">
        <v>8</v>
      </c>
      <c r="H1" s="122" t="s">
        <v>9</v>
      </c>
      <c r="I1" s="124" t="s">
        <v>10</v>
      </c>
    </row>
    <row r="2" spans="1:10" ht="15" customHeight="1">
      <c r="A2" s="81" t="s">
        <v>125</v>
      </c>
      <c r="B2" s="82"/>
      <c r="D2" s="83" t="s">
        <v>125</v>
      </c>
      <c r="E2" s="89">
        <v>0</v>
      </c>
      <c r="F2" s="90"/>
      <c r="G2" s="7" t="s">
        <v>432</v>
      </c>
      <c r="H2" s="91"/>
      <c r="I2" s="85"/>
    </row>
    <row r="3" spans="1:10" ht="15" customHeight="1">
      <c r="A3" s="83" t="s">
        <v>465</v>
      </c>
      <c r="B3" s="112"/>
      <c r="D3" s="83" t="s">
        <v>97</v>
      </c>
      <c r="E3" s="11">
        <v>50</v>
      </c>
      <c r="G3" s="7" t="s">
        <v>432</v>
      </c>
      <c r="H3" s="11"/>
      <c r="I3" s="85"/>
      <c r="J3" t="s">
        <v>97</v>
      </c>
    </row>
    <row r="4" spans="1:10">
      <c r="A4" s="83" t="s">
        <v>466</v>
      </c>
      <c r="B4" s="112"/>
      <c r="C4" t="s">
        <v>467</v>
      </c>
      <c r="D4" s="83" t="s">
        <v>54</v>
      </c>
      <c r="E4" s="11">
        <v>50</v>
      </c>
      <c r="H4" s="11"/>
      <c r="I4" s="85"/>
      <c r="J4" t="s">
        <v>54</v>
      </c>
    </row>
    <row r="5" spans="1:10">
      <c r="A5" s="83" t="s">
        <v>468</v>
      </c>
      <c r="B5" s="112"/>
      <c r="C5" t="s">
        <v>467</v>
      </c>
      <c r="D5" s="83" t="s">
        <v>466</v>
      </c>
      <c r="E5" s="11">
        <v>20</v>
      </c>
      <c r="H5" s="11"/>
      <c r="I5" s="85"/>
      <c r="J5" t="s">
        <v>469</v>
      </c>
    </row>
    <row r="6" spans="1:10">
      <c r="A6" s="83" t="s">
        <v>470</v>
      </c>
      <c r="B6" s="112"/>
      <c r="D6" s="83" t="s">
        <v>471</v>
      </c>
      <c r="E6" s="11">
        <v>20</v>
      </c>
      <c r="G6" s="7" t="s">
        <v>20</v>
      </c>
      <c r="H6" s="11"/>
      <c r="I6" s="85"/>
    </row>
    <row r="7" spans="1:10">
      <c r="A7" s="83" t="s">
        <v>472</v>
      </c>
      <c r="B7" s="112"/>
      <c r="C7" t="s">
        <v>467</v>
      </c>
      <c r="D7" s="83" t="s">
        <v>112</v>
      </c>
      <c r="E7" s="11">
        <v>10</v>
      </c>
      <c r="G7" s="7" t="s">
        <v>20</v>
      </c>
      <c r="H7" s="11"/>
      <c r="I7" s="85"/>
    </row>
    <row r="8" spans="1:10">
      <c r="A8" s="83" t="s">
        <v>473</v>
      </c>
      <c r="B8" s="112"/>
      <c r="D8" s="83" t="s">
        <v>48</v>
      </c>
      <c r="E8" s="11" t="s">
        <v>431</v>
      </c>
      <c r="H8" s="11"/>
      <c r="I8" s="85"/>
    </row>
    <row r="9" spans="1:10">
      <c r="A9" s="83" t="s">
        <v>474</v>
      </c>
      <c r="B9" s="112"/>
      <c r="C9" t="s">
        <v>467</v>
      </c>
      <c r="D9" s="83" t="s">
        <v>475</v>
      </c>
      <c r="E9" s="11">
        <v>20</v>
      </c>
      <c r="H9" s="11"/>
      <c r="I9" s="85"/>
      <c r="J9" t="s">
        <v>476</v>
      </c>
    </row>
    <row r="10" spans="1:10">
      <c r="A10" s="83" t="s">
        <v>477</v>
      </c>
      <c r="B10" s="112"/>
      <c r="D10" s="83" t="s">
        <v>91</v>
      </c>
      <c r="E10" s="11" t="s">
        <v>431</v>
      </c>
      <c r="H10" s="11"/>
      <c r="I10" s="85"/>
    </row>
    <row r="11" spans="1:10">
      <c r="A11" s="83" t="s">
        <v>478</v>
      </c>
      <c r="B11" s="112"/>
      <c r="C11" t="s">
        <v>467</v>
      </c>
      <c r="D11" s="83" t="s">
        <v>479</v>
      </c>
      <c r="E11" s="11">
        <v>20</v>
      </c>
      <c r="G11" s="7" t="s">
        <v>20</v>
      </c>
      <c r="H11" s="11"/>
      <c r="I11" s="85"/>
    </row>
    <row r="12" spans="1:10">
      <c r="A12" s="83" t="s">
        <v>480</v>
      </c>
      <c r="B12" s="112"/>
      <c r="D12" s="83" t="s">
        <v>126</v>
      </c>
      <c r="E12" s="11" t="s">
        <v>431</v>
      </c>
      <c r="H12" s="11"/>
      <c r="I12" s="85"/>
    </row>
    <row r="13" spans="1:10">
      <c r="A13" s="83" t="s">
        <v>123</v>
      </c>
      <c r="B13" s="112"/>
      <c r="D13" s="83" t="s">
        <v>110</v>
      </c>
      <c r="E13" s="11" t="s">
        <v>431</v>
      </c>
      <c r="H13" s="11"/>
      <c r="I13" s="85"/>
    </row>
    <row r="14" spans="1:10">
      <c r="A14" s="83" t="s">
        <v>481</v>
      </c>
      <c r="B14" s="112"/>
      <c r="C14" t="s">
        <v>467</v>
      </c>
      <c r="D14" s="83" t="s">
        <v>35</v>
      </c>
      <c r="E14" s="11">
        <v>10</v>
      </c>
      <c r="G14" s="7" t="s">
        <v>20</v>
      </c>
      <c r="H14" s="11"/>
      <c r="I14" s="85"/>
    </row>
    <row r="15" spans="1:10">
      <c r="A15" s="83" t="s">
        <v>482</v>
      </c>
      <c r="B15" s="112"/>
      <c r="C15" t="s">
        <v>467</v>
      </c>
      <c r="D15" s="83" t="s">
        <v>117</v>
      </c>
      <c r="E15" s="11">
        <v>3</v>
      </c>
      <c r="G15" s="7" t="s">
        <v>20</v>
      </c>
      <c r="H15" s="11"/>
      <c r="I15" s="85"/>
    </row>
    <row r="16" spans="1:10">
      <c r="A16" s="83" t="s">
        <v>483</v>
      </c>
      <c r="B16" s="112"/>
      <c r="C16" t="s">
        <v>467</v>
      </c>
      <c r="D16" s="83" t="s">
        <v>96</v>
      </c>
      <c r="E16" s="11">
        <v>3</v>
      </c>
      <c r="G16" s="7" t="s">
        <v>20</v>
      </c>
      <c r="H16" s="11"/>
      <c r="I16" s="85"/>
    </row>
    <row r="17" spans="1:10">
      <c r="A17" s="83" t="s">
        <v>484</v>
      </c>
      <c r="B17" s="112"/>
      <c r="C17" t="s">
        <v>467</v>
      </c>
      <c r="D17" s="83" t="s">
        <v>485</v>
      </c>
      <c r="E17" s="11">
        <v>10</v>
      </c>
      <c r="H17" s="11"/>
      <c r="I17" s="85"/>
      <c r="J17" t="s">
        <v>143</v>
      </c>
    </row>
    <row r="18" spans="1:10">
      <c r="A18" s="83" t="s">
        <v>486</v>
      </c>
      <c r="B18" s="112"/>
      <c r="C18" t="s">
        <v>467</v>
      </c>
      <c r="D18" s="83" t="s">
        <v>22</v>
      </c>
      <c r="E18" s="11">
        <v>5</v>
      </c>
      <c r="H18" s="11"/>
      <c r="I18" s="85"/>
      <c r="J18" t="s">
        <v>143</v>
      </c>
    </row>
    <row r="19" spans="1:10">
      <c r="A19" s="83"/>
      <c r="B19" s="112"/>
      <c r="D19" s="83" t="s">
        <v>123</v>
      </c>
      <c r="E19" s="11">
        <v>5</v>
      </c>
      <c r="H19" s="11"/>
      <c r="I19" s="85"/>
      <c r="J19" t="s">
        <v>143</v>
      </c>
    </row>
    <row r="20" spans="1:10">
      <c r="A20" s="83" t="s">
        <v>487</v>
      </c>
      <c r="B20" s="112"/>
      <c r="D20" s="83" t="s">
        <v>488</v>
      </c>
      <c r="E20" s="11">
        <v>10</v>
      </c>
      <c r="G20" s="7" t="s">
        <v>432</v>
      </c>
      <c r="H20" s="11"/>
      <c r="I20" s="85"/>
    </row>
    <row r="21" spans="1:10">
      <c r="A21" s="83" t="s">
        <v>489</v>
      </c>
      <c r="B21" s="112"/>
      <c r="D21" s="83" t="s">
        <v>88</v>
      </c>
      <c r="E21" s="11">
        <v>3</v>
      </c>
      <c r="G21" s="7" t="s">
        <v>20</v>
      </c>
      <c r="H21" s="11"/>
      <c r="I21" s="85"/>
    </row>
    <row r="22" spans="1:10">
      <c r="A22" s="83" t="s">
        <v>490</v>
      </c>
      <c r="B22" s="112"/>
      <c r="D22" s="83" t="s">
        <v>491</v>
      </c>
      <c r="E22" s="11">
        <v>20</v>
      </c>
      <c r="H22" s="11"/>
      <c r="I22" s="85"/>
      <c r="J22" t="s">
        <v>492</v>
      </c>
    </row>
    <row r="23" spans="1:10">
      <c r="A23" s="83" t="s">
        <v>493</v>
      </c>
      <c r="B23" s="112"/>
      <c r="D23" s="83" t="s">
        <v>40</v>
      </c>
      <c r="E23" s="11">
        <v>3</v>
      </c>
      <c r="G23" s="7" t="s">
        <v>20</v>
      </c>
      <c r="H23" s="11"/>
      <c r="I23" s="85"/>
    </row>
    <row r="24" spans="1:10" ht="15" thickBot="1">
      <c r="A24" s="84" t="s">
        <v>494</v>
      </c>
      <c r="B24" s="113"/>
      <c r="D24" s="83" t="s">
        <v>44</v>
      </c>
      <c r="E24" s="11">
        <v>3</v>
      </c>
      <c r="G24" s="7" t="s">
        <v>20</v>
      </c>
      <c r="H24" s="11"/>
      <c r="I24" s="85"/>
    </row>
    <row r="25" spans="1:10">
      <c r="A25" s="79" t="s">
        <v>161</v>
      </c>
      <c r="D25" s="83" t="s">
        <v>92</v>
      </c>
      <c r="E25" s="11">
        <v>3</v>
      </c>
      <c r="G25" s="7" t="s">
        <v>20</v>
      </c>
      <c r="H25" s="11"/>
      <c r="I25" s="85"/>
    </row>
    <row r="26" spans="1:10">
      <c r="A26" s="79" t="s">
        <v>495</v>
      </c>
      <c r="D26" s="83" t="s">
        <v>496</v>
      </c>
      <c r="E26" s="11">
        <v>20</v>
      </c>
      <c r="G26" s="7" t="s">
        <v>432</v>
      </c>
      <c r="H26" s="11"/>
      <c r="I26" s="85"/>
    </row>
    <row r="27" spans="1:10">
      <c r="A27" s="79" t="s">
        <v>497</v>
      </c>
      <c r="D27" s="83"/>
      <c r="E27" s="11"/>
      <c r="H27" s="11"/>
      <c r="I27" s="85"/>
    </row>
    <row r="28" spans="1:10">
      <c r="A28" s="79" t="s">
        <v>498</v>
      </c>
      <c r="D28" s="83"/>
      <c r="E28" s="11"/>
      <c r="H28" s="11"/>
      <c r="I28" s="85"/>
    </row>
    <row r="29" spans="1:10">
      <c r="A29" s="79" t="s">
        <v>499</v>
      </c>
      <c r="D29" s="83"/>
      <c r="E29" s="11"/>
      <c r="H29" s="11"/>
      <c r="I29" s="85"/>
    </row>
    <row r="30" spans="1:10">
      <c r="A30" s="79" t="s">
        <v>28</v>
      </c>
      <c r="D30" s="83"/>
      <c r="E30" s="11"/>
      <c r="H30" s="11"/>
      <c r="I30" s="85"/>
    </row>
    <row r="31" spans="1:10">
      <c r="A31" s="79"/>
      <c r="D31" s="83" t="s">
        <v>65</v>
      </c>
      <c r="E31" s="11">
        <v>3</v>
      </c>
      <c r="G31" s="7" t="s">
        <v>20</v>
      </c>
      <c r="H31" s="11"/>
      <c r="I31" s="85"/>
    </row>
    <row r="32" spans="1:10" ht="15" thickBot="1">
      <c r="A32" s="86" t="str">
        <f>"Total cards: " &amp; COUNTIF(A2:A27,"&lt;&gt;""")</f>
        <v>Total cards: 26</v>
      </c>
      <c r="B32" s="86" t="str">
        <f>"Done: " &amp; COUNTIF(B2:B27,"=Y")&amp;" / " &amp;COUNTIF(B2:B27,"&lt;&gt;""")</f>
        <v>Done: 0 / 26</v>
      </c>
      <c r="D32" s="83" t="s">
        <v>91</v>
      </c>
      <c r="E32" s="11">
        <v>3</v>
      </c>
      <c r="G32" s="7" t="s">
        <v>20</v>
      </c>
      <c r="H32" s="11"/>
      <c r="I32" s="85"/>
    </row>
    <row r="33" spans="1:10">
      <c r="A33" s="79"/>
      <c r="D33" s="83" t="s">
        <v>500</v>
      </c>
      <c r="E33" s="11">
        <v>20</v>
      </c>
      <c r="G33" s="7" t="s">
        <v>432</v>
      </c>
      <c r="H33" s="11"/>
      <c r="I33" s="85"/>
      <c r="J33" t="s">
        <v>501</v>
      </c>
    </row>
    <row r="34" spans="1:10">
      <c r="A34" s="79"/>
      <c r="D34" s="83" t="s">
        <v>95</v>
      </c>
      <c r="E34" s="11">
        <v>3</v>
      </c>
      <c r="G34" s="7" t="s">
        <v>20</v>
      </c>
      <c r="H34" s="11"/>
      <c r="I34" s="85"/>
    </row>
    <row r="35" spans="1:10">
      <c r="A35" s="79"/>
      <c r="D35" s="83" t="s">
        <v>18</v>
      </c>
      <c r="E35" s="11">
        <v>3</v>
      </c>
      <c r="G35" s="7" t="s">
        <v>20</v>
      </c>
      <c r="H35" s="11"/>
      <c r="I35" s="85"/>
    </row>
    <row r="36" spans="1:10">
      <c r="A36" s="79"/>
      <c r="D36" s="83" t="s">
        <v>36</v>
      </c>
      <c r="E36" s="11">
        <v>3</v>
      </c>
      <c r="G36" s="7" t="s">
        <v>20</v>
      </c>
      <c r="H36" s="11"/>
      <c r="I36" s="85"/>
    </row>
    <row r="37" spans="1:10">
      <c r="A37" s="79"/>
      <c r="D37" s="83" t="s">
        <v>60</v>
      </c>
      <c r="E37" s="11">
        <v>10</v>
      </c>
      <c r="G37" s="7" t="s">
        <v>20</v>
      </c>
      <c r="H37" s="11"/>
      <c r="I37" s="85"/>
    </row>
    <row r="38" spans="1:10">
      <c r="A38" s="79"/>
      <c r="D38" s="83" t="s">
        <v>102</v>
      </c>
      <c r="E38" s="11" t="s">
        <v>431</v>
      </c>
      <c r="H38" s="11"/>
      <c r="I38" s="85"/>
    </row>
    <row r="39" spans="1:10">
      <c r="A39" s="79"/>
      <c r="D39" s="83" t="s">
        <v>87</v>
      </c>
      <c r="E39" s="11" t="s">
        <v>431</v>
      </c>
      <c r="H39" s="11"/>
      <c r="I39" s="85"/>
    </row>
    <row r="40" spans="1:10">
      <c r="A40" s="79"/>
      <c r="D40" s="83" t="s">
        <v>459</v>
      </c>
      <c r="E40" s="11">
        <v>0</v>
      </c>
      <c r="H40" s="11"/>
      <c r="I40" s="85"/>
    </row>
    <row r="41" spans="1:10">
      <c r="A41" s="79"/>
      <c r="D41" s="83" t="s">
        <v>94</v>
      </c>
      <c r="E41" s="11">
        <v>0</v>
      </c>
      <c r="H41" s="11"/>
      <c r="I41" s="85"/>
    </row>
    <row r="42" spans="1:10">
      <c r="A42" s="79"/>
      <c r="D42" s="83" t="s">
        <v>64</v>
      </c>
      <c r="E42" s="11" t="s">
        <v>431</v>
      </c>
      <c r="H42" s="11"/>
      <c r="I42" s="85"/>
    </row>
    <row r="43" spans="1:10">
      <c r="A43" s="79"/>
      <c r="D43" s="83" t="s">
        <v>100</v>
      </c>
      <c r="E43" s="11" t="s">
        <v>431</v>
      </c>
      <c r="H43" s="11"/>
      <c r="I43" s="85"/>
    </row>
    <row r="44" spans="1:10">
      <c r="A44" s="79"/>
      <c r="D44" s="83" t="s">
        <v>116</v>
      </c>
      <c r="E44" s="11" t="s">
        <v>431</v>
      </c>
      <c r="H44" s="11"/>
      <c r="I44" s="85"/>
    </row>
    <row r="45" spans="1:10">
      <c r="A45" s="79"/>
      <c r="D45" s="83" t="s">
        <v>23</v>
      </c>
      <c r="E45" s="11" t="s">
        <v>431</v>
      </c>
      <c r="H45" s="11"/>
      <c r="I45" s="85"/>
    </row>
    <row r="46" spans="1:10">
      <c r="A46" s="79"/>
      <c r="D46" s="83" t="s">
        <v>106</v>
      </c>
      <c r="E46" s="11">
        <v>10</v>
      </c>
      <c r="G46" s="7" t="s">
        <v>432</v>
      </c>
      <c r="H46" s="11"/>
      <c r="I46" s="85"/>
      <c r="J46" t="s">
        <v>502</v>
      </c>
    </row>
    <row r="47" spans="1:10">
      <c r="A47" s="79"/>
      <c r="D47" s="83" t="s">
        <v>78</v>
      </c>
      <c r="E47" s="11">
        <v>10</v>
      </c>
      <c r="H47" s="11"/>
      <c r="I47" s="85"/>
    </row>
    <row r="48" spans="1:10">
      <c r="D48" s="83" t="s">
        <v>77</v>
      </c>
      <c r="E48" s="11">
        <v>10</v>
      </c>
      <c r="H48" s="11"/>
      <c r="I48" s="85"/>
    </row>
    <row r="49" spans="4:10">
      <c r="D49" s="83" t="s">
        <v>119</v>
      </c>
      <c r="E49" s="11">
        <v>15</v>
      </c>
      <c r="H49" s="11"/>
      <c r="I49" s="85"/>
      <c r="J49" t="s">
        <v>502</v>
      </c>
    </row>
    <row r="50" spans="4:10">
      <c r="D50" s="83" t="s">
        <v>34</v>
      </c>
      <c r="E50" s="11">
        <v>15</v>
      </c>
      <c r="F50" s="102"/>
      <c r="G50" s="7" t="s">
        <v>20</v>
      </c>
      <c r="H50" s="11"/>
      <c r="I50" s="85"/>
    </row>
    <row r="51" spans="4:10">
      <c r="D51" s="83" t="s">
        <v>80</v>
      </c>
      <c r="E51" s="11">
        <v>10</v>
      </c>
      <c r="F51" s="102"/>
      <c r="G51" s="7" t="s">
        <v>432</v>
      </c>
      <c r="H51" s="11"/>
      <c r="I51" s="85"/>
    </row>
    <row r="52" spans="4:10">
      <c r="D52" s="83" t="s">
        <v>107</v>
      </c>
      <c r="E52" s="11">
        <v>10</v>
      </c>
      <c r="F52" s="102"/>
      <c r="G52" s="7" t="s">
        <v>20</v>
      </c>
      <c r="H52" s="11"/>
      <c r="I52" s="85"/>
    </row>
    <row r="53" spans="4:10">
      <c r="D53" s="83" t="s">
        <v>503</v>
      </c>
      <c r="E53" s="11">
        <v>10</v>
      </c>
      <c r="F53" s="102"/>
      <c r="G53" s="7" t="s">
        <v>432</v>
      </c>
      <c r="H53" s="11"/>
      <c r="I53" s="85"/>
    </row>
    <row r="54" spans="4:10">
      <c r="D54" s="83" t="s">
        <v>504</v>
      </c>
      <c r="E54" s="11">
        <v>5</v>
      </c>
      <c r="F54" s="102"/>
      <c r="G54" s="7" t="s">
        <v>20</v>
      </c>
      <c r="H54" s="11"/>
      <c r="I54" s="85"/>
    </row>
    <row r="55" spans="4:10">
      <c r="D55" s="83" t="s">
        <v>493</v>
      </c>
      <c r="E55" s="11">
        <v>50</v>
      </c>
      <c r="F55" s="102"/>
      <c r="G55" s="7" t="s">
        <v>20</v>
      </c>
      <c r="H55" s="11"/>
      <c r="I55" s="85"/>
    </row>
    <row r="56" spans="4:10">
      <c r="D56" s="83" t="s">
        <v>28</v>
      </c>
      <c r="E56" s="11">
        <v>10</v>
      </c>
      <c r="G56" s="7" t="s">
        <v>20</v>
      </c>
      <c r="H56" s="11"/>
      <c r="I56" s="85"/>
    </row>
    <row r="57" spans="4:10">
      <c r="D57" s="83"/>
      <c r="E57" s="11"/>
      <c r="H57" s="11"/>
      <c r="I57" s="85"/>
    </row>
    <row r="58" spans="4:10">
      <c r="D58" s="83"/>
      <c r="E58" s="11"/>
      <c r="H58" s="11"/>
      <c r="I58" s="85"/>
    </row>
    <row r="59" spans="4:10" ht="15" thickBot="1">
      <c r="D59" s="86" t="str">
        <f>"Total people: " &amp; COUNTIF(E2:E56,"&lt;&gt;/")</f>
        <v>Total people: 45</v>
      </c>
      <c r="E59" s="87">
        <f>SUMIF(E2:E56,"&gt;0")</f>
        <v>488</v>
      </c>
      <c r="F59" s="87"/>
      <c r="G59" s="87" t="str">
        <f>"Done: "&amp;COUNTIF(G2:G56,"=*Y*")&amp;" / "&amp;COUNTIF(E2:E56,"&lt;&gt;*/*")</f>
        <v>Done: 29 / 45</v>
      </c>
      <c r="H59" s="87">
        <f>SUMIF(H2:H56,"&gt;0")</f>
        <v>0</v>
      </c>
      <c r="I59" s="88">
        <f>SUM(I2:I56)</f>
        <v>0</v>
      </c>
    </row>
    <row r="60" spans="4:10">
      <c r="D60" s="101"/>
      <c r="E60" s="99"/>
      <c r="F60" s="99"/>
      <c r="G60" s="99"/>
      <c r="H60" s="99"/>
      <c r="I60" s="100"/>
    </row>
    <row r="61" spans="4:10">
      <c r="D61" s="22">
        <f>COUNTIF(E2:E56," ")</f>
        <v>0</v>
      </c>
      <c r="E61" s="92"/>
      <c r="F61" s="92"/>
      <c r="G61" s="92"/>
      <c r="H61" s="92"/>
      <c r="I61" s="92"/>
    </row>
    <row r="62" spans="4:10">
      <c r="D62" s="93"/>
      <c r="E62" s="94"/>
      <c r="F62" s="95"/>
      <c r="G62" s="96"/>
      <c r="H62" s="94"/>
      <c r="I62" s="94"/>
    </row>
    <row r="63" spans="4:10">
      <c r="D63" s="93"/>
      <c r="E63" s="94">
        <f>9.16/4</f>
        <v>2.29</v>
      </c>
      <c r="F63" s="95"/>
      <c r="G63" s="96"/>
      <c r="H63" s="94"/>
      <c r="I63" s="94"/>
    </row>
    <row r="64" spans="4:10">
      <c r="D64" s="93"/>
      <c r="E64" s="94">
        <f>9.54/6</f>
        <v>1.5899999999999999</v>
      </c>
      <c r="F64" s="95"/>
      <c r="G64" s="96"/>
      <c r="H64" s="94"/>
      <c r="I64" s="94"/>
    </row>
    <row r="65" spans="4:9">
      <c r="D65" s="93"/>
      <c r="E65" s="94"/>
      <c r="F65" s="95"/>
      <c r="G65" s="96"/>
      <c r="H65" s="94"/>
      <c r="I65" s="94"/>
    </row>
    <row r="66" spans="4:9">
      <c r="D66" s="97"/>
      <c r="E66" s="97"/>
      <c r="F66" s="95"/>
      <c r="G66" s="96"/>
      <c r="H66" s="97"/>
      <c r="I66" s="97"/>
    </row>
    <row r="67" spans="4:9">
      <c r="D67" s="97"/>
      <c r="E67" s="97"/>
      <c r="F67" s="95"/>
      <c r="G67" s="96"/>
      <c r="H67" s="97"/>
      <c r="I67" s="97"/>
    </row>
    <row r="68" spans="4:9">
      <c r="D68" s="97"/>
      <c r="E68" s="98"/>
      <c r="F68" s="98"/>
      <c r="G68" s="98"/>
      <c r="H68" s="98"/>
      <c r="I68" s="98"/>
    </row>
  </sheetData>
  <conditionalFormatting sqref="B2:B24">
    <cfRule type="cellIs" dxfId="348" priority="1" operator="notEqual">
      <formula>"Y"</formula>
    </cfRule>
    <cfRule type="cellIs" dxfId="347" priority="2" operator="equal">
      <formula>"Y"</formula>
    </cfRule>
  </conditionalFormatting>
  <conditionalFormatting sqref="G1:G55">
    <cfRule type="cellIs" dxfId="346" priority="4" operator="equal">
      <formula>"Y"</formula>
    </cfRule>
  </conditionalFormatting>
  <conditionalFormatting sqref="G2:G55">
    <cfRule type="cellIs" dxfId="345" priority="3" operator="notEqual">
      <formula>"Y"</formula>
    </cfRule>
  </conditionalFormatting>
  <conditionalFormatting sqref="G66:G67 G69:G1048576">
    <cfRule type="cellIs" dxfId="344" priority="14" operator="equal">
      <formula>"Y"</formula>
    </cfRule>
  </conditionalFormatting>
  <pageMargins left="0.7" right="0.7" top="0.75" bottom="0.75" header="0.3" footer="0.3"/>
  <pageSetup paperSize="9" scale="67" orientation="portrait" horizontalDpi="0" verticalDpi="0"/>
  <rowBreaks count="1" manualBreakCount="1">
    <brk id="68" max="16383" man="1"/>
  </rowBreaks>
  <colBreaks count="1" manualBreakCount="1">
    <brk id="7"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dimension ref="A1:J68"/>
  <sheetViews>
    <sheetView workbookViewId="0"/>
  </sheetViews>
  <sheetFormatPr defaultColWidth="11.33203125" defaultRowHeight="14.4"/>
  <cols>
    <col min="1" max="1" width="27.33203125" customWidth="1"/>
    <col min="2" max="2" width="11.33203125" style="79"/>
    <col min="4" max="4" width="17.44140625" customWidth="1"/>
    <col min="5" max="5" width="12.109375" customWidth="1"/>
    <col min="6" max="6" width="42.109375" style="66" customWidth="1"/>
    <col min="7" max="7" width="14" style="7" customWidth="1"/>
    <col min="11" max="11" width="14.44140625" customWidth="1"/>
  </cols>
  <sheetData>
    <row r="1" spans="1:10" ht="15" thickBot="1">
      <c r="A1" s="119" t="s">
        <v>463</v>
      </c>
      <c r="B1" s="120" t="s">
        <v>8</v>
      </c>
      <c r="D1" s="121" t="s">
        <v>464</v>
      </c>
      <c r="E1" s="122" t="s">
        <v>6</v>
      </c>
      <c r="F1" s="123" t="s">
        <v>7</v>
      </c>
      <c r="G1" s="123" t="s">
        <v>8</v>
      </c>
      <c r="H1" s="122" t="s">
        <v>9</v>
      </c>
      <c r="I1" s="124" t="s">
        <v>10</v>
      </c>
    </row>
    <row r="2" spans="1:10" ht="15" customHeight="1">
      <c r="A2" s="81" t="s">
        <v>125</v>
      </c>
      <c r="B2" s="82"/>
      <c r="D2" s="83" t="s">
        <v>125</v>
      </c>
      <c r="E2" s="89">
        <v>150</v>
      </c>
      <c r="F2" s="90" t="s">
        <v>505</v>
      </c>
      <c r="G2" s="7" t="s">
        <v>432</v>
      </c>
      <c r="H2" s="91">
        <f>99+55</f>
        <v>154</v>
      </c>
      <c r="I2" s="85">
        <f>IF(E2&lt;&gt;"/",E2-H2,"")</f>
        <v>-4</v>
      </c>
    </row>
    <row r="3" spans="1:10" ht="15" customHeight="1">
      <c r="A3" s="83" t="s">
        <v>465</v>
      </c>
      <c r="B3" s="112" t="s">
        <v>20</v>
      </c>
      <c r="D3" s="83" t="s">
        <v>97</v>
      </c>
      <c r="E3" s="11">
        <v>50</v>
      </c>
      <c r="F3" s="66" t="s">
        <v>506</v>
      </c>
      <c r="G3" s="7" t="s">
        <v>432</v>
      </c>
      <c r="H3" s="11">
        <v>21</v>
      </c>
      <c r="I3" s="85">
        <f>IF(E3&lt;&gt;"/",E3-H3,"")</f>
        <v>29</v>
      </c>
      <c r="J3" t="s">
        <v>97</v>
      </c>
    </row>
    <row r="4" spans="1:10">
      <c r="A4" s="83" t="s">
        <v>466</v>
      </c>
      <c r="B4" s="112" t="s">
        <v>20</v>
      </c>
      <c r="C4" t="s">
        <v>467</v>
      </c>
      <c r="D4" s="83" t="s">
        <v>54</v>
      </c>
      <c r="E4" s="11">
        <v>50</v>
      </c>
      <c r="F4" s="66" t="s">
        <v>507</v>
      </c>
      <c r="H4" s="11"/>
      <c r="I4" s="85">
        <f t="shared" ref="I4:I23" si="0">IF(E4&lt;&gt;"/",E4-H4,"")</f>
        <v>50</v>
      </c>
      <c r="J4" t="s">
        <v>54</v>
      </c>
    </row>
    <row r="5" spans="1:10">
      <c r="A5" s="83" t="s">
        <v>468</v>
      </c>
      <c r="B5" s="112" t="s">
        <v>20</v>
      </c>
      <c r="C5" t="s">
        <v>467</v>
      </c>
      <c r="D5" s="83" t="s">
        <v>466</v>
      </c>
      <c r="E5" s="11">
        <v>20</v>
      </c>
      <c r="F5" s="66" t="s">
        <v>508</v>
      </c>
      <c r="H5" s="11">
        <v>10</v>
      </c>
      <c r="I5" s="85">
        <f t="shared" si="0"/>
        <v>10</v>
      </c>
      <c r="J5" t="s">
        <v>469</v>
      </c>
    </row>
    <row r="6" spans="1:10">
      <c r="A6" s="83" t="s">
        <v>470</v>
      </c>
      <c r="B6" s="112" t="s">
        <v>20</v>
      </c>
      <c r="D6" s="83" t="s">
        <v>471</v>
      </c>
      <c r="E6" s="11">
        <v>20</v>
      </c>
      <c r="F6" s="66" t="s">
        <v>509</v>
      </c>
      <c r="G6" s="7" t="s">
        <v>20</v>
      </c>
      <c r="H6" s="11">
        <f>2.29+1.59</f>
        <v>3.88</v>
      </c>
      <c r="I6" s="85">
        <f t="shared" si="0"/>
        <v>16.12</v>
      </c>
    </row>
    <row r="7" spans="1:10">
      <c r="A7" s="83" t="s">
        <v>472</v>
      </c>
      <c r="B7" s="112" t="s">
        <v>20</v>
      </c>
      <c r="C7" t="s">
        <v>467</v>
      </c>
      <c r="D7" s="83" t="s">
        <v>112</v>
      </c>
      <c r="E7" s="11">
        <v>10</v>
      </c>
      <c r="F7" s="66" t="s">
        <v>510</v>
      </c>
      <c r="G7" s="7" t="s">
        <v>20</v>
      </c>
      <c r="H7" s="11">
        <v>5</v>
      </c>
      <c r="I7" s="85">
        <f t="shared" si="0"/>
        <v>5</v>
      </c>
    </row>
    <row r="8" spans="1:10">
      <c r="A8" s="83" t="s">
        <v>473</v>
      </c>
      <c r="B8" s="112" t="s">
        <v>20</v>
      </c>
      <c r="D8" s="83" t="s">
        <v>48</v>
      </c>
      <c r="E8" s="11" t="s">
        <v>431</v>
      </c>
      <c r="H8" s="11"/>
      <c r="I8" s="85" t="str">
        <f t="shared" si="0"/>
        <v/>
      </c>
    </row>
    <row r="9" spans="1:10">
      <c r="A9" s="83" t="s">
        <v>474</v>
      </c>
      <c r="B9" s="112" t="s">
        <v>20</v>
      </c>
      <c r="C9" t="s">
        <v>467</v>
      </c>
      <c r="D9" s="83" t="s">
        <v>475</v>
      </c>
      <c r="E9" s="11">
        <v>20</v>
      </c>
      <c r="F9" s="66" t="s">
        <v>511</v>
      </c>
      <c r="H9" s="11">
        <f>5+10</f>
        <v>15</v>
      </c>
      <c r="I9" s="85">
        <f t="shared" si="0"/>
        <v>5</v>
      </c>
      <c r="J9" t="s">
        <v>476</v>
      </c>
    </row>
    <row r="10" spans="1:10">
      <c r="A10" s="83" t="s">
        <v>477</v>
      </c>
      <c r="B10" s="112" t="s">
        <v>20</v>
      </c>
      <c r="D10" s="83" t="s">
        <v>91</v>
      </c>
      <c r="E10" s="11" t="s">
        <v>431</v>
      </c>
      <c r="H10" s="11"/>
      <c r="I10" s="85" t="str">
        <f t="shared" si="0"/>
        <v/>
      </c>
    </row>
    <row r="11" spans="1:10">
      <c r="A11" s="83" t="s">
        <v>478</v>
      </c>
      <c r="B11" s="112" t="s">
        <v>20</v>
      </c>
      <c r="C11" t="s">
        <v>467</v>
      </c>
      <c r="D11" s="83" t="s">
        <v>479</v>
      </c>
      <c r="E11" s="11">
        <v>20</v>
      </c>
      <c r="F11" s="66" t="s">
        <v>512</v>
      </c>
      <c r="G11" s="7" t="s">
        <v>20</v>
      </c>
      <c r="H11" s="11">
        <v>15</v>
      </c>
      <c r="I11" s="85">
        <f t="shared" si="0"/>
        <v>5</v>
      </c>
    </row>
    <row r="12" spans="1:10">
      <c r="A12" s="83" t="s">
        <v>480</v>
      </c>
      <c r="B12" s="112" t="s">
        <v>20</v>
      </c>
      <c r="D12" s="83" t="s">
        <v>126</v>
      </c>
      <c r="E12" s="11" t="s">
        <v>431</v>
      </c>
      <c r="H12" s="11"/>
      <c r="I12" s="85" t="str">
        <f t="shared" si="0"/>
        <v/>
      </c>
    </row>
    <row r="13" spans="1:10">
      <c r="A13" s="83" t="s">
        <v>123</v>
      </c>
      <c r="B13" s="112" t="s">
        <v>20</v>
      </c>
      <c r="D13" s="83" t="s">
        <v>110</v>
      </c>
      <c r="E13" s="11" t="s">
        <v>431</v>
      </c>
      <c r="H13" s="11"/>
      <c r="I13" s="85" t="str">
        <f t="shared" si="0"/>
        <v/>
      </c>
    </row>
    <row r="14" spans="1:10">
      <c r="A14" s="83" t="s">
        <v>481</v>
      </c>
      <c r="B14" s="112" t="s">
        <v>20</v>
      </c>
      <c r="C14" t="s">
        <v>467</v>
      </c>
      <c r="D14" s="83" t="s">
        <v>35</v>
      </c>
      <c r="E14" s="11">
        <v>10</v>
      </c>
      <c r="F14" s="66" t="s">
        <v>513</v>
      </c>
      <c r="G14" s="7" t="s">
        <v>20</v>
      </c>
      <c r="H14" s="11">
        <v>10</v>
      </c>
      <c r="I14" s="85">
        <f t="shared" si="0"/>
        <v>0</v>
      </c>
    </row>
    <row r="15" spans="1:10">
      <c r="A15" s="83" t="s">
        <v>482</v>
      </c>
      <c r="B15" s="112" t="s">
        <v>20</v>
      </c>
      <c r="C15" t="s">
        <v>467</v>
      </c>
      <c r="D15" s="83" t="s">
        <v>117</v>
      </c>
      <c r="E15" s="11">
        <v>3</v>
      </c>
      <c r="F15" s="66" t="s">
        <v>514</v>
      </c>
      <c r="G15" s="7" t="s">
        <v>20</v>
      </c>
      <c r="H15" s="11">
        <v>3</v>
      </c>
      <c r="I15" s="85">
        <f t="shared" si="0"/>
        <v>0</v>
      </c>
    </row>
    <row r="16" spans="1:10">
      <c r="A16" s="83" t="s">
        <v>483</v>
      </c>
      <c r="B16" s="112" t="s">
        <v>20</v>
      </c>
      <c r="C16" t="s">
        <v>467</v>
      </c>
      <c r="D16" s="83" t="s">
        <v>96</v>
      </c>
      <c r="E16" s="11">
        <v>3</v>
      </c>
      <c r="F16" s="66" t="s">
        <v>514</v>
      </c>
      <c r="G16" s="7" t="s">
        <v>20</v>
      </c>
      <c r="H16" s="11">
        <v>3</v>
      </c>
      <c r="I16" s="85">
        <f t="shared" si="0"/>
        <v>0</v>
      </c>
    </row>
    <row r="17" spans="1:10">
      <c r="A17" s="83" t="s">
        <v>484</v>
      </c>
      <c r="B17" s="112" t="s">
        <v>20</v>
      </c>
      <c r="C17" t="s">
        <v>467</v>
      </c>
      <c r="D17" s="83" t="s">
        <v>485</v>
      </c>
      <c r="E17" s="11">
        <v>10</v>
      </c>
      <c r="F17" s="66" t="s">
        <v>515</v>
      </c>
      <c r="H17" s="11">
        <f>2.29+1.59</f>
        <v>3.88</v>
      </c>
      <c r="I17" s="85">
        <f t="shared" si="0"/>
        <v>6.12</v>
      </c>
      <c r="J17" t="s">
        <v>143</v>
      </c>
    </row>
    <row r="18" spans="1:10">
      <c r="A18" s="83" t="s">
        <v>486</v>
      </c>
      <c r="B18" s="112" t="s">
        <v>20</v>
      </c>
      <c r="C18" t="s">
        <v>467</v>
      </c>
      <c r="D18" s="83" t="s">
        <v>22</v>
      </c>
      <c r="E18" s="11">
        <v>5</v>
      </c>
      <c r="F18" s="66" t="s">
        <v>515</v>
      </c>
      <c r="H18" s="11">
        <f>2.29+1.59</f>
        <v>3.88</v>
      </c>
      <c r="I18" s="85">
        <f t="shared" si="0"/>
        <v>1.1200000000000001</v>
      </c>
      <c r="J18" t="s">
        <v>143</v>
      </c>
    </row>
    <row r="19" spans="1:10">
      <c r="A19" s="83"/>
      <c r="B19" s="112"/>
      <c r="D19" s="83" t="s">
        <v>123</v>
      </c>
      <c r="E19" s="11">
        <v>5</v>
      </c>
      <c r="F19" s="66" t="s">
        <v>515</v>
      </c>
      <c r="H19" s="11">
        <f>2.29+1.59</f>
        <v>3.88</v>
      </c>
      <c r="I19" s="85">
        <f t="shared" si="0"/>
        <v>1.1200000000000001</v>
      </c>
      <c r="J19" t="s">
        <v>143</v>
      </c>
    </row>
    <row r="20" spans="1:10">
      <c r="A20" s="83" t="s">
        <v>487</v>
      </c>
      <c r="B20" s="112"/>
      <c r="D20" s="83" t="s">
        <v>488</v>
      </c>
      <c r="E20" s="11">
        <v>10</v>
      </c>
      <c r="F20" s="66" t="s">
        <v>516</v>
      </c>
      <c r="G20" s="7" t="s">
        <v>432</v>
      </c>
      <c r="H20" s="11"/>
      <c r="I20" s="85">
        <f t="shared" si="0"/>
        <v>10</v>
      </c>
    </row>
    <row r="21" spans="1:10">
      <c r="A21" s="83" t="s">
        <v>489</v>
      </c>
      <c r="B21" s="112"/>
      <c r="D21" s="83" t="s">
        <v>88</v>
      </c>
      <c r="E21" s="11">
        <v>3</v>
      </c>
      <c r="F21" s="66" t="s">
        <v>514</v>
      </c>
      <c r="G21" s="7" t="s">
        <v>20</v>
      </c>
      <c r="H21" s="11">
        <v>3</v>
      </c>
      <c r="I21" s="85">
        <f t="shared" si="0"/>
        <v>0</v>
      </c>
    </row>
    <row r="22" spans="1:10">
      <c r="A22" s="83" t="s">
        <v>490</v>
      </c>
      <c r="B22" s="112" t="s">
        <v>20</v>
      </c>
      <c r="D22" s="83" t="s">
        <v>491</v>
      </c>
      <c r="E22" s="11">
        <v>20</v>
      </c>
      <c r="F22" s="66" t="s">
        <v>517</v>
      </c>
      <c r="H22" s="11">
        <v>8</v>
      </c>
      <c r="I22" s="85">
        <f t="shared" si="0"/>
        <v>12</v>
      </c>
      <c r="J22" t="s">
        <v>492</v>
      </c>
    </row>
    <row r="23" spans="1:10">
      <c r="A23" s="83" t="s">
        <v>493</v>
      </c>
      <c r="B23" s="112" t="s">
        <v>20</v>
      </c>
      <c r="D23" s="83" t="s">
        <v>40</v>
      </c>
      <c r="E23" s="11">
        <v>3</v>
      </c>
      <c r="F23" s="66" t="s">
        <v>514</v>
      </c>
      <c r="G23" s="7" t="s">
        <v>20</v>
      </c>
      <c r="H23" s="11">
        <v>3</v>
      </c>
      <c r="I23" s="85">
        <f t="shared" si="0"/>
        <v>0</v>
      </c>
    </row>
    <row r="24" spans="1:10" ht="15" thickBot="1">
      <c r="A24" s="84" t="s">
        <v>494</v>
      </c>
      <c r="B24" s="113" t="s">
        <v>20</v>
      </c>
      <c r="D24" s="83" t="s">
        <v>44</v>
      </c>
      <c r="E24" s="11">
        <v>3</v>
      </c>
      <c r="F24" s="66" t="s">
        <v>514</v>
      </c>
      <c r="G24" s="7" t="s">
        <v>20</v>
      </c>
      <c r="H24" s="11">
        <v>3</v>
      </c>
      <c r="I24" s="85">
        <f>IF(E24&lt;&gt;"/",E24-H24,"")</f>
        <v>0</v>
      </c>
    </row>
    <row r="25" spans="1:10">
      <c r="A25" s="79" t="s">
        <v>161</v>
      </c>
      <c r="D25" s="83" t="s">
        <v>92</v>
      </c>
      <c r="E25" s="11">
        <v>3</v>
      </c>
      <c r="F25" s="66" t="s">
        <v>514</v>
      </c>
      <c r="G25" s="7" t="s">
        <v>20</v>
      </c>
      <c r="H25" s="11">
        <v>3</v>
      </c>
      <c r="I25" s="85">
        <f t="shared" ref="I25:I42" si="1">IF(E25&lt;&gt;"/",E25-H25,"")</f>
        <v>0</v>
      </c>
    </row>
    <row r="26" spans="1:10">
      <c r="A26" s="79" t="s">
        <v>495</v>
      </c>
      <c r="B26" s="79" t="s">
        <v>20</v>
      </c>
      <c r="D26" s="83" t="s">
        <v>496</v>
      </c>
      <c r="E26" s="11">
        <v>20</v>
      </c>
      <c r="F26" s="66" t="s">
        <v>518</v>
      </c>
      <c r="G26" s="7" t="s">
        <v>432</v>
      </c>
      <c r="H26" s="11">
        <f>12.99+7.99</f>
        <v>20.98</v>
      </c>
      <c r="I26" s="85">
        <f t="shared" si="1"/>
        <v>-0.98000000000000043</v>
      </c>
    </row>
    <row r="27" spans="1:10">
      <c r="A27" s="79" t="s">
        <v>497</v>
      </c>
      <c r="B27" s="79" t="s">
        <v>20</v>
      </c>
      <c r="D27" s="83"/>
      <c r="E27" s="11"/>
      <c r="H27" s="11"/>
      <c r="I27" s="85"/>
    </row>
    <row r="28" spans="1:10">
      <c r="A28" s="79" t="s">
        <v>498</v>
      </c>
      <c r="B28" s="79" t="s">
        <v>20</v>
      </c>
      <c r="D28" s="83"/>
      <c r="E28" s="11"/>
      <c r="H28" s="11"/>
      <c r="I28" s="85"/>
    </row>
    <row r="29" spans="1:10">
      <c r="A29" s="79" t="s">
        <v>499</v>
      </c>
      <c r="B29" s="79" t="s">
        <v>20</v>
      </c>
      <c r="D29" s="83"/>
      <c r="E29" s="11"/>
      <c r="H29" s="11"/>
      <c r="I29" s="85"/>
    </row>
    <row r="30" spans="1:10">
      <c r="A30" s="79" t="s">
        <v>28</v>
      </c>
      <c r="B30" s="79" t="s">
        <v>20</v>
      </c>
      <c r="D30" s="83"/>
      <c r="E30" s="11"/>
      <c r="H30" s="11"/>
      <c r="I30" s="85"/>
    </row>
    <row r="31" spans="1:10">
      <c r="A31" s="79"/>
      <c r="D31" s="83" t="s">
        <v>65</v>
      </c>
      <c r="E31" s="11">
        <v>3</v>
      </c>
      <c r="F31" s="66" t="s">
        <v>514</v>
      </c>
      <c r="G31" s="7" t="s">
        <v>20</v>
      </c>
      <c r="H31" s="11">
        <v>3</v>
      </c>
      <c r="I31" s="85">
        <f t="shared" si="1"/>
        <v>0</v>
      </c>
    </row>
    <row r="32" spans="1:10" ht="15" thickBot="1">
      <c r="A32" s="86" t="str">
        <f>"Total cards: " &amp; COUNTIF(A2:A27,"&lt;&gt;""")</f>
        <v>Total cards: 26</v>
      </c>
      <c r="B32" s="86" t="str">
        <f>"Done: " &amp; COUNTIF(B2:B27,"=Y")&amp;" / " &amp;COUNTIF(B2:B27,"&lt;&gt;""")</f>
        <v>Done: 21 / 26</v>
      </c>
      <c r="D32" s="83" t="s">
        <v>91</v>
      </c>
      <c r="E32" s="11">
        <v>3</v>
      </c>
      <c r="F32" s="66" t="s">
        <v>514</v>
      </c>
      <c r="G32" s="7" t="s">
        <v>20</v>
      </c>
      <c r="H32" s="11">
        <v>3</v>
      </c>
      <c r="I32" s="85">
        <f t="shared" si="1"/>
        <v>0</v>
      </c>
    </row>
    <row r="33" spans="1:10">
      <c r="A33" s="79"/>
      <c r="D33" s="83" t="s">
        <v>500</v>
      </c>
      <c r="E33" s="11">
        <v>20</v>
      </c>
      <c r="F33" s="66" t="s">
        <v>519</v>
      </c>
      <c r="G33" s="7" t="s">
        <v>432</v>
      </c>
      <c r="H33" s="11">
        <f>7.5+5+5</f>
        <v>17.5</v>
      </c>
      <c r="I33" s="85">
        <f t="shared" si="1"/>
        <v>2.5</v>
      </c>
      <c r="J33" t="s">
        <v>501</v>
      </c>
    </row>
    <row r="34" spans="1:10">
      <c r="A34" s="79"/>
      <c r="D34" s="83" t="s">
        <v>95</v>
      </c>
      <c r="E34" s="11">
        <v>3</v>
      </c>
      <c r="F34" s="66" t="s">
        <v>514</v>
      </c>
      <c r="G34" s="7" t="s">
        <v>20</v>
      </c>
      <c r="H34" s="11">
        <v>3</v>
      </c>
      <c r="I34" s="85">
        <f t="shared" si="1"/>
        <v>0</v>
      </c>
    </row>
    <row r="35" spans="1:10">
      <c r="A35" s="79"/>
      <c r="D35" s="83" t="s">
        <v>18</v>
      </c>
      <c r="E35" s="11">
        <v>3</v>
      </c>
      <c r="F35" s="66" t="s">
        <v>514</v>
      </c>
      <c r="G35" s="7" t="s">
        <v>20</v>
      </c>
      <c r="H35" s="11">
        <v>3</v>
      </c>
      <c r="I35" s="85">
        <f t="shared" si="1"/>
        <v>0</v>
      </c>
    </row>
    <row r="36" spans="1:10">
      <c r="A36" s="79"/>
      <c r="D36" s="83" t="s">
        <v>36</v>
      </c>
      <c r="E36" s="11">
        <v>3</v>
      </c>
      <c r="F36" s="66" t="s">
        <v>514</v>
      </c>
      <c r="G36" s="7" t="s">
        <v>20</v>
      </c>
      <c r="H36" s="11">
        <v>3</v>
      </c>
      <c r="I36" s="85">
        <f t="shared" si="1"/>
        <v>0</v>
      </c>
    </row>
    <row r="37" spans="1:10">
      <c r="A37" s="79"/>
      <c r="D37" s="83" t="s">
        <v>60</v>
      </c>
      <c r="E37" s="11">
        <v>10</v>
      </c>
      <c r="F37" s="66" t="s">
        <v>520</v>
      </c>
      <c r="G37" s="7" t="s">
        <v>20</v>
      </c>
      <c r="H37" s="11">
        <v>9.8000000000000007</v>
      </c>
      <c r="I37" s="85">
        <f t="shared" si="1"/>
        <v>0.19999999999999929</v>
      </c>
    </row>
    <row r="38" spans="1:10">
      <c r="A38" s="79"/>
      <c r="D38" s="83" t="s">
        <v>102</v>
      </c>
      <c r="E38" s="11" t="s">
        <v>431</v>
      </c>
      <c r="H38" s="11"/>
      <c r="I38" s="85" t="str">
        <f t="shared" si="1"/>
        <v/>
      </c>
    </row>
    <row r="39" spans="1:10">
      <c r="A39" s="79"/>
      <c r="D39" s="83" t="s">
        <v>87</v>
      </c>
      <c r="E39" s="11" t="s">
        <v>431</v>
      </c>
      <c r="H39" s="11"/>
      <c r="I39" s="85" t="str">
        <f t="shared" si="1"/>
        <v/>
      </c>
    </row>
    <row r="40" spans="1:10">
      <c r="A40" s="79"/>
      <c r="D40" s="83" t="s">
        <v>459</v>
      </c>
      <c r="E40" s="11">
        <v>0</v>
      </c>
      <c r="H40" s="11"/>
      <c r="I40" s="85">
        <f t="shared" si="1"/>
        <v>0</v>
      </c>
    </row>
    <row r="41" spans="1:10">
      <c r="A41" s="79"/>
      <c r="D41" s="83" t="s">
        <v>94</v>
      </c>
      <c r="E41" s="11">
        <v>0</v>
      </c>
      <c r="H41" s="11"/>
      <c r="I41" s="85">
        <f t="shared" si="1"/>
        <v>0</v>
      </c>
    </row>
    <row r="42" spans="1:10">
      <c r="A42" s="79"/>
      <c r="D42" s="83" t="s">
        <v>64</v>
      </c>
      <c r="E42" s="11" t="s">
        <v>431</v>
      </c>
      <c r="H42" s="11"/>
      <c r="I42" s="85" t="str">
        <f t="shared" si="1"/>
        <v/>
      </c>
    </row>
    <row r="43" spans="1:10">
      <c r="A43" s="79"/>
      <c r="D43" s="83" t="s">
        <v>100</v>
      </c>
      <c r="E43" s="11" t="s">
        <v>431</v>
      </c>
      <c r="H43" s="11"/>
      <c r="I43" s="85" t="str">
        <f>IF(E43&lt;&gt;"/",E43-H43,"")</f>
        <v/>
      </c>
    </row>
    <row r="44" spans="1:10">
      <c r="A44" s="79"/>
      <c r="D44" s="83" t="s">
        <v>116</v>
      </c>
      <c r="E44" s="11" t="s">
        <v>431</v>
      </c>
      <c r="H44" s="11"/>
      <c r="I44" s="85" t="str">
        <f t="shared" ref="I44:I56" si="2">IF(E44&lt;&gt;"/",E44-H44,"")</f>
        <v/>
      </c>
    </row>
    <row r="45" spans="1:10">
      <c r="A45" s="79"/>
      <c r="D45" s="83" t="s">
        <v>23</v>
      </c>
      <c r="E45" s="11" t="s">
        <v>431</v>
      </c>
      <c r="H45" s="11"/>
      <c r="I45" s="85" t="str">
        <f t="shared" si="2"/>
        <v/>
      </c>
    </row>
    <row r="46" spans="1:10">
      <c r="A46" s="79"/>
      <c r="D46" s="83" t="s">
        <v>106</v>
      </c>
      <c r="E46" s="11">
        <v>10</v>
      </c>
      <c r="F46" s="66" t="s">
        <v>521</v>
      </c>
      <c r="G46" s="7" t="s">
        <v>432</v>
      </c>
      <c r="H46" s="11"/>
      <c r="I46" s="85">
        <f t="shared" si="2"/>
        <v>10</v>
      </c>
      <c r="J46" t="s">
        <v>502</v>
      </c>
    </row>
    <row r="47" spans="1:10">
      <c r="A47" s="79"/>
      <c r="D47" s="83" t="s">
        <v>78</v>
      </c>
      <c r="E47" s="11">
        <v>10</v>
      </c>
      <c r="F47" s="66" t="s">
        <v>433</v>
      </c>
      <c r="H47" s="11"/>
      <c r="I47" s="85">
        <f t="shared" si="2"/>
        <v>10</v>
      </c>
    </row>
    <row r="48" spans="1:10">
      <c r="D48" s="83" t="s">
        <v>77</v>
      </c>
      <c r="E48" s="11">
        <v>10</v>
      </c>
      <c r="F48" s="66" t="s">
        <v>433</v>
      </c>
      <c r="H48" s="11"/>
      <c r="I48" s="85">
        <f t="shared" si="2"/>
        <v>10</v>
      </c>
    </row>
    <row r="49" spans="4:10">
      <c r="D49" s="83" t="s">
        <v>119</v>
      </c>
      <c r="E49" s="11">
        <v>15</v>
      </c>
      <c r="F49" s="66" t="s">
        <v>522</v>
      </c>
      <c r="H49" s="11"/>
      <c r="I49" s="85">
        <f t="shared" si="2"/>
        <v>15</v>
      </c>
      <c r="J49" t="s">
        <v>502</v>
      </c>
    </row>
    <row r="50" spans="4:10">
      <c r="D50" s="83" t="s">
        <v>34</v>
      </c>
      <c r="E50" s="11">
        <v>15</v>
      </c>
      <c r="F50" s="102" t="s">
        <v>523</v>
      </c>
      <c r="G50" s="7" t="s">
        <v>20</v>
      </c>
      <c r="H50" s="11">
        <v>12.95</v>
      </c>
      <c r="I50" s="85">
        <f t="shared" si="2"/>
        <v>2.0500000000000007</v>
      </c>
    </row>
    <row r="51" spans="4:10">
      <c r="D51" s="83" t="s">
        <v>80</v>
      </c>
      <c r="E51" s="11">
        <v>10</v>
      </c>
      <c r="F51" s="102" t="s">
        <v>524</v>
      </c>
      <c r="G51" s="7" t="s">
        <v>432</v>
      </c>
      <c r="H51" s="11">
        <v>24.99</v>
      </c>
      <c r="I51" s="85">
        <f t="shared" si="2"/>
        <v>-14.989999999999998</v>
      </c>
    </row>
    <row r="52" spans="4:10">
      <c r="D52" s="83" t="s">
        <v>107</v>
      </c>
      <c r="E52" s="11">
        <v>10</v>
      </c>
      <c r="F52" s="102" t="s">
        <v>525</v>
      </c>
      <c r="G52" s="7" t="s">
        <v>20</v>
      </c>
      <c r="H52" s="11">
        <v>25</v>
      </c>
      <c r="I52" s="85">
        <f t="shared" si="2"/>
        <v>-15</v>
      </c>
    </row>
    <row r="53" spans="4:10">
      <c r="D53" s="83" t="s">
        <v>503</v>
      </c>
      <c r="E53" s="11">
        <v>10</v>
      </c>
      <c r="F53" s="102" t="s">
        <v>526</v>
      </c>
      <c r="G53" s="7" t="s">
        <v>432</v>
      </c>
      <c r="H53" s="11">
        <v>7.5</v>
      </c>
      <c r="I53" s="85">
        <f t="shared" si="2"/>
        <v>2.5</v>
      </c>
    </row>
    <row r="54" spans="4:10">
      <c r="D54" s="83" t="s">
        <v>504</v>
      </c>
      <c r="E54" s="11">
        <v>5</v>
      </c>
      <c r="F54" s="102" t="s">
        <v>433</v>
      </c>
      <c r="G54" s="7" t="s">
        <v>20</v>
      </c>
      <c r="H54" s="11">
        <v>5</v>
      </c>
      <c r="I54" s="85">
        <f t="shared" si="2"/>
        <v>0</v>
      </c>
    </row>
    <row r="55" spans="4:10">
      <c r="D55" s="83" t="s">
        <v>493</v>
      </c>
      <c r="E55" s="11">
        <v>50</v>
      </c>
      <c r="F55" s="102" t="s">
        <v>527</v>
      </c>
      <c r="G55" s="7" t="s">
        <v>20</v>
      </c>
      <c r="H55" s="11">
        <f>17.84+7.5</f>
        <v>25.34</v>
      </c>
      <c r="I55" s="85">
        <f t="shared" si="2"/>
        <v>24.66</v>
      </c>
    </row>
    <row r="56" spans="4:10">
      <c r="D56" s="83" t="s">
        <v>28</v>
      </c>
      <c r="E56" s="11">
        <v>10</v>
      </c>
      <c r="F56" s="66" t="s">
        <v>528</v>
      </c>
      <c r="G56" s="7" t="s">
        <v>20</v>
      </c>
      <c r="H56" s="11">
        <v>10</v>
      </c>
      <c r="I56" s="85">
        <f t="shared" si="2"/>
        <v>0</v>
      </c>
    </row>
    <row r="57" spans="4:10">
      <c r="D57" s="83"/>
      <c r="E57" s="11"/>
      <c r="H57" s="11"/>
      <c r="I57" s="85"/>
    </row>
    <row r="58" spans="4:10">
      <c r="D58" s="83"/>
      <c r="E58" s="11"/>
      <c r="H58" s="11"/>
      <c r="I58" s="85"/>
    </row>
    <row r="59" spans="4:10" ht="15" thickBot="1">
      <c r="D59" s="86" t="str">
        <f>"Total people: " &amp; COUNTIF(E2:E56,"&lt;&gt;/")</f>
        <v>Total people: 45</v>
      </c>
      <c r="E59" s="87">
        <f>SUMIF(E2:E56,"&gt;0")</f>
        <v>638</v>
      </c>
      <c r="F59" s="87"/>
      <c r="G59" s="87" t="str">
        <f>"Done: "&amp;COUNTIF(G2:G56,"=*Y*")&amp;" / "&amp;COUNTIF(E2:E56,"&lt;&gt;*/*")</f>
        <v>Done: 29 / 45</v>
      </c>
      <c r="H59" s="87">
        <f>SUMIF(H2:H56,"&gt;0")</f>
        <v>445.58</v>
      </c>
      <c r="I59" s="88">
        <f>SUM(I2:I56)</f>
        <v>192.42000000000002</v>
      </c>
    </row>
    <row r="60" spans="4:10">
      <c r="D60" s="101"/>
      <c r="E60" s="99"/>
      <c r="F60" s="99"/>
      <c r="G60" s="99"/>
      <c r="H60" s="99"/>
      <c r="I60" s="100"/>
    </row>
    <row r="61" spans="4:10">
      <c r="D61" s="22">
        <f>COUNTIF(E2:E56," ")</f>
        <v>0</v>
      </c>
      <c r="E61" s="92"/>
      <c r="F61" s="92"/>
      <c r="G61" s="92"/>
      <c r="H61" s="92"/>
      <c r="I61" s="92"/>
    </row>
    <row r="62" spans="4:10">
      <c r="D62" s="93"/>
      <c r="E62" s="94"/>
      <c r="F62" s="95"/>
      <c r="G62" s="96"/>
      <c r="H62" s="94"/>
      <c r="I62" s="94"/>
    </row>
    <row r="63" spans="4:10">
      <c r="D63" s="93"/>
      <c r="E63" s="94">
        <f>9.16/4</f>
        <v>2.29</v>
      </c>
      <c r="F63" s="95"/>
      <c r="G63" s="96"/>
      <c r="H63" s="94"/>
      <c r="I63" s="94"/>
    </row>
    <row r="64" spans="4:10">
      <c r="D64" s="93"/>
      <c r="E64" s="94">
        <f>9.54/6</f>
        <v>1.5899999999999999</v>
      </c>
      <c r="F64" s="95"/>
      <c r="G64" s="96"/>
      <c r="H64" s="94"/>
      <c r="I64" s="94"/>
    </row>
    <row r="65" spans="4:9">
      <c r="D65" s="93"/>
      <c r="E65" s="94"/>
      <c r="F65" s="95"/>
      <c r="G65" s="96"/>
      <c r="H65" s="94"/>
      <c r="I65" s="94"/>
    </row>
    <row r="66" spans="4:9">
      <c r="D66" s="97"/>
      <c r="E66" s="97"/>
      <c r="F66" s="95"/>
      <c r="G66" s="96"/>
      <c r="H66" s="97"/>
      <c r="I66" s="97"/>
    </row>
    <row r="67" spans="4:9">
      <c r="D67" s="97"/>
      <c r="E67" s="97"/>
      <c r="F67" s="95"/>
      <c r="G67" s="96"/>
      <c r="H67" s="97"/>
      <c r="I67" s="97"/>
    </row>
    <row r="68" spans="4:9">
      <c r="D68" s="97"/>
      <c r="E68" s="98"/>
      <c r="F68" s="98"/>
      <c r="G68" s="98"/>
      <c r="H68" s="98"/>
      <c r="I68" s="98"/>
    </row>
  </sheetData>
  <conditionalFormatting sqref="B2:B24">
    <cfRule type="cellIs" dxfId="343" priority="1" operator="notEqual">
      <formula>"Y"</formula>
    </cfRule>
    <cfRule type="cellIs" dxfId="342" priority="2" operator="equal">
      <formula>"Y"</formula>
    </cfRule>
  </conditionalFormatting>
  <conditionalFormatting sqref="G1:G55">
    <cfRule type="cellIs" dxfId="341" priority="4" operator="equal">
      <formula>"Y"</formula>
    </cfRule>
  </conditionalFormatting>
  <conditionalFormatting sqref="G2:G55">
    <cfRule type="cellIs" dxfId="340" priority="3" operator="notEqual">
      <formula>"Y"</formula>
    </cfRule>
  </conditionalFormatting>
  <conditionalFormatting sqref="G66:G67 G69:G1048576">
    <cfRule type="cellIs" dxfId="339" priority="14" operator="equal">
      <formula>"Y"</formula>
    </cfRule>
  </conditionalFormatting>
  <pageMargins left="0.7" right="0.7" top="0.75" bottom="0.75" header="0.3" footer="0.3"/>
  <pageSetup paperSize="9" scale="67" orientation="portrait" horizontalDpi="0" verticalDpi="0"/>
  <rowBreaks count="1" manualBreakCount="1">
    <brk id="68" max="16383" man="1"/>
  </rowBreaks>
  <colBreaks count="1" manualBreakCount="1">
    <brk id="7"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dimension ref="A1:I62"/>
  <sheetViews>
    <sheetView workbookViewId="0"/>
  </sheetViews>
  <sheetFormatPr defaultColWidth="11.33203125" defaultRowHeight="14.4"/>
  <cols>
    <col min="1" max="1" width="27.33203125" customWidth="1"/>
    <col min="2" max="2" width="11.33203125" style="79"/>
    <col min="4" max="4" width="17.44140625" customWidth="1"/>
    <col min="5" max="5" width="12.109375" customWidth="1"/>
    <col min="6" max="6" width="21" style="66" customWidth="1"/>
    <col min="7" max="7" width="14" style="7" customWidth="1"/>
  </cols>
  <sheetData>
    <row r="1" spans="1:9" ht="15" thickBot="1">
      <c r="A1" s="119" t="s">
        <v>463</v>
      </c>
      <c r="B1" s="120" t="s">
        <v>8</v>
      </c>
      <c r="D1" s="121" t="s">
        <v>464</v>
      </c>
      <c r="E1" s="122" t="s">
        <v>6</v>
      </c>
      <c r="F1" s="123" t="s">
        <v>7</v>
      </c>
      <c r="G1" s="123" t="s">
        <v>8</v>
      </c>
      <c r="H1" s="122" t="s">
        <v>9</v>
      </c>
      <c r="I1" s="124" t="s">
        <v>10</v>
      </c>
    </row>
    <row r="2" spans="1:9" hidden="1">
      <c r="A2" s="81" t="s">
        <v>125</v>
      </c>
      <c r="B2" s="82" t="s">
        <v>20</v>
      </c>
      <c r="D2" s="83" t="s">
        <v>125</v>
      </c>
      <c r="E2" s="89">
        <v>100</v>
      </c>
      <c r="F2" s="90"/>
      <c r="G2" s="7" t="s">
        <v>20</v>
      </c>
      <c r="H2" s="91">
        <v>115</v>
      </c>
      <c r="I2" s="85">
        <f>IF(E2&lt;&gt;"/",E2-H2,"")</f>
        <v>-15</v>
      </c>
    </row>
    <row r="3" spans="1:9">
      <c r="A3" s="83" t="s">
        <v>465</v>
      </c>
      <c r="B3" s="112" t="s">
        <v>20</v>
      </c>
      <c r="D3" s="83" t="s">
        <v>97</v>
      </c>
      <c r="E3" s="11">
        <v>50</v>
      </c>
      <c r="F3" s="66" t="s">
        <v>529</v>
      </c>
      <c r="G3" s="7" t="s">
        <v>20</v>
      </c>
      <c r="H3" s="11">
        <f>3.5+48</f>
        <v>51.5</v>
      </c>
      <c r="I3" s="85">
        <f>IF(E3&lt;&gt;"/",E3-H3,"")</f>
        <v>-1.5</v>
      </c>
    </row>
    <row r="4" spans="1:9">
      <c r="A4" s="83" t="s">
        <v>466</v>
      </c>
      <c r="B4" s="112" t="s">
        <v>20</v>
      </c>
      <c r="C4" t="s">
        <v>467</v>
      </c>
      <c r="D4" s="83" t="s">
        <v>54</v>
      </c>
      <c r="E4" s="11">
        <v>50</v>
      </c>
      <c r="F4" s="66" t="s">
        <v>530</v>
      </c>
      <c r="G4" s="7" t="s">
        <v>20</v>
      </c>
      <c r="H4" s="11">
        <v>59.99</v>
      </c>
      <c r="I4" s="85">
        <f t="shared" ref="I4:I5" si="0">IF(E4&lt;&gt;"/",E4-H4,"")</f>
        <v>-9.990000000000002</v>
      </c>
    </row>
    <row r="5" spans="1:9">
      <c r="A5" s="83" t="s">
        <v>468</v>
      </c>
      <c r="B5" s="112" t="s">
        <v>20</v>
      </c>
      <c r="C5" t="s">
        <v>467</v>
      </c>
      <c r="D5" s="83" t="s">
        <v>466</v>
      </c>
      <c r="E5" s="11">
        <v>20</v>
      </c>
      <c r="F5" s="66" t="s">
        <v>531</v>
      </c>
      <c r="G5" s="7" t="s">
        <v>20</v>
      </c>
      <c r="H5" s="11">
        <f>4.5 + 12 + 7</f>
        <v>23.5</v>
      </c>
      <c r="I5" s="85">
        <f t="shared" si="0"/>
        <v>-3.5</v>
      </c>
    </row>
    <row r="6" spans="1:9">
      <c r="A6" s="83" t="s">
        <v>532</v>
      </c>
      <c r="B6" s="112" t="s">
        <v>20</v>
      </c>
      <c r="D6" s="83" t="s">
        <v>471</v>
      </c>
      <c r="E6" s="11">
        <v>20</v>
      </c>
      <c r="F6" s="66" t="s">
        <v>533</v>
      </c>
      <c r="G6" s="7" t="s">
        <v>20</v>
      </c>
      <c r="H6" s="11">
        <v>17.23</v>
      </c>
      <c r="I6" s="85">
        <f t="shared" ref="I6:I11" si="1">IF(E6&lt;&gt;"/",E6-H6,"")</f>
        <v>2.7699999999999996</v>
      </c>
    </row>
    <row r="7" spans="1:9">
      <c r="A7" s="83" t="s">
        <v>472</v>
      </c>
      <c r="B7" s="112" t="s">
        <v>20</v>
      </c>
      <c r="C7" t="s">
        <v>467</v>
      </c>
      <c r="D7" s="83" t="s">
        <v>112</v>
      </c>
      <c r="E7" s="11" t="s">
        <v>431</v>
      </c>
      <c r="H7" s="11"/>
      <c r="I7" s="85" t="str">
        <f t="shared" si="1"/>
        <v/>
      </c>
    </row>
    <row r="8" spans="1:9">
      <c r="A8" s="83" t="s">
        <v>473</v>
      </c>
      <c r="B8" s="112" t="s">
        <v>432</v>
      </c>
      <c r="D8" s="83" t="s">
        <v>48</v>
      </c>
      <c r="E8" s="11" t="s">
        <v>431</v>
      </c>
      <c r="H8" s="11"/>
      <c r="I8" s="85" t="str">
        <f t="shared" si="1"/>
        <v/>
      </c>
    </row>
    <row r="9" spans="1:9">
      <c r="A9" s="83" t="s">
        <v>474</v>
      </c>
      <c r="B9" s="112" t="s">
        <v>432</v>
      </c>
      <c r="C9" t="s">
        <v>467</v>
      </c>
      <c r="D9" s="83" t="s">
        <v>475</v>
      </c>
      <c r="E9" s="11">
        <v>20</v>
      </c>
      <c r="F9" s="66" t="s">
        <v>534</v>
      </c>
      <c r="G9" s="7" t="s">
        <v>432</v>
      </c>
      <c r="H9" s="11">
        <v>15</v>
      </c>
      <c r="I9" s="85">
        <f t="shared" si="1"/>
        <v>5</v>
      </c>
    </row>
    <row r="10" spans="1:9">
      <c r="A10" s="83" t="s">
        <v>477</v>
      </c>
      <c r="B10" s="112" t="s">
        <v>432</v>
      </c>
      <c r="D10" s="83" t="s">
        <v>91</v>
      </c>
      <c r="E10" s="11" t="s">
        <v>431</v>
      </c>
      <c r="H10" s="11"/>
      <c r="I10" s="85" t="str">
        <f t="shared" si="1"/>
        <v/>
      </c>
    </row>
    <row r="11" spans="1:9">
      <c r="A11" s="83" t="s">
        <v>478</v>
      </c>
      <c r="B11" s="112" t="s">
        <v>432</v>
      </c>
      <c r="C11" t="s">
        <v>467</v>
      </c>
      <c r="D11" s="83" t="s">
        <v>479</v>
      </c>
      <c r="E11" s="11">
        <v>20</v>
      </c>
      <c r="F11" s="66" t="s">
        <v>535</v>
      </c>
      <c r="G11" s="7" t="s">
        <v>20</v>
      </c>
      <c r="H11" s="11">
        <v>16.989999999999998</v>
      </c>
      <c r="I11" s="85">
        <f t="shared" si="1"/>
        <v>3.0100000000000016</v>
      </c>
    </row>
    <row r="12" spans="1:9">
      <c r="A12" s="83" t="s">
        <v>480</v>
      </c>
      <c r="B12" s="112" t="s">
        <v>432</v>
      </c>
      <c r="D12" s="83" t="s">
        <v>126</v>
      </c>
      <c r="E12" s="11" t="s">
        <v>431</v>
      </c>
      <c r="H12" s="11"/>
      <c r="I12" s="85" t="str">
        <f t="shared" ref="I12:I23" si="2">IF(E12&lt;&gt;"/",E12-H12,"")</f>
        <v/>
      </c>
    </row>
    <row r="13" spans="1:9">
      <c r="A13" s="83" t="s">
        <v>123</v>
      </c>
      <c r="B13" s="112" t="s">
        <v>432</v>
      </c>
      <c r="D13" s="83" t="s">
        <v>110</v>
      </c>
      <c r="E13" s="11" t="s">
        <v>431</v>
      </c>
      <c r="H13" s="11"/>
      <c r="I13" s="85" t="str">
        <f t="shared" si="2"/>
        <v/>
      </c>
    </row>
    <row r="14" spans="1:9">
      <c r="A14" s="83" t="s">
        <v>481</v>
      </c>
      <c r="B14" s="112" t="s">
        <v>432</v>
      </c>
      <c r="C14" t="s">
        <v>467</v>
      </c>
      <c r="D14" s="83" t="s">
        <v>35</v>
      </c>
      <c r="E14" s="11">
        <v>10</v>
      </c>
      <c r="F14" s="66" t="s">
        <v>536</v>
      </c>
      <c r="G14" s="7" t="s">
        <v>20</v>
      </c>
      <c r="H14" s="11">
        <v>5</v>
      </c>
      <c r="I14" s="85">
        <f t="shared" si="2"/>
        <v>5</v>
      </c>
    </row>
    <row r="15" spans="1:9">
      <c r="A15" s="83" t="s">
        <v>482</v>
      </c>
      <c r="B15" s="112" t="s">
        <v>20</v>
      </c>
      <c r="C15" t="s">
        <v>467</v>
      </c>
      <c r="D15" s="83" t="s">
        <v>117</v>
      </c>
      <c r="E15" s="11">
        <v>5</v>
      </c>
      <c r="F15" s="66" t="s">
        <v>433</v>
      </c>
      <c r="G15" s="7" t="s">
        <v>20</v>
      </c>
      <c r="H15" s="11">
        <v>5</v>
      </c>
      <c r="I15" s="85">
        <f t="shared" si="2"/>
        <v>0</v>
      </c>
    </row>
    <row r="16" spans="1:9">
      <c r="A16" s="83" t="s">
        <v>483</v>
      </c>
      <c r="B16" s="112" t="s">
        <v>20</v>
      </c>
      <c r="C16" t="s">
        <v>467</v>
      </c>
      <c r="D16" s="83" t="s">
        <v>96</v>
      </c>
      <c r="E16" s="11">
        <v>5</v>
      </c>
      <c r="F16" s="66" t="s">
        <v>433</v>
      </c>
      <c r="G16" s="7" t="s">
        <v>20</v>
      </c>
      <c r="H16" s="11">
        <v>5</v>
      </c>
      <c r="I16" s="85">
        <f t="shared" si="2"/>
        <v>0</v>
      </c>
    </row>
    <row r="17" spans="1:9">
      <c r="A17" s="83" t="s">
        <v>484</v>
      </c>
      <c r="B17" s="112" t="s">
        <v>20</v>
      </c>
      <c r="C17" t="s">
        <v>467</v>
      </c>
      <c r="D17" s="83" t="s">
        <v>485</v>
      </c>
      <c r="E17" s="11">
        <v>10</v>
      </c>
      <c r="F17" s="66" t="s">
        <v>537</v>
      </c>
      <c r="G17" s="7" t="s">
        <v>20</v>
      </c>
      <c r="H17" s="11"/>
      <c r="I17" s="85">
        <f t="shared" si="2"/>
        <v>10</v>
      </c>
    </row>
    <row r="18" spans="1:9">
      <c r="A18" s="83" t="s">
        <v>486</v>
      </c>
      <c r="B18" s="112" t="s">
        <v>122</v>
      </c>
      <c r="C18" t="s">
        <v>467</v>
      </c>
      <c r="D18" s="83" t="s">
        <v>22</v>
      </c>
      <c r="E18" s="11" t="s">
        <v>431</v>
      </c>
      <c r="H18" s="11"/>
      <c r="I18" s="85" t="str">
        <f t="shared" si="2"/>
        <v/>
      </c>
    </row>
    <row r="19" spans="1:9">
      <c r="A19" s="83" t="s">
        <v>538</v>
      </c>
      <c r="B19" s="112" t="s">
        <v>122</v>
      </c>
      <c r="D19" s="83" t="s">
        <v>123</v>
      </c>
      <c r="E19" s="11" t="s">
        <v>431</v>
      </c>
      <c r="H19" s="11"/>
      <c r="I19" s="85" t="str">
        <f t="shared" si="2"/>
        <v/>
      </c>
    </row>
    <row r="20" spans="1:9">
      <c r="A20" s="83" t="s">
        <v>487</v>
      </c>
      <c r="B20" s="112" t="s">
        <v>432</v>
      </c>
      <c r="D20" s="83" t="s">
        <v>488</v>
      </c>
      <c r="E20" s="11">
        <v>10</v>
      </c>
      <c r="F20" s="66" t="s">
        <v>539</v>
      </c>
      <c r="G20" s="7" t="s">
        <v>20</v>
      </c>
      <c r="H20" s="11">
        <v>15</v>
      </c>
      <c r="I20" s="85">
        <f t="shared" si="2"/>
        <v>-5</v>
      </c>
    </row>
    <row r="21" spans="1:9">
      <c r="A21" s="83" t="s">
        <v>489</v>
      </c>
      <c r="B21" s="112" t="s">
        <v>432</v>
      </c>
      <c r="D21" s="83" t="s">
        <v>88</v>
      </c>
      <c r="E21" s="11">
        <v>5</v>
      </c>
      <c r="F21" s="66" t="s">
        <v>433</v>
      </c>
      <c r="G21" s="7" t="s">
        <v>20</v>
      </c>
      <c r="H21" s="11">
        <v>5</v>
      </c>
      <c r="I21" s="85">
        <f t="shared" si="2"/>
        <v>0</v>
      </c>
    </row>
    <row r="22" spans="1:9">
      <c r="A22" s="83" t="s">
        <v>490</v>
      </c>
      <c r="B22" s="112" t="s">
        <v>20</v>
      </c>
      <c r="D22" s="83" t="s">
        <v>491</v>
      </c>
      <c r="E22" s="11">
        <v>20</v>
      </c>
      <c r="F22" s="66" t="s">
        <v>540</v>
      </c>
      <c r="G22" s="7" t="s">
        <v>20</v>
      </c>
      <c r="H22" s="11">
        <v>20</v>
      </c>
      <c r="I22" s="85">
        <f t="shared" si="2"/>
        <v>0</v>
      </c>
    </row>
    <row r="23" spans="1:9">
      <c r="A23" s="83" t="s">
        <v>493</v>
      </c>
      <c r="B23" s="112" t="s">
        <v>20</v>
      </c>
      <c r="D23" s="83" t="s">
        <v>40</v>
      </c>
      <c r="E23" s="11">
        <v>5</v>
      </c>
      <c r="F23" s="66" t="s">
        <v>433</v>
      </c>
      <c r="G23" s="7" t="s">
        <v>20</v>
      </c>
      <c r="H23" s="11">
        <v>5</v>
      </c>
      <c r="I23" s="85">
        <f t="shared" si="2"/>
        <v>0</v>
      </c>
    </row>
    <row r="24" spans="1:9" ht="15" thickBot="1">
      <c r="A24" s="84" t="s">
        <v>494</v>
      </c>
      <c r="B24" s="113" t="s">
        <v>20</v>
      </c>
      <c r="D24" s="83" t="s">
        <v>44</v>
      </c>
      <c r="E24" s="11">
        <v>5</v>
      </c>
      <c r="F24" s="66" t="s">
        <v>433</v>
      </c>
      <c r="G24" s="7" t="s">
        <v>20</v>
      </c>
      <c r="H24" s="11">
        <v>5</v>
      </c>
      <c r="I24" s="85">
        <f>IF(E24&lt;&gt;"/",E24-H24,"")</f>
        <v>0</v>
      </c>
    </row>
    <row r="25" spans="1:9">
      <c r="A25" s="79" t="s">
        <v>161</v>
      </c>
      <c r="B25" s="79" t="s">
        <v>20</v>
      </c>
      <c r="D25" s="83" t="s">
        <v>92</v>
      </c>
      <c r="E25" s="11">
        <v>5</v>
      </c>
      <c r="F25" s="66" t="s">
        <v>433</v>
      </c>
      <c r="G25" s="7" t="s">
        <v>20</v>
      </c>
      <c r="H25" s="11">
        <v>5</v>
      </c>
      <c r="I25" s="85">
        <f t="shared" ref="I25:I39" si="3">IF(E25&lt;&gt;"/",E25-H25,"")</f>
        <v>0</v>
      </c>
    </row>
    <row r="26" spans="1:9">
      <c r="A26" s="79" t="s">
        <v>495</v>
      </c>
      <c r="D26" s="83" t="s">
        <v>496</v>
      </c>
      <c r="E26" s="11">
        <v>20</v>
      </c>
      <c r="F26" s="66" t="s">
        <v>541</v>
      </c>
      <c r="G26" s="7" t="s">
        <v>20</v>
      </c>
      <c r="H26" s="11">
        <v>15</v>
      </c>
      <c r="I26" s="85">
        <f t="shared" si="3"/>
        <v>5</v>
      </c>
    </row>
    <row r="27" spans="1:9">
      <c r="A27" s="79" t="s">
        <v>542</v>
      </c>
      <c r="B27" s="79" t="s">
        <v>20</v>
      </c>
      <c r="D27" s="83"/>
      <c r="E27" s="11"/>
      <c r="H27" s="11"/>
      <c r="I27" s="85"/>
    </row>
    <row r="28" spans="1:9">
      <c r="A28" s="79"/>
      <c r="D28" s="83" t="s">
        <v>65</v>
      </c>
      <c r="E28" s="11">
        <v>5</v>
      </c>
      <c r="F28" s="66" t="s">
        <v>433</v>
      </c>
      <c r="G28" s="7" t="s">
        <v>20</v>
      </c>
      <c r="H28" s="11">
        <v>5</v>
      </c>
      <c r="I28" s="85">
        <f t="shared" si="3"/>
        <v>0</v>
      </c>
    </row>
    <row r="29" spans="1:9" ht="15" thickBot="1">
      <c r="A29" s="86" t="str">
        <f>"Total cards: " &amp; COUNTIF(A2:A27,"&lt;&gt;""")</f>
        <v>Total cards: 26</v>
      </c>
      <c r="B29" s="86" t="str">
        <f>"Done: " &amp; COUNTIF(B2:B27,"=Y")&amp;" / " &amp;COUNTIF(B2:B27,"&lt;&gt;""")</f>
        <v>Done: 23 / 26</v>
      </c>
      <c r="D29" s="83" t="s">
        <v>91</v>
      </c>
      <c r="E29" s="11">
        <v>5</v>
      </c>
      <c r="F29" s="66" t="s">
        <v>433</v>
      </c>
      <c r="G29" s="7" t="s">
        <v>20</v>
      </c>
      <c r="H29" s="11">
        <v>5</v>
      </c>
      <c r="I29" s="85">
        <f t="shared" si="3"/>
        <v>0</v>
      </c>
    </row>
    <row r="30" spans="1:9">
      <c r="A30" s="79"/>
      <c r="D30" s="83" t="s">
        <v>500</v>
      </c>
      <c r="E30" s="11">
        <v>20</v>
      </c>
      <c r="F30" s="66" t="s">
        <v>543</v>
      </c>
      <c r="G30" s="7" t="s">
        <v>20</v>
      </c>
      <c r="H30" s="11">
        <v>16.5</v>
      </c>
      <c r="I30" s="85">
        <f t="shared" si="3"/>
        <v>3.5</v>
      </c>
    </row>
    <row r="31" spans="1:9">
      <c r="A31" s="79"/>
      <c r="D31" s="83" t="s">
        <v>95</v>
      </c>
      <c r="E31" s="11">
        <v>5</v>
      </c>
      <c r="F31" s="66" t="s">
        <v>433</v>
      </c>
      <c r="G31" s="7" t="s">
        <v>20</v>
      </c>
      <c r="H31" s="11">
        <v>5</v>
      </c>
      <c r="I31" s="85">
        <f t="shared" si="3"/>
        <v>0</v>
      </c>
    </row>
    <row r="32" spans="1:9">
      <c r="A32" s="79"/>
      <c r="D32" s="83" t="s">
        <v>18</v>
      </c>
      <c r="E32" s="11">
        <v>5</v>
      </c>
      <c r="F32" s="66" t="s">
        <v>433</v>
      </c>
      <c r="G32" s="7" t="s">
        <v>20</v>
      </c>
      <c r="H32" s="11">
        <v>5</v>
      </c>
      <c r="I32" s="85">
        <f t="shared" si="3"/>
        <v>0</v>
      </c>
    </row>
    <row r="33" spans="1:9">
      <c r="A33" s="79"/>
      <c r="D33" s="83" t="s">
        <v>36</v>
      </c>
      <c r="E33" s="11">
        <v>5</v>
      </c>
      <c r="F33" s="66" t="s">
        <v>433</v>
      </c>
      <c r="G33" s="7" t="s">
        <v>20</v>
      </c>
      <c r="H33" s="11">
        <v>5</v>
      </c>
      <c r="I33" s="85">
        <f t="shared" si="3"/>
        <v>0</v>
      </c>
    </row>
    <row r="34" spans="1:9">
      <c r="A34" s="79"/>
      <c r="D34" s="83" t="s">
        <v>60</v>
      </c>
      <c r="E34" s="11">
        <v>10</v>
      </c>
      <c r="F34" s="66" t="s">
        <v>544</v>
      </c>
      <c r="G34" s="7" t="s">
        <v>20</v>
      </c>
      <c r="H34" s="11">
        <v>10</v>
      </c>
      <c r="I34" s="85">
        <f t="shared" si="3"/>
        <v>0</v>
      </c>
    </row>
    <row r="35" spans="1:9">
      <c r="A35" s="79"/>
      <c r="D35" s="83" t="s">
        <v>102</v>
      </c>
      <c r="E35" s="11" t="s">
        <v>431</v>
      </c>
      <c r="F35" s="66" t="s">
        <v>433</v>
      </c>
      <c r="H35" s="11"/>
      <c r="I35" s="85" t="str">
        <f t="shared" si="3"/>
        <v/>
      </c>
    </row>
    <row r="36" spans="1:9">
      <c r="A36" s="79"/>
      <c r="D36" s="83" t="s">
        <v>87</v>
      </c>
      <c r="E36" s="11" t="s">
        <v>431</v>
      </c>
      <c r="F36" s="66" t="s">
        <v>433</v>
      </c>
      <c r="H36" s="11"/>
      <c r="I36" s="85" t="str">
        <f t="shared" si="3"/>
        <v/>
      </c>
    </row>
    <row r="37" spans="1:9">
      <c r="A37" s="79"/>
      <c r="D37" s="83" t="s">
        <v>459</v>
      </c>
      <c r="E37" s="11">
        <v>10</v>
      </c>
      <c r="F37" s="66" t="s">
        <v>545</v>
      </c>
      <c r="G37" s="7" t="s">
        <v>432</v>
      </c>
      <c r="H37" s="11">
        <v>7</v>
      </c>
      <c r="I37" s="85">
        <f t="shared" si="3"/>
        <v>3</v>
      </c>
    </row>
    <row r="38" spans="1:9">
      <c r="A38" s="79"/>
      <c r="D38" s="83" t="s">
        <v>94</v>
      </c>
      <c r="E38" s="11">
        <v>10</v>
      </c>
      <c r="F38" s="66" t="s">
        <v>546</v>
      </c>
      <c r="G38" s="7" t="s">
        <v>20</v>
      </c>
      <c r="H38" s="11">
        <v>0</v>
      </c>
      <c r="I38" s="85">
        <f t="shared" si="3"/>
        <v>10</v>
      </c>
    </row>
    <row r="39" spans="1:9">
      <c r="A39" s="79"/>
      <c r="D39" s="83" t="s">
        <v>64</v>
      </c>
      <c r="E39" s="11" t="s">
        <v>431</v>
      </c>
      <c r="H39" s="11"/>
      <c r="I39" s="85" t="str">
        <f t="shared" si="3"/>
        <v/>
      </c>
    </row>
    <row r="40" spans="1:9">
      <c r="A40" s="79"/>
      <c r="D40" s="83" t="s">
        <v>100</v>
      </c>
      <c r="E40" s="11" t="s">
        <v>431</v>
      </c>
      <c r="H40" s="11"/>
      <c r="I40" s="85" t="str">
        <f>IF(E40&lt;&gt;"/",E40-H40,"")</f>
        <v/>
      </c>
    </row>
    <row r="41" spans="1:9">
      <c r="A41" s="79"/>
      <c r="D41" s="83" t="s">
        <v>116</v>
      </c>
      <c r="E41" s="11" t="s">
        <v>431</v>
      </c>
      <c r="H41" s="11"/>
      <c r="I41" s="85" t="str">
        <f t="shared" ref="I41:I51" si="4">IF(E41&lt;&gt;"/",E41-H41,"")</f>
        <v/>
      </c>
    </row>
    <row r="42" spans="1:9">
      <c r="A42" s="79"/>
      <c r="D42" s="83" t="s">
        <v>23</v>
      </c>
      <c r="E42" s="11" t="s">
        <v>431</v>
      </c>
      <c r="H42" s="11"/>
      <c r="I42" s="85" t="str">
        <f t="shared" si="4"/>
        <v/>
      </c>
    </row>
    <row r="43" spans="1:9">
      <c r="A43" s="79"/>
      <c r="D43" s="83" t="s">
        <v>106</v>
      </c>
      <c r="E43" s="11">
        <v>10</v>
      </c>
      <c r="F43" s="66" t="s">
        <v>547</v>
      </c>
      <c r="G43" s="7" t="s">
        <v>20</v>
      </c>
      <c r="H43" s="11"/>
      <c r="I43" s="85">
        <f t="shared" si="4"/>
        <v>10</v>
      </c>
    </row>
    <row r="44" spans="1:9">
      <c r="A44" s="79"/>
      <c r="D44" s="83" t="s">
        <v>78</v>
      </c>
      <c r="E44" s="11">
        <v>10</v>
      </c>
      <c r="F44" s="66" t="s">
        <v>548</v>
      </c>
      <c r="G44" s="7" t="s">
        <v>20</v>
      </c>
      <c r="H44" s="11">
        <v>10</v>
      </c>
      <c r="I44" s="85">
        <f t="shared" si="4"/>
        <v>0</v>
      </c>
    </row>
    <row r="45" spans="1:9">
      <c r="D45" s="83" t="s">
        <v>77</v>
      </c>
      <c r="E45" s="11">
        <v>10</v>
      </c>
      <c r="F45" s="66" t="s">
        <v>548</v>
      </c>
      <c r="G45" s="7" t="s">
        <v>20</v>
      </c>
      <c r="H45" s="11">
        <v>10</v>
      </c>
      <c r="I45" s="85">
        <f t="shared" si="4"/>
        <v>0</v>
      </c>
    </row>
    <row r="46" spans="1:9">
      <c r="D46" s="83" t="s">
        <v>119</v>
      </c>
      <c r="E46" s="11">
        <v>15</v>
      </c>
      <c r="F46" s="66" t="s">
        <v>549</v>
      </c>
      <c r="H46" s="11">
        <v>5</v>
      </c>
      <c r="I46" s="85">
        <f t="shared" si="4"/>
        <v>10</v>
      </c>
    </row>
    <row r="47" spans="1:9">
      <c r="D47" s="83" t="s">
        <v>34</v>
      </c>
      <c r="E47" s="11">
        <v>15</v>
      </c>
      <c r="F47" s="102" t="s">
        <v>550</v>
      </c>
      <c r="G47" s="7" t="s">
        <v>20</v>
      </c>
      <c r="H47" s="11">
        <v>25</v>
      </c>
      <c r="I47" s="85">
        <f t="shared" si="4"/>
        <v>-10</v>
      </c>
    </row>
    <row r="48" spans="1:9">
      <c r="D48" s="83" t="s">
        <v>503</v>
      </c>
      <c r="E48" s="11">
        <v>10</v>
      </c>
      <c r="F48" s="102" t="s">
        <v>551</v>
      </c>
      <c r="G48" s="7" t="s">
        <v>432</v>
      </c>
      <c r="H48" s="11">
        <v>10</v>
      </c>
      <c r="I48" s="85">
        <f t="shared" si="4"/>
        <v>0</v>
      </c>
    </row>
    <row r="49" spans="4:9">
      <c r="D49" s="83" t="s">
        <v>504</v>
      </c>
      <c r="E49" s="11">
        <v>5</v>
      </c>
      <c r="F49" s="102" t="s">
        <v>433</v>
      </c>
      <c r="G49" s="7" t="s">
        <v>432</v>
      </c>
      <c r="H49" s="11">
        <v>5</v>
      </c>
      <c r="I49" s="85">
        <f t="shared" si="4"/>
        <v>0</v>
      </c>
    </row>
    <row r="50" spans="4:9">
      <c r="D50" s="83" t="s">
        <v>493</v>
      </c>
      <c r="E50" s="11">
        <v>20</v>
      </c>
      <c r="F50" s="102" t="s">
        <v>552</v>
      </c>
      <c r="G50" s="7" t="s">
        <v>20</v>
      </c>
      <c r="H50" s="11">
        <v>10</v>
      </c>
      <c r="I50" s="85">
        <f t="shared" si="4"/>
        <v>10</v>
      </c>
    </row>
    <row r="51" spans="4:9">
      <c r="D51" s="83" t="s">
        <v>28</v>
      </c>
      <c r="E51" s="11">
        <v>10</v>
      </c>
      <c r="F51" s="66" t="s">
        <v>553</v>
      </c>
      <c r="G51" s="7" t="s">
        <v>20</v>
      </c>
      <c r="H51" s="11">
        <v>12.5</v>
      </c>
      <c r="I51" s="85">
        <f t="shared" si="4"/>
        <v>-2.5</v>
      </c>
    </row>
    <row r="52" spans="4:9">
      <c r="D52" s="83"/>
      <c r="E52" s="11"/>
      <c r="H52" s="11"/>
      <c r="I52" s="85"/>
    </row>
    <row r="53" spans="4:9" ht="15" thickBot="1">
      <c r="D53" s="86" t="str">
        <f>"Total people: " &amp; COUNTIF(E2:E51,"&lt;&gt;/")</f>
        <v>Total people: 37</v>
      </c>
      <c r="E53" s="87">
        <f>SUMIF(E2:E51,"&gt;0")</f>
        <v>560</v>
      </c>
      <c r="F53" s="87"/>
      <c r="G53" s="87" t="str">
        <f>"Done: "&amp;COUNTIF(G2:G51,"=*Y*")&amp;" / "&amp;COUNTIF(E2:E51,"&lt;&gt;*/*")</f>
        <v>Done: 35 / 37</v>
      </c>
      <c r="H53" s="87">
        <f>SUMIF(H2:H51,"&gt;0")</f>
        <v>530.21</v>
      </c>
      <c r="I53" s="88">
        <f>SUMIF(I2:I51,"&gt;0")</f>
        <v>77.28</v>
      </c>
    </row>
    <row r="54" spans="4:9">
      <c r="D54" s="101"/>
      <c r="E54" s="99"/>
      <c r="F54" s="99"/>
      <c r="G54" s="99"/>
      <c r="H54" s="99"/>
      <c r="I54" s="100"/>
    </row>
    <row r="55" spans="4:9">
      <c r="D55" s="22">
        <f>COUNTIF(E2:E51," ")</f>
        <v>0</v>
      </c>
      <c r="E55" s="92"/>
      <c r="F55" s="92"/>
      <c r="G55" s="92"/>
      <c r="H55" s="92"/>
      <c r="I55" s="92"/>
    </row>
    <row r="56" spans="4:9">
      <c r="D56" s="93"/>
      <c r="E56" s="94"/>
      <c r="F56" s="95"/>
      <c r="G56" s="96"/>
      <c r="H56" s="94"/>
      <c r="I56" s="94"/>
    </row>
    <row r="57" spans="4:9">
      <c r="D57" s="93"/>
      <c r="E57" s="94"/>
      <c r="F57" s="95"/>
      <c r="G57" s="96"/>
      <c r="H57" s="94"/>
      <c r="I57" s="94"/>
    </row>
    <row r="58" spans="4:9">
      <c r="D58" s="93"/>
      <c r="E58" s="94"/>
      <c r="F58" s="95"/>
      <c r="G58" s="96"/>
      <c r="H58" s="94"/>
      <c r="I58" s="94"/>
    </row>
    <row r="59" spans="4:9">
      <c r="D59" s="93"/>
      <c r="E59" s="94"/>
      <c r="F59" s="95"/>
      <c r="G59" s="96"/>
      <c r="H59" s="94"/>
      <c r="I59" s="94"/>
    </row>
    <row r="60" spans="4:9">
      <c r="D60" s="97"/>
      <c r="E60" s="97"/>
      <c r="F60" s="95"/>
      <c r="G60" s="96"/>
      <c r="H60" s="97"/>
      <c r="I60" s="97"/>
    </row>
    <row r="61" spans="4:9">
      <c r="D61" s="97"/>
      <c r="E61" s="97"/>
      <c r="F61" s="95"/>
      <c r="G61" s="96"/>
      <c r="H61" s="97"/>
      <c r="I61" s="97"/>
    </row>
    <row r="62" spans="4:9">
      <c r="D62" s="97"/>
      <c r="E62" s="98"/>
      <c r="F62" s="98"/>
      <c r="G62" s="98"/>
      <c r="H62" s="98"/>
      <c r="I62" s="98"/>
    </row>
  </sheetData>
  <conditionalFormatting sqref="B2:B24">
    <cfRule type="cellIs" dxfId="338" priority="1" operator="notEqual">
      <formula>"Y"</formula>
    </cfRule>
    <cfRule type="cellIs" dxfId="337" priority="2" operator="equal">
      <formula>"Y"</formula>
    </cfRule>
  </conditionalFormatting>
  <conditionalFormatting sqref="G1:G50">
    <cfRule type="cellIs" dxfId="336" priority="4" operator="equal">
      <formula>"Y"</formula>
    </cfRule>
  </conditionalFormatting>
  <conditionalFormatting sqref="G2:G50">
    <cfRule type="cellIs" dxfId="335" priority="3" operator="notEqual">
      <formula>"Y"</formula>
    </cfRule>
  </conditionalFormatting>
  <conditionalFormatting sqref="G60:G61 G63:G1048576">
    <cfRule type="cellIs" dxfId="334" priority="14" operator="equal">
      <formula>"Y"</formula>
    </cfRule>
  </conditionalFormatting>
  <pageMargins left="0.7" right="0.7" top="0.75" bottom="0.75" header="0.3" footer="0.3"/>
  <pageSetup paperSize="9" scale="67" orientation="portrait" horizontalDpi="0" verticalDpi="0"/>
  <rowBreaks count="1" manualBreakCount="1">
    <brk id="62" max="16383" man="1"/>
  </rowBreaks>
  <colBreaks count="1" manualBreakCount="1">
    <brk id="7" max="1048575" man="1"/>
  </colBreak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dimension ref="A1:H30"/>
  <sheetViews>
    <sheetView workbookViewId="0"/>
  </sheetViews>
  <sheetFormatPr defaultColWidth="11.33203125" defaultRowHeight="14.4" outlineLevelRow="1"/>
  <cols>
    <col min="1" max="1" width="15.44140625" customWidth="1"/>
    <col min="2" max="2" width="28.109375" customWidth="1"/>
    <col min="3" max="6" width="25" customWidth="1"/>
    <col min="7" max="7" width="19.44140625" customWidth="1"/>
    <col min="8" max="8" width="15.44140625" customWidth="1"/>
  </cols>
  <sheetData>
    <row r="1" spans="1:8" ht="18">
      <c r="A1" s="64" t="s">
        <v>554</v>
      </c>
      <c r="B1" s="13" t="s">
        <v>164</v>
      </c>
      <c r="C1" s="44" t="str">
        <f ca="1">IF(A1&lt;&gt;"",(TEXT(EOMONTH(TEXT("01" &amp; LEFT(A1,3) &amp; YEAR(TODAY()), "dd/mm/yy"),0) - WEEKDAY(EOMONTH(TEXT("01" &amp; LEFT(A1,3) &amp; YEAR(TODAY()), "dd/mm/yy"),0)+4)+1,"dd/mm/yy")) &amp; " - " &amp; (TEXT(EOMONTH(TEXT("01" &amp; LEFT(A1,3) &amp; YEAR(TODAY()), "dd/mm/yy"),0) - WEEKDAY(EOMONTH(TEXT("01" &amp; LEFT(A1,3) &amp; YEAR(TODAY()), "dd/mm/yy"),0)+4)+7,"dd/mm/yy")),"")</f>
        <v>30/09/26 - 06/10/26</v>
      </c>
      <c r="D1" s="44" t="str">
        <f ca="1">TEXT(DATEVALUE(RIGHT(C1,8))+1,"dd/mm/yy")&amp; " - "&amp; TEXT(DATEVALUE(RIGHT(C1,8))+7,"dd/mm/yy")</f>
        <v>07/10/26 - 13/10/26</v>
      </c>
      <c r="E1" s="44" t="str">
        <f ca="1">TEXT(DATEVALUE(RIGHT(D1,8))+1,"dd/mm/yy")&amp; " - "&amp; TEXT(DATEVALUE(RIGHT(D1,8))+7,"dd/mm/yy")</f>
        <v>14/10/26 - 20/10/26</v>
      </c>
      <c r="F1" s="44" t="str">
        <f ca="1">TEXT(DATEVALUE(RIGHT(E1,8))+1,"dd/mm/yy")&amp; " - "&amp; TEXT(DATEVALUE(RIGHT(E1,8))+7,"dd/mm/yy")</f>
        <v>21/10/26 - 27/10/26</v>
      </c>
      <c r="G1" s="12" t="s">
        <v>10</v>
      </c>
      <c r="H1" s="12"/>
    </row>
    <row r="2" spans="1:8" ht="18">
      <c r="A2" s="12" t="s">
        <v>165</v>
      </c>
      <c r="B2" s="10"/>
      <c r="C2" s="296">
        <f>SUM(C3:C17)</f>
        <v>428.9</v>
      </c>
      <c r="D2" s="296">
        <f>SUM(D3:D17)</f>
        <v>331.89</v>
      </c>
      <c r="E2" s="296">
        <f>SUM(E3:E17)</f>
        <v>258.76</v>
      </c>
      <c r="F2" s="296">
        <f>SUM(F3:F17)</f>
        <v>203.47</v>
      </c>
      <c r="G2" s="10"/>
      <c r="H2" s="12"/>
    </row>
    <row r="3" spans="1:8" ht="18" outlineLevel="1">
      <c r="A3" s="31" t="s">
        <v>408</v>
      </c>
      <c r="B3" s="17">
        <f>IF(G1="Remaining",'Joint Outgoings'!B3*4,IF(H1= "Remaining",'Joint Outgoings'!B3* 5,""))</f>
        <v>0</v>
      </c>
      <c r="C3" s="10">
        <v>40</v>
      </c>
      <c r="D3" s="10">
        <v>40</v>
      </c>
      <c r="E3" s="10">
        <v>40</v>
      </c>
      <c r="F3" s="10">
        <v>40</v>
      </c>
      <c r="G3" s="10">
        <f>IF(B3&lt;&gt;"",B3-C3-D3-E3-F3,"")</f>
        <v>-160</v>
      </c>
      <c r="H3" s="34" t="str">
        <f>A3</f>
        <v>Poodini Fund</v>
      </c>
    </row>
    <row r="4" spans="1:8" ht="18" outlineLevel="1">
      <c r="A4" s="31" t="s">
        <v>167</v>
      </c>
      <c r="B4" s="17">
        <f>IF(G1="Remaining",'Joint Outgoings'!B24*4,IF(H1= "Remaining",'Joint Outgoings'!B24* 5,""))</f>
        <v>0</v>
      </c>
      <c r="C4" s="10"/>
      <c r="D4" s="10">
        <v>28.37</v>
      </c>
      <c r="E4" s="10"/>
      <c r="F4" s="10"/>
      <c r="G4" s="10">
        <f>IF(B4&lt;&gt;"",B4-C4-D4-E4-F4,"")</f>
        <v>-28.37</v>
      </c>
      <c r="H4" s="12" t="str">
        <f>A4</f>
        <v xml:space="preserve">Car Petrol </v>
      </c>
    </row>
    <row r="5" spans="1:8" ht="18" outlineLevel="1">
      <c r="A5" s="31" t="s">
        <v>168</v>
      </c>
      <c r="B5" s="17" t="e">
        <f>IF(G1="Remaining",'Joint Outgoings'!#REF!*4,IF(H1= "Remaining",'Joint Outgoings'!#REF!* 5,""))</f>
        <v>#REF!</v>
      </c>
      <c r="C5" s="10">
        <v>0</v>
      </c>
      <c r="D5" s="10"/>
      <c r="E5" s="10">
        <v>9.66</v>
      </c>
      <c r="F5" s="10"/>
      <c r="G5" s="10" t="e">
        <f>IF(B5&lt;&gt;"",B5-C5-D5-E5-F5,"")</f>
        <v>#REF!</v>
      </c>
      <c r="H5" s="12" t="str">
        <f t="shared" ref="H5:H16" si="0">A5</f>
        <v>Bike petrol</v>
      </c>
    </row>
    <row r="6" spans="1:8" ht="18" outlineLevel="1">
      <c r="A6" s="31" t="s">
        <v>179</v>
      </c>
      <c r="B6" s="10" t="e">
        <f>'Joint Outgoings'!#REF!</f>
        <v>#REF!</v>
      </c>
      <c r="C6" s="10"/>
      <c r="D6" s="10"/>
      <c r="E6" s="10">
        <v>9.99</v>
      </c>
      <c r="F6" s="10"/>
      <c r="G6" s="10" t="e">
        <f t="shared" ref="G6:G17" si="1">IF(B6&lt;&gt;"",B6-C6-D6-E6-F6,"")</f>
        <v>#REF!</v>
      </c>
      <c r="H6" s="12" t="str">
        <f t="shared" si="0"/>
        <v>Sky Movies</v>
      </c>
    </row>
    <row r="7" spans="1:8" ht="18" outlineLevel="1">
      <c r="A7" s="31" t="s">
        <v>180</v>
      </c>
      <c r="B7" s="10" t="e">
        <f>'Joint Outgoings'!#REF!</f>
        <v>#REF!</v>
      </c>
      <c r="C7" s="10"/>
      <c r="D7" s="10">
        <v>4.99</v>
      </c>
      <c r="E7" s="10"/>
      <c r="F7" s="10"/>
      <c r="G7" s="10" t="e">
        <f t="shared" si="1"/>
        <v>#REF!</v>
      </c>
      <c r="H7" s="12" t="str">
        <f t="shared" si="0"/>
        <v>Spotify</v>
      </c>
    </row>
    <row r="8" spans="1:8" ht="18" outlineLevel="1">
      <c r="A8" s="31" t="s">
        <v>176</v>
      </c>
      <c r="B8" s="10">
        <f>'Joint Outgoings'!C29</f>
        <v>16.989999999999998</v>
      </c>
      <c r="C8" s="10"/>
      <c r="D8" s="10"/>
      <c r="E8" s="10"/>
      <c r="F8" s="10">
        <v>44.99</v>
      </c>
      <c r="G8" s="10">
        <f t="shared" si="1"/>
        <v>-28.000000000000004</v>
      </c>
      <c r="H8" s="12" t="str">
        <f t="shared" si="0"/>
        <v xml:space="preserve">Phone </v>
      </c>
    </row>
    <row r="9" spans="1:8" ht="18" outlineLevel="1">
      <c r="A9" s="31" t="s">
        <v>410</v>
      </c>
      <c r="B9" s="10" t="e">
        <f>'Joint Outgoings'!#REF!</f>
        <v>#REF!</v>
      </c>
      <c r="C9" s="10"/>
      <c r="D9" s="10"/>
      <c r="E9" s="10">
        <v>36.29</v>
      </c>
      <c r="F9" s="10"/>
      <c r="G9" s="10" t="e">
        <f t="shared" si="1"/>
        <v>#REF!</v>
      </c>
      <c r="H9" s="12" t="str">
        <f t="shared" si="0"/>
        <v>Bupa</v>
      </c>
    </row>
    <row r="10" spans="1:8" ht="18" outlineLevel="1">
      <c r="A10" s="31" t="s">
        <v>177</v>
      </c>
      <c r="B10" s="10">
        <v>17.989999999999998</v>
      </c>
      <c r="C10" s="10">
        <v>17.989999999999998</v>
      </c>
      <c r="D10" s="10"/>
      <c r="E10" s="10"/>
      <c r="F10" s="10"/>
      <c r="G10" s="10">
        <f t="shared" si="1"/>
        <v>0</v>
      </c>
      <c r="H10" s="12" t="str">
        <f t="shared" si="0"/>
        <v>Gym</v>
      </c>
    </row>
    <row r="11" spans="1:8" ht="18" outlineLevel="1">
      <c r="A11" s="31" t="s">
        <v>409</v>
      </c>
      <c r="B11" s="10">
        <v>0</v>
      </c>
      <c r="C11" s="10"/>
      <c r="D11" s="10"/>
      <c r="E11" s="10"/>
      <c r="F11" s="10"/>
      <c r="G11" s="10">
        <f t="shared" si="1"/>
        <v>0</v>
      </c>
      <c r="H11" s="12" t="str">
        <f t="shared" si="0"/>
        <v>House Deposit</v>
      </c>
    </row>
    <row r="12" spans="1:8" ht="18" outlineLevel="1">
      <c r="A12" s="31" t="s">
        <v>411</v>
      </c>
      <c r="B12" s="10">
        <v>153.66999999999999</v>
      </c>
      <c r="C12" s="10"/>
      <c r="D12" s="10"/>
      <c r="E12" s="10">
        <v>153.66999999999999</v>
      </c>
      <c r="F12" s="10"/>
      <c r="G12" s="10">
        <f t="shared" si="1"/>
        <v>0</v>
      </c>
      <c r="H12" s="12" t="str">
        <f t="shared" si="0"/>
        <v>Car ins.</v>
      </c>
    </row>
    <row r="13" spans="1:8" ht="18" outlineLevel="1">
      <c r="A13" s="31" t="s">
        <v>178</v>
      </c>
      <c r="B13" s="10">
        <f>'Joint Outgoings'!C25</f>
        <v>200</v>
      </c>
      <c r="C13" s="10">
        <v>12.68</v>
      </c>
      <c r="D13" s="10"/>
      <c r="E13" s="10"/>
      <c r="F13" s="10"/>
      <c r="G13" s="10">
        <f t="shared" si="1"/>
        <v>187.32</v>
      </c>
      <c r="H13" s="12" t="str">
        <f t="shared" si="0"/>
        <v>Car v.tax</v>
      </c>
    </row>
    <row r="14" spans="1:8" ht="18" outlineLevel="1">
      <c r="A14" s="31" t="s">
        <v>169</v>
      </c>
      <c r="B14" s="10">
        <f>IF(G1="Remaining",20*4,IF(H1= "Remaining",20* 5,""))</f>
        <v>80</v>
      </c>
      <c r="C14" s="10">
        <v>20</v>
      </c>
      <c r="D14" s="10">
        <f>10+10+3.51</f>
        <v>23.509999999999998</v>
      </c>
      <c r="E14" s="10"/>
      <c r="F14" s="10">
        <v>20</v>
      </c>
      <c r="G14" s="10">
        <f t="shared" si="1"/>
        <v>16.490000000000002</v>
      </c>
      <c r="H14" s="12" t="str">
        <f t="shared" si="0"/>
        <v>Food</v>
      </c>
    </row>
    <row r="15" spans="1:8" ht="18" outlineLevel="1">
      <c r="A15" s="31" t="s">
        <v>170</v>
      </c>
      <c r="B15" s="10">
        <f>IF(G1="Remaining",20*4,IF(H1= "Remaining",20* 5,""))</f>
        <v>80</v>
      </c>
      <c r="C15" s="10"/>
      <c r="D15" s="10">
        <v>80</v>
      </c>
      <c r="E15" s="10"/>
      <c r="F15" s="10">
        <v>45</v>
      </c>
      <c r="G15" s="10">
        <f t="shared" si="1"/>
        <v>-45</v>
      </c>
      <c r="H15" s="12" t="str">
        <f t="shared" si="0"/>
        <v>Gift Fund</v>
      </c>
    </row>
    <row r="16" spans="1:8" ht="18" outlineLevel="1">
      <c r="A16" s="31" t="s">
        <v>171</v>
      </c>
      <c r="B16" s="10">
        <f>IF(G1="Remaining",20*4,IF(H1= "Remaining",20* 5,""))</f>
        <v>80</v>
      </c>
      <c r="C16" s="10"/>
      <c r="D16" s="10">
        <v>80</v>
      </c>
      <c r="E16" s="10"/>
      <c r="F16" s="10"/>
      <c r="G16" s="10">
        <f t="shared" si="1"/>
        <v>0</v>
      </c>
      <c r="H16" s="12" t="str">
        <f t="shared" si="0"/>
        <v>Holiday Fund</v>
      </c>
    </row>
    <row r="17" spans="1:8" ht="18" outlineLevel="1">
      <c r="A17" s="31" t="s">
        <v>172</v>
      </c>
      <c r="B17" s="10" t="e">
        <f>IF(B21 &lt;&gt; 0,B21-SUM(B3:B16)-SUM(C18:F18),"")</f>
        <v>#REF!</v>
      </c>
      <c r="C17" s="10">
        <f>(92.97-6)+110+17.2+48.18+31.3+5.99+25.19+13.4</f>
        <v>338.22999999999996</v>
      </c>
      <c r="D17" s="10">
        <f>16+3.88+11.44+42.51+1.19</f>
        <v>75.02</v>
      </c>
      <c r="E17" s="10">
        <f>4.16+4.99</f>
        <v>9.15</v>
      </c>
      <c r="F17" s="10">
        <v>53.48</v>
      </c>
      <c r="G17" s="10" t="e">
        <f t="shared" si="1"/>
        <v>#REF!</v>
      </c>
      <c r="H17" s="12" t="s">
        <v>172</v>
      </c>
    </row>
    <row r="18" spans="1:8" ht="18" outlineLevel="1">
      <c r="A18" s="31" t="s">
        <v>184</v>
      </c>
      <c r="B18" s="10">
        <f>IF(SUM(C18:F18)&lt;&gt;0,SUM(C18:F18),"")</f>
        <v>1761.51</v>
      </c>
      <c r="C18" s="10">
        <f>1500+161.51+100</f>
        <v>1761.51</v>
      </c>
      <c r="D18" s="10"/>
      <c r="E18" s="10"/>
      <c r="F18" s="10"/>
      <c r="G18" s="10"/>
      <c r="H18" s="12" t="s">
        <v>183</v>
      </c>
    </row>
    <row r="19" spans="1:8" ht="18" outlineLevel="1">
      <c r="A19" s="31" t="s">
        <v>185</v>
      </c>
      <c r="B19" s="10">
        <f>SUM(C19:F19)</f>
        <v>0</v>
      </c>
      <c r="C19" s="10"/>
      <c r="D19" s="10"/>
      <c r="E19" s="10"/>
      <c r="F19" s="10"/>
      <c r="G19" s="10"/>
      <c r="H19" s="12"/>
    </row>
    <row r="20" spans="1:8" ht="18" outlineLevel="1">
      <c r="A20" s="31" t="s">
        <v>412</v>
      </c>
      <c r="B20" s="10">
        <f>SUM(C20:F20)</f>
        <v>0</v>
      </c>
      <c r="C20" s="10"/>
      <c r="D20" s="10"/>
      <c r="E20" s="10"/>
      <c r="F20" s="10"/>
      <c r="G20" s="10"/>
      <c r="H20" s="12"/>
    </row>
    <row r="21" spans="1:8" ht="18">
      <c r="A21" s="32" t="s">
        <v>186</v>
      </c>
      <c r="B21" s="296">
        <f>SUM(C21:F21)</f>
        <v>2970.8300000000004</v>
      </c>
      <c r="C21" s="26">
        <f>1090.51+301+1500</f>
        <v>2891.51</v>
      </c>
      <c r="D21" s="26">
        <f>79.32</f>
        <v>79.319999999999993</v>
      </c>
      <c r="E21" s="27"/>
      <c r="F21" s="36"/>
      <c r="G21" s="46" t="e">
        <f>ROUND(SUM(G3:G17),2)&amp;" / "&amp;ROUND(B21-B18+(IF(B19&lt;&gt;"",B19,0)),2)</f>
        <v>#REF!</v>
      </c>
      <c r="H21" s="10"/>
    </row>
    <row r="22" spans="1:8" ht="18">
      <c r="A22" s="24"/>
      <c r="B22" s="10"/>
      <c r="C22" s="49"/>
      <c r="D22" s="26"/>
      <c r="E22" s="23"/>
      <c r="F22" s="25"/>
      <c r="G22" s="79" t="e">
        <f>IF(ROUND(SUM(G3:G17),2)&gt;0,IF(ROUND(SUM(G3:G17),2)&lt;ROUND(SUMIF(G3:G17,"&gt;0"),2),"NOT ENOUGH MONEY",""),"NO MONEY")</f>
        <v>#REF!</v>
      </c>
      <c r="H22" s="11"/>
    </row>
    <row r="23" spans="1:8" ht="18">
      <c r="A23" s="17" t="s">
        <v>187</v>
      </c>
      <c r="B23" s="17" t="str">
        <f ca="1">IF(MONTH(TODAY()) = 11, "Bike insurance due","")</f>
        <v/>
      </c>
      <c r="C23" s="59"/>
      <c r="D23" s="16"/>
      <c r="E23" s="16"/>
      <c r="F23" s="16"/>
      <c r="G23" s="11"/>
    </row>
    <row r="24" spans="1:8" ht="19.2">
      <c r="A24" s="17"/>
      <c r="B24" s="17" t="str">
        <f ca="1">IF(MONTH(TODAY()) = 6, "Car insurance due","")</f>
        <v/>
      </c>
      <c r="C24" s="20"/>
      <c r="D24" s="115" t="str">
        <f>IF(A1&lt;&gt;"",UPPER(TEXT(DATE(2000,MONTH(DATEVALUE(LEFT(A1,3)&amp;" 1"))-1,1),"mmm"))&amp;"-"&amp;UPPER(TEXT(DATE(2000,MONTH(DATEVALUE(RIGHT(LEFT(A1,7),3)&amp;" 1"))-1,1),"mmm")) &amp; " " &amp; RIGHT(A1,4),"")</f>
        <v>AUG-SEP 2016</v>
      </c>
      <c r="E24" s="16"/>
      <c r="F24" s="18"/>
    </row>
    <row r="25" spans="1:8" ht="18">
      <c r="A25" s="17"/>
      <c r="B25" s="17"/>
      <c r="C25" s="39"/>
      <c r="D25" s="39"/>
      <c r="E25" s="43"/>
      <c r="F25" s="20"/>
      <c r="G25" s="11"/>
      <c r="H25" s="11"/>
    </row>
    <row r="26" spans="1:8" ht="18">
      <c r="A26" s="10"/>
      <c r="B26" s="10"/>
      <c r="C26" s="40"/>
      <c r="D26" s="41"/>
      <c r="E26" s="41"/>
      <c r="F26" s="41"/>
    </row>
    <row r="27" spans="1:8" ht="18">
      <c r="A27" s="20"/>
      <c r="B27" s="10"/>
      <c r="C27" s="10"/>
      <c r="D27" s="42"/>
    </row>
    <row r="28" spans="1:8">
      <c r="B28" s="42"/>
    </row>
    <row r="29" spans="1:8" ht="18">
      <c r="B29" s="10"/>
    </row>
    <row r="30" spans="1:8">
      <c r="A30" s="42"/>
    </row>
  </sheetData>
  <dataConsolidate/>
  <conditionalFormatting sqref="G3:G17">
    <cfRule type="cellIs" dxfId="333" priority="2" operator="lessThan">
      <formula>0</formula>
    </cfRule>
    <cfRule type="cellIs" dxfId="332" priority="3" operator="equal">
      <formula>0</formula>
    </cfRule>
    <cfRule type="cellIs" dxfId="331" priority="4" operator="greaterThan">
      <formula>0</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6A401C81-FBFA-CB46-A18E-79D79221CEB7}">
            <xm:f>NOT(ISERROR(SEARCH("-",G21)))</xm:f>
            <xm:f>"-"</xm:f>
            <x14:dxf>
              <font>
                <color rgb="FF9C0006"/>
              </font>
              <fill>
                <patternFill>
                  <bgColor rgb="FFFFC7CE"/>
                </patternFill>
              </fill>
            </x14:dxf>
          </x14:cfRule>
          <xm:sqref>G21</xm:sqref>
        </x14:conditionalFormatting>
      </x14:conditionalFormatting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dimension ref="A1:I29"/>
  <sheetViews>
    <sheetView workbookViewId="0"/>
  </sheetViews>
  <sheetFormatPr defaultColWidth="11.33203125" defaultRowHeight="14.4" outlineLevelRow="1"/>
  <cols>
    <col min="1" max="1" width="15.44140625" customWidth="1"/>
    <col min="2" max="2" width="28.109375" customWidth="1"/>
    <col min="3" max="7" width="25" customWidth="1"/>
    <col min="8" max="8" width="19.44140625" customWidth="1"/>
    <col min="9" max="9" width="15.44140625" customWidth="1"/>
  </cols>
  <sheetData>
    <row r="1" spans="1:9" ht="18">
      <c r="A1" s="103" t="s">
        <v>555</v>
      </c>
      <c r="B1" s="13" t="s">
        <v>164</v>
      </c>
      <c r="C1" s="44" t="str">
        <f ca="1">IF(A1&lt;&gt;"",IF(ISREF(INDIRECT("'"&amp;UPPER(TEXT(DATE(2000,MONTH(DATEVALUE(LEFT(A1,3)&amp;" 1"))-1,1),"mmm"))&amp;"-"&amp;UPPER(TEXT(DATE(2000,MONTH(DATEVALUE(RIGHT(LEFT(A1,7),3)&amp;" 1"))-1,1),"mmm"))&amp;" "&amp;RIGHT(A1,4)&amp;"'!A1"))=TRUE,(TEXT(DATEVALUE(RIGHT(INDIRECT("'"&amp;UPPER(TEXT(DATE(2000,MONTH(DATEVALUE(LEFT(A1,3)&amp;" 1"))-1,1),"mmm"))&amp;"-"&amp;UPPER(TEXT(DATE(2000,MONTH(DATEVALUE(RIGHT(LEFT(A1,7),3)&amp;" 1"))-1,1),"mmm"))&amp;" "&amp;RIGHT(A1,4)&amp;"'!F1"),8))+1,"dd/mm/yy")&amp;" - "&amp;(TEXT(DATEVALUE(RIGHT(INDIRECT("'"&amp;UPPER(TEXT(DATE(2000,MONTH(DATEVALUE(LEFT(A1,3)&amp;" 1"))-1,1),"mmm"))&amp;"-"&amp;UPPER(TEXT(DATE(2000,MONTH(DATEVALUE(RIGHT(LEFT(A1,7),3)&amp;" 1"))-1,1),"mmm"))&amp;" "&amp;RIGHT(A1,4)&amp;"'!F1"),8))+8,"dd/mm/yy")))))</f>
        <v>28/10/26 - 04/11/26</v>
      </c>
      <c r="D1" s="44" t="str">
        <f ca="1">TEXT(DATEVALUE(RIGHT(C1,8))+1,"dd/mm/yy")&amp; " - "&amp; TEXT(DATEVALUE(RIGHT(C1,8))+7,"dd/mm/yy")</f>
        <v>05/11/26 - 11/11/26</v>
      </c>
      <c r="E1" s="44" t="str">
        <f ca="1">TEXT(DATEVALUE(RIGHT(D1,8))+1,"dd/mm/yy")&amp; " - "&amp; TEXT(DATEVALUE(RIGHT(D1,8))+7,"dd/mm/yy")</f>
        <v>12/11/26 - 18/11/26</v>
      </c>
      <c r="F1" s="44" t="str">
        <f ca="1">TEXT(DATEVALUE(RIGHT(E1,8))+1,"dd/mm/yy")&amp; " - "&amp; TEXT(DATEVALUE(RIGHT(E1,8))+7,"dd/mm/yy")</f>
        <v>19/11/26 - 25/11/26</v>
      </c>
      <c r="G1" s="44" t="str">
        <f ca="1">TEXT(DATEVALUE(RIGHT(F1,8))+1,"dd/mm/yy")&amp; " - "&amp; TEXT(DATEVALUE(RIGHT(F1,8))+7,"dd/mm/yy")</f>
        <v>26/11/26 - 02/12/26</v>
      </c>
      <c r="H1" s="12" t="s">
        <v>10</v>
      </c>
      <c r="I1" s="12"/>
    </row>
    <row r="2" spans="1:9" ht="18">
      <c r="A2" s="12" t="s">
        <v>165</v>
      </c>
      <c r="B2" s="10"/>
      <c r="C2" s="296">
        <f>SUM(C3:C17)</f>
        <v>3363.2399999999989</v>
      </c>
      <c r="D2" s="296">
        <f>SUM(D3:D17)</f>
        <v>1562.4899999999998</v>
      </c>
      <c r="E2" s="296">
        <f>SUM(E3:E17)</f>
        <v>203.2</v>
      </c>
      <c r="F2" s="296">
        <f>SUM(F3:F17)</f>
        <v>701.63999999999987</v>
      </c>
      <c r="G2" s="296">
        <f>SUM(G3:G17)</f>
        <v>0</v>
      </c>
      <c r="H2" s="10"/>
      <c r="I2" s="12"/>
    </row>
    <row r="3" spans="1:9" ht="18" outlineLevel="1">
      <c r="A3" s="31" t="s">
        <v>408</v>
      </c>
      <c r="B3" s="17">
        <f ca="1">IF(G1="Remaining",'Joint Outgoings'!B3*4,IF(H1= "Remaining",'Joint Outgoings'!B3* 5,""))</f>
        <v>0</v>
      </c>
      <c r="C3" s="10">
        <f>540+33.56</f>
        <v>573.55999999999995</v>
      </c>
      <c r="D3" s="10"/>
      <c r="E3" s="10"/>
      <c r="F3" s="10"/>
      <c r="G3" s="10"/>
      <c r="H3" s="10">
        <f ca="1">IF(B3&lt;&gt;"",B3-C3-D3-E3-F3-G3,"")</f>
        <v>-573.55999999999995</v>
      </c>
      <c r="I3" s="34" t="str">
        <f>A3</f>
        <v>Poodini Fund</v>
      </c>
    </row>
    <row r="4" spans="1:9" ht="18" outlineLevel="1">
      <c r="A4" s="31" t="s">
        <v>167</v>
      </c>
      <c r="B4" s="17">
        <f>70</f>
        <v>70</v>
      </c>
      <c r="C4" s="10"/>
      <c r="D4" s="10">
        <v>30.15</v>
      </c>
      <c r="E4" s="10"/>
      <c r="F4" s="10"/>
      <c r="G4" s="10"/>
      <c r="H4" s="10">
        <f>IF(B4&lt;&gt;"",B4-C4-D4-E4-F4-G4,"")</f>
        <v>39.85</v>
      </c>
      <c r="I4" s="12" t="str">
        <f>A4</f>
        <v xml:space="preserve">Car Petrol </v>
      </c>
    </row>
    <row r="5" spans="1:9" ht="18" outlineLevel="1">
      <c r="A5" s="31" t="s">
        <v>168</v>
      </c>
      <c r="B5" s="17">
        <f>20</f>
        <v>20</v>
      </c>
      <c r="C5" s="10">
        <v>9.32</v>
      </c>
      <c r="D5" s="10">
        <v>5.29</v>
      </c>
      <c r="E5" s="10"/>
      <c r="F5" s="10">
        <f>4.61</f>
        <v>4.6100000000000003</v>
      </c>
      <c r="G5" s="10"/>
      <c r="H5" s="10">
        <f t="shared" ref="H5:H9" si="0">IF(B5&lt;&gt;"",B5-C5-D5-E5-F5-G5,"")</f>
        <v>0.77999999999999936</v>
      </c>
      <c r="I5" s="12" t="str">
        <f t="shared" ref="I5:I16" si="1">A5</f>
        <v>Bike petrol</v>
      </c>
    </row>
    <row r="6" spans="1:9" ht="18" outlineLevel="1">
      <c r="A6" s="31" t="s">
        <v>179</v>
      </c>
      <c r="B6" s="10" t="e">
        <f>'Joint Outgoings'!#REF!</f>
        <v>#REF!</v>
      </c>
      <c r="C6" s="10"/>
      <c r="D6" s="10"/>
      <c r="E6" s="10">
        <v>9.99</v>
      </c>
      <c r="F6" s="10"/>
      <c r="G6" s="10"/>
      <c r="H6" s="10" t="e">
        <f t="shared" si="0"/>
        <v>#REF!</v>
      </c>
      <c r="I6" s="12" t="str">
        <f t="shared" si="1"/>
        <v>Sky Movies</v>
      </c>
    </row>
    <row r="7" spans="1:9" ht="18" outlineLevel="1">
      <c r="A7" s="31" t="s">
        <v>180</v>
      </c>
      <c r="B7" s="10" t="e">
        <f>'Joint Outgoings'!#REF!</f>
        <v>#REF!</v>
      </c>
      <c r="C7" s="10"/>
      <c r="D7" s="10">
        <v>4.99</v>
      </c>
      <c r="E7" s="10"/>
      <c r="F7" s="10"/>
      <c r="G7" s="10"/>
      <c r="H7" s="10" t="e">
        <f t="shared" si="0"/>
        <v>#REF!</v>
      </c>
      <c r="I7" s="12" t="str">
        <f t="shared" si="1"/>
        <v>Spotify</v>
      </c>
    </row>
    <row r="8" spans="1:9" ht="18" outlineLevel="1">
      <c r="A8" s="31" t="s">
        <v>176</v>
      </c>
      <c r="B8" s="10">
        <f>'Joint Outgoings'!C29</f>
        <v>16.989999999999998</v>
      </c>
      <c r="C8" s="10"/>
      <c r="D8" s="10"/>
      <c r="E8" s="10"/>
      <c r="F8" s="10">
        <v>44.99</v>
      </c>
      <c r="G8" s="10"/>
      <c r="H8" s="10">
        <f t="shared" si="0"/>
        <v>-28.000000000000004</v>
      </c>
      <c r="I8" s="12" t="str">
        <f t="shared" si="1"/>
        <v xml:space="preserve">Phone </v>
      </c>
    </row>
    <row r="9" spans="1:9" ht="18" outlineLevel="1">
      <c r="A9" s="31" t="s">
        <v>410</v>
      </c>
      <c r="B9" s="10" t="e">
        <f>'Joint Outgoings'!#REF!</f>
        <v>#REF!</v>
      </c>
      <c r="C9" s="10"/>
      <c r="D9" s="10"/>
      <c r="E9" s="10">
        <v>36.29</v>
      </c>
      <c r="F9" s="10"/>
      <c r="G9" s="10"/>
      <c r="H9" s="10" t="e">
        <f t="shared" si="0"/>
        <v>#REF!</v>
      </c>
      <c r="I9" s="12" t="str">
        <f t="shared" si="1"/>
        <v>Bupa</v>
      </c>
    </row>
    <row r="10" spans="1:9" ht="18" outlineLevel="1">
      <c r="A10" s="31" t="s">
        <v>177</v>
      </c>
      <c r="B10" s="10">
        <v>17.989999999999998</v>
      </c>
      <c r="C10" s="10">
        <v>17.989999999999998</v>
      </c>
      <c r="D10" s="10"/>
      <c r="E10" s="10"/>
      <c r="F10" s="10"/>
      <c r="G10" s="10"/>
      <c r="H10" s="10">
        <f>IF(B10&lt;&gt;"",B10-C10-D10-E10-F10-G10,"")</f>
        <v>0</v>
      </c>
      <c r="I10" s="12" t="str">
        <f t="shared" si="1"/>
        <v>Gym</v>
      </c>
    </row>
    <row r="11" spans="1:9" ht="18" outlineLevel="1">
      <c r="A11" s="31" t="s">
        <v>409</v>
      </c>
      <c r="B11" s="10">
        <v>0</v>
      </c>
      <c r="C11" s="10"/>
      <c r="D11" s="10"/>
      <c r="E11" s="10"/>
      <c r="F11" s="10"/>
      <c r="G11" s="10"/>
      <c r="H11" s="10">
        <f>IF(B11&lt;&gt;"",B11-C11-D11-E11-F11-G11,"")</f>
        <v>0</v>
      </c>
      <c r="I11" s="12" t="str">
        <f t="shared" si="1"/>
        <v>House Deposit</v>
      </c>
    </row>
    <row r="12" spans="1:9" ht="18" outlineLevel="1">
      <c r="A12" s="31" t="s">
        <v>411</v>
      </c>
      <c r="B12" s="10">
        <v>153.66999999999999</v>
      </c>
      <c r="C12" s="10"/>
      <c r="D12" s="10">
        <v>153.66999999999999</v>
      </c>
      <c r="E12" s="10"/>
      <c r="F12" s="10"/>
      <c r="G12" s="10"/>
      <c r="H12" s="10">
        <f>IF(B12&lt;&gt;"",B12-C12-D12-E12-F12-G12,"")</f>
        <v>0</v>
      </c>
      <c r="I12" s="12" t="str">
        <f t="shared" si="1"/>
        <v>Car ins.</v>
      </c>
    </row>
    <row r="13" spans="1:9" ht="18" outlineLevel="1">
      <c r="A13" s="31" t="s">
        <v>178</v>
      </c>
      <c r="B13" s="10">
        <f>'Joint Outgoings'!C25</f>
        <v>200</v>
      </c>
      <c r="C13" s="10">
        <v>12.68</v>
      </c>
      <c r="D13" s="10"/>
      <c r="E13" s="10"/>
      <c r="F13" s="10"/>
      <c r="G13" s="10"/>
      <c r="H13" s="10">
        <f>IF(B13&lt;&gt;"",B13-C13-D13-E13-F13-G13,"")</f>
        <v>187.32</v>
      </c>
      <c r="I13" s="12" t="str">
        <f t="shared" si="1"/>
        <v>Car v.tax</v>
      </c>
    </row>
    <row r="14" spans="1:9" ht="18" outlineLevel="1">
      <c r="A14" s="31" t="s">
        <v>169</v>
      </c>
      <c r="B14" s="10">
        <f ca="1">IF(G1="Remaining",20*4,IF(H1= "Remaining",20* 5,""))</f>
        <v>100</v>
      </c>
      <c r="C14" s="10">
        <v>30</v>
      </c>
      <c r="D14" s="10">
        <f>27.45+5.1</f>
        <v>32.549999999999997</v>
      </c>
      <c r="E14" s="10">
        <f>3+2.21+2.1+4.85+30+6.95</f>
        <v>49.11</v>
      </c>
      <c r="F14" s="10">
        <f>4.27+2.66+6+3.82+10+7.96</f>
        <v>34.71</v>
      </c>
      <c r="G14" s="10"/>
      <c r="H14" s="10">
        <f t="shared" ref="H14:H16" ca="1" si="2">IF(B14&lt;&gt;"",B14-C14-D14-E14-F14-G14,"")</f>
        <v>-46.37</v>
      </c>
      <c r="I14" s="12" t="str">
        <f t="shared" si="1"/>
        <v>Food</v>
      </c>
    </row>
    <row r="15" spans="1:9" ht="18" outlineLevel="1">
      <c r="A15" s="31" t="s">
        <v>170</v>
      </c>
      <c r="B15" s="10">
        <v>0</v>
      </c>
      <c r="C15" s="10"/>
      <c r="D15" s="10"/>
      <c r="E15" s="10"/>
      <c r="F15" s="10"/>
      <c r="G15" s="10"/>
      <c r="H15" s="10">
        <f t="shared" si="2"/>
        <v>0</v>
      </c>
      <c r="I15" s="12" t="str">
        <f t="shared" si="1"/>
        <v>Gift Fund</v>
      </c>
    </row>
    <row r="16" spans="1:9" ht="18" outlineLevel="1">
      <c r="A16" s="31" t="s">
        <v>171</v>
      </c>
      <c r="B16" s="10">
        <v>80</v>
      </c>
      <c r="C16" s="10">
        <v>80</v>
      </c>
      <c r="D16" s="10"/>
      <c r="E16" s="10"/>
      <c r="F16" s="10"/>
      <c r="G16" s="10"/>
      <c r="H16" s="10">
        <f t="shared" si="2"/>
        <v>0</v>
      </c>
      <c r="I16" s="12" t="str">
        <f t="shared" si="1"/>
        <v>Holiday Fund</v>
      </c>
    </row>
    <row r="17" spans="1:9" ht="18" outlineLevel="1">
      <c r="A17" s="31" t="s">
        <v>172</v>
      </c>
      <c r="B17" s="10" t="e">
        <f ca="1">IF(B21 &lt;&gt; 0,B21-SUM(B3:B16)-SUM(C18:F18),0)+B19</f>
        <v>#REF!</v>
      </c>
      <c r="C17" s="10">
        <f>2000+4.6+6.84+255+11.53+4.74+37.35+47.49+5.99+20+5+33.85+30+70+48.9+21.5+10+26.9</f>
        <v>2639.6899999999991</v>
      </c>
      <c r="D17" s="10">
        <f>6.98+14.32+66.49+5.49+50+5.18+21.5+40.55+3.5+53.15+20+47.54+43.89+40+11.92+28.81+59.99+120+430+266.53</f>
        <v>1335.84</v>
      </c>
      <c r="E17" s="10">
        <f>16.2+20+5.49+34.4+31.72</f>
        <v>107.81</v>
      </c>
      <c r="F17" s="10">
        <f>20+34+3.49+28.97+6+35.99+51.47+1.25+133.08+58.94+188.14+1.25+20+34.75</f>
        <v>617.32999999999993</v>
      </c>
      <c r="G17" s="10"/>
      <c r="H17" s="10" t="e">
        <f ca="1">IF(B17&lt;&gt;"",B17-C17-D17-E17-F17-G17,"")</f>
        <v>#REF!</v>
      </c>
      <c r="I17" s="12" t="s">
        <v>172</v>
      </c>
    </row>
    <row r="18" spans="1:9" ht="18" outlineLevel="1">
      <c r="A18" s="31" t="s">
        <v>184</v>
      </c>
      <c r="B18" s="10">
        <f>IF(SUM(C18:F18)&lt;&gt;0,SUM(C18:F18),0)</f>
        <v>400</v>
      </c>
      <c r="C18" s="10"/>
      <c r="D18" s="10">
        <v>400</v>
      </c>
      <c r="E18" s="10"/>
      <c r="F18" s="10"/>
      <c r="G18" s="10"/>
      <c r="H18" s="10"/>
      <c r="I18" s="12" t="s">
        <v>183</v>
      </c>
    </row>
    <row r="19" spans="1:9" ht="18" outlineLevel="1">
      <c r="A19" s="31" t="s">
        <v>185</v>
      </c>
      <c r="B19" s="10">
        <f>IF(SUM(C19:F19)&lt;&gt;0,SUM(C19:F19),0)</f>
        <v>3303.34</v>
      </c>
      <c r="C19" s="10">
        <f>2700</f>
        <v>2700</v>
      </c>
      <c r="D19" s="10"/>
      <c r="E19" s="10"/>
      <c r="F19" s="10">
        <f>400+100+7.69+95.65</f>
        <v>603.34</v>
      </c>
      <c r="G19" s="10"/>
      <c r="H19" s="10"/>
      <c r="I19" s="12"/>
    </row>
    <row r="20" spans="1:9" ht="18" outlineLevel="1">
      <c r="A20" s="31" t="s">
        <v>412</v>
      </c>
      <c r="B20" s="10">
        <f>IF(SUM(C20:F20)&lt;&gt;0,SUM(C20:F20),0)</f>
        <v>0</v>
      </c>
      <c r="C20" s="10"/>
      <c r="D20" s="10"/>
      <c r="E20" s="10"/>
      <c r="F20" s="10"/>
      <c r="G20" s="10"/>
      <c r="H20" s="10"/>
      <c r="I20" s="12"/>
    </row>
    <row r="21" spans="1:9" ht="18">
      <c r="A21" s="32" t="s">
        <v>186</v>
      </c>
      <c r="B21" s="296">
        <f>SUM(C21:G21)</f>
        <v>2976.2199999999993</v>
      </c>
      <c r="C21" s="26">
        <f>979.78+1320+47.49</f>
        <v>2347.2699999999995</v>
      </c>
      <c r="D21" s="26">
        <f>3+65+468.16</f>
        <v>536.16000000000008</v>
      </c>
      <c r="E21" s="27">
        <f>50.39+15.88</f>
        <v>66.27</v>
      </c>
      <c r="F21" s="36"/>
      <c r="G21" s="296">
        <v>26.52</v>
      </c>
      <c r="H21" s="46" t="e">
        <f ca="1">ROUND(SUM(H3:H17),2) &amp; " / " &amp; B21</f>
        <v>#REF!</v>
      </c>
      <c r="I21" s="10"/>
    </row>
    <row r="22" spans="1:9" ht="18">
      <c r="A22" s="24"/>
      <c r="B22" s="10"/>
      <c r="C22" s="49"/>
      <c r="D22" s="26"/>
      <c r="E22" s="23"/>
      <c r="F22" s="108"/>
      <c r="G22" s="94"/>
      <c r="H22" s="79" t="e">
        <f ca="1">IF(ROUND(SUM(H3:H17),2)&gt;0,IF(ROUND(SUM(H3:H17),2)&lt;ROUND(SUMIF(H3:H17,"&gt;0"),2),"NOT ENOUGH MONEY",""),"NO MONEY")</f>
        <v>#REF!</v>
      </c>
      <c r="I22" s="11"/>
    </row>
    <row r="23" spans="1:9" ht="18">
      <c r="A23" s="17" t="s">
        <v>187</v>
      </c>
      <c r="B23" s="17" t="str">
        <f ca="1">IF(MONTH(TODAY()) = 11, IF(MONTH(LEFT(RIGHT(A1,8),3)) = 11, "Bike insurance due",""),"")</f>
        <v/>
      </c>
      <c r="C23" s="53"/>
      <c r="D23" s="126"/>
      <c r="E23" s="16"/>
      <c r="F23" s="21"/>
      <c r="G23" s="18"/>
    </row>
    <row r="24" spans="1:9" ht="20.399999999999999">
      <c r="A24" s="17"/>
      <c r="B24" s="17" t="str">
        <f ca="1">IF(MONTH(TODAY()) = 6, IF(MONTH(A1(RIGHT,3)) = 6, "Bike insurance due",""),"")</f>
        <v/>
      </c>
      <c r="C24" s="18"/>
      <c r="D24" s="52"/>
      <c r="E24" s="125"/>
      <c r="F24" s="109"/>
      <c r="G24" s="18"/>
      <c r="H24" s="11"/>
    </row>
    <row r="25" spans="1:9" ht="19.2">
      <c r="A25" s="17"/>
      <c r="B25" s="17"/>
      <c r="C25" s="39"/>
      <c r="D25" s="39"/>
      <c r="E25" s="115"/>
      <c r="F25" s="110"/>
      <c r="G25" s="18"/>
      <c r="H25" s="11"/>
      <c r="I25" s="11"/>
    </row>
    <row r="26" spans="1:9" ht="19.2">
      <c r="A26" s="10"/>
      <c r="B26" s="10"/>
      <c r="C26" s="40"/>
      <c r="D26" s="41"/>
      <c r="E26" s="115"/>
      <c r="F26" s="28"/>
      <c r="G26" s="111"/>
    </row>
    <row r="27" spans="1:9" ht="18">
      <c r="A27" s="20"/>
      <c r="B27" s="10"/>
      <c r="D27" s="42"/>
    </row>
    <row r="29" spans="1:9" ht="18">
      <c r="B29" s="10"/>
    </row>
  </sheetData>
  <dataConsolidate/>
  <conditionalFormatting sqref="H3:H17">
    <cfRule type="cellIs" dxfId="329" priority="1" operator="equal">
      <formula>0</formula>
    </cfRule>
    <cfRule type="cellIs" dxfId="328" priority="2" operator="lessThan">
      <formula>0</formula>
    </cfRule>
    <cfRule type="cellIs" dxfId="327" priority="3" operator="greaterThan">
      <formula>0</formula>
    </cfRule>
  </conditionalFormatting>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G36"/>
  <sheetViews>
    <sheetView workbookViewId="0"/>
  </sheetViews>
  <sheetFormatPr defaultColWidth="11.33203125" defaultRowHeight="14.4" outlineLevelRow="1"/>
  <cols>
    <col min="1" max="1" width="15.44140625" customWidth="1"/>
    <col min="2" max="2" width="28.109375" customWidth="1"/>
    <col min="3" max="5" width="25" customWidth="1"/>
    <col min="6" max="6" width="19.44140625" customWidth="1"/>
    <col min="7" max="7" width="15.44140625" customWidth="1"/>
  </cols>
  <sheetData>
    <row r="1" spans="1:7" ht="18">
      <c r="A1" s="103" t="s">
        <v>556</v>
      </c>
      <c r="B1" s="13" t="s">
        <v>164</v>
      </c>
      <c r="C1" s="44" t="str">
        <f>"30/11/16" &amp; " - " &amp; "06/12/16"</f>
        <v>30/11/16 - 06/12/16</v>
      </c>
      <c r="D1" s="44" t="str">
        <f>TEXT(DATEVALUE(RIGHT(C1,8))+1,"dd/mm/yy")&amp; " - "&amp; TEXT(DATEVALUE(RIGHT(C1,8))+7,"dd/mm/yy")</f>
        <v>07/12/16 - 13/12/16</v>
      </c>
      <c r="E1" s="44" t="str">
        <f>TEXT(DATEVALUE(RIGHT(D1,8))+1,"dd/mm/yy")&amp; " - "&amp; TEXT(DATEVALUE(RIGHT(D1,8))+7,"dd/mm/yy")</f>
        <v>14/12/16 - 20/12/16</v>
      </c>
      <c r="F1" s="12" t="s">
        <v>10</v>
      </c>
      <c r="G1" s="9"/>
    </row>
    <row r="2" spans="1:7" ht="18">
      <c r="A2" s="105" t="s">
        <v>165</v>
      </c>
      <c r="B2" s="10"/>
      <c r="C2" s="296">
        <f>SUM(C5:C21)</f>
        <v>552.14</v>
      </c>
      <c r="D2" s="296">
        <f>SUM(D5:D21)</f>
        <v>352.92</v>
      </c>
      <c r="E2" s="296">
        <f>SUM(E5:E21)</f>
        <v>214.91</v>
      </c>
      <c r="F2" s="10"/>
      <c r="G2" s="9"/>
    </row>
    <row r="3" spans="1:7" ht="18">
      <c r="A3" s="9"/>
      <c r="B3" s="10"/>
      <c r="C3" s="296"/>
      <c r="D3" s="296"/>
      <c r="E3" s="296"/>
      <c r="F3" s="10"/>
      <c r="G3" s="9"/>
    </row>
    <row r="4" spans="1:7" ht="18">
      <c r="A4" s="178" t="s">
        <v>166</v>
      </c>
      <c r="B4" s="183">
        <f>SUM(B5:B11)</f>
        <v>290</v>
      </c>
      <c r="C4" s="296"/>
      <c r="D4" s="296"/>
      <c r="E4" s="296"/>
      <c r="F4" s="184" t="e">
        <f>"Remaining: £" &amp; ROUND(SUM(F5:F12),2)</f>
        <v>#REF!</v>
      </c>
      <c r="G4" s="9"/>
    </row>
    <row r="5" spans="1:7" ht="18" outlineLevel="1">
      <c r="A5" s="31" t="s">
        <v>408</v>
      </c>
      <c r="B5" s="17">
        <v>0</v>
      </c>
      <c r="C5" s="10"/>
      <c r="D5" s="10"/>
      <c r="E5" s="10"/>
      <c r="F5" s="10">
        <f t="shared" ref="F5:F21" si="0">IF(B5&lt;&gt;"",B5-C5-D5-E5,"")</f>
        <v>0</v>
      </c>
      <c r="G5" s="34" t="str">
        <f>A5</f>
        <v>Poodini Fund</v>
      </c>
    </row>
    <row r="6" spans="1:7" ht="18" outlineLevel="1">
      <c r="A6" s="31" t="s">
        <v>167</v>
      </c>
      <c r="B6" s="17">
        <f>'Joint Outgoings'!B24*2</f>
        <v>0</v>
      </c>
      <c r="C6" s="10">
        <v>33.5</v>
      </c>
      <c r="D6" s="10"/>
      <c r="E6" s="10">
        <v>32</v>
      </c>
      <c r="F6" s="10">
        <f t="shared" si="0"/>
        <v>-65.5</v>
      </c>
      <c r="G6" s="12" t="str">
        <f>A6</f>
        <v xml:space="preserve">Car Petrol </v>
      </c>
    </row>
    <row r="7" spans="1:7" ht="18" outlineLevel="1">
      <c r="A7" s="31" t="s">
        <v>168</v>
      </c>
      <c r="B7" s="17">
        <v>0</v>
      </c>
      <c r="C7" s="10"/>
      <c r="D7" s="10"/>
      <c r="E7" s="10"/>
      <c r="F7" s="10">
        <f t="shared" si="0"/>
        <v>0</v>
      </c>
      <c r="G7" s="12" t="str">
        <f t="shared" ref="G7:G21" si="1">A7</f>
        <v>Bike petrol</v>
      </c>
    </row>
    <row r="8" spans="1:7" ht="18" outlineLevel="1">
      <c r="A8" s="31" t="s">
        <v>409</v>
      </c>
      <c r="B8" s="10">
        <v>150</v>
      </c>
      <c r="C8" s="10">
        <v>150</v>
      </c>
      <c r="D8" s="10"/>
      <c r="E8" s="10"/>
      <c r="F8" s="10">
        <f>IF(B8&lt;&gt;"",B8-C8-D8-E8,"")</f>
        <v>0</v>
      </c>
      <c r="G8" s="12" t="str">
        <f>A8</f>
        <v>House Deposit</v>
      </c>
    </row>
    <row r="9" spans="1:7" ht="18" outlineLevel="1">
      <c r="A9" s="31" t="s">
        <v>169</v>
      </c>
      <c r="B9" s="10">
        <f>20*3</f>
        <v>60</v>
      </c>
      <c r="C9" s="10">
        <v>30</v>
      </c>
      <c r="D9" s="10">
        <f>20+7.5+2.96+11.67</f>
        <v>42.13</v>
      </c>
      <c r="E9" s="10">
        <f>12.44+10+2.21</f>
        <v>24.65</v>
      </c>
      <c r="F9" s="10">
        <f>IF(B9&lt;&gt;"",B9-C9-D9-E9,"")</f>
        <v>-36.78</v>
      </c>
      <c r="G9" s="12" t="str">
        <f>A9</f>
        <v>Food</v>
      </c>
    </row>
    <row r="10" spans="1:7" ht="18" outlineLevel="1">
      <c r="A10" s="31" t="s">
        <v>170</v>
      </c>
      <c r="B10" s="10">
        <v>0</v>
      </c>
      <c r="C10" s="10"/>
      <c r="D10" s="10"/>
      <c r="E10" s="10"/>
      <c r="F10" s="10">
        <f>IF(B10&lt;&gt;"",B10-C10-D10-E10,"")</f>
        <v>0</v>
      </c>
      <c r="G10" s="12" t="str">
        <f>A10</f>
        <v>Gift Fund</v>
      </c>
    </row>
    <row r="11" spans="1:7" ht="18" outlineLevel="1">
      <c r="A11" s="31" t="s">
        <v>171</v>
      </c>
      <c r="B11" s="10">
        <f>IF(F1="Remaining",20*4,IF(G1= "Remaining",20* 5,""))</f>
        <v>80</v>
      </c>
      <c r="C11" s="10">
        <v>80</v>
      </c>
      <c r="D11" s="10"/>
      <c r="E11" s="10"/>
      <c r="F11" s="10">
        <f>IF(B11&lt;&gt;"",B11-C11-D11-E11,"")</f>
        <v>0</v>
      </c>
      <c r="G11" s="12" t="str">
        <f>A11</f>
        <v>Holiday Fund</v>
      </c>
    </row>
    <row r="12" spans="1:7" ht="18" outlineLevel="1">
      <c r="A12" s="31" t="s">
        <v>172</v>
      </c>
      <c r="B12" s="10" t="e">
        <f>IF(B28 &lt;&gt; 0,B28-B4-B14-SUM(C24:E24),0)</f>
        <v>#REF!</v>
      </c>
      <c r="C12" s="10">
        <f>40+69.98+24.05+70+23.94</f>
        <v>227.97</v>
      </c>
      <c r="D12" s="10">
        <f>10+18+14.98+13.73+22.19+25.5+29.58+6.1+12.05</f>
        <v>152.13000000000002</v>
      </c>
      <c r="E12" s="10">
        <f>3.99+51+11.99+1.73+6.12+3.99+16.16+17</f>
        <v>111.98</v>
      </c>
      <c r="F12" s="10" t="e">
        <f>IF(B12&lt;&gt;"",B12-C12-D12-E12,"")</f>
        <v>#REF!</v>
      </c>
      <c r="G12" s="12" t="s">
        <v>172</v>
      </c>
    </row>
    <row r="13" spans="1:7" ht="18" outlineLevel="1">
      <c r="A13" s="185"/>
      <c r="B13" s="10"/>
      <c r="C13" s="10"/>
      <c r="D13" s="10"/>
      <c r="E13" s="10"/>
      <c r="F13" s="10"/>
      <c r="G13" s="9"/>
    </row>
    <row r="14" spans="1:7" ht="18">
      <c r="A14" s="177" t="s">
        <v>189</v>
      </c>
      <c r="B14" s="183" t="e">
        <f>SUM(B15:B21)</f>
        <v>#REF!</v>
      </c>
      <c r="C14" s="10"/>
      <c r="D14" s="10"/>
      <c r="E14" s="10"/>
      <c r="F14" s="184" t="e">
        <f>"Remaining: £" &amp; ROUND(SUM(F15:F21),2)</f>
        <v>#REF!</v>
      </c>
      <c r="G14" s="9"/>
    </row>
    <row r="15" spans="1:7" ht="18" outlineLevel="1">
      <c r="A15" s="31" t="s">
        <v>179</v>
      </c>
      <c r="B15" s="10" t="e">
        <f>'Joint Outgoings'!#REF!</f>
        <v>#REF!</v>
      </c>
      <c r="C15" s="10"/>
      <c r="D15" s="10"/>
      <c r="E15" s="10">
        <v>9.99</v>
      </c>
      <c r="F15" s="10" t="e">
        <f t="shared" si="0"/>
        <v>#REF!</v>
      </c>
      <c r="G15" s="12" t="str">
        <f t="shared" si="1"/>
        <v>Sky Movies</v>
      </c>
    </row>
    <row r="16" spans="1:7" ht="18" outlineLevel="1">
      <c r="A16" s="31" t="s">
        <v>180</v>
      </c>
      <c r="B16" s="10" t="e">
        <f>'Joint Outgoings'!#REF!</f>
        <v>#REF!</v>
      </c>
      <c r="C16" s="10"/>
      <c r="D16" s="10">
        <v>4.99</v>
      </c>
      <c r="E16" s="10"/>
      <c r="F16" s="10" t="e">
        <f t="shared" si="0"/>
        <v>#REF!</v>
      </c>
      <c r="G16" s="12" t="str">
        <f t="shared" si="1"/>
        <v>Spotify</v>
      </c>
    </row>
    <row r="17" spans="1:7" ht="18" outlineLevel="1">
      <c r="A17" s="31" t="s">
        <v>176</v>
      </c>
      <c r="B17" s="10">
        <f>'Joint Outgoings'!C29</f>
        <v>16.989999999999998</v>
      </c>
      <c r="C17" s="10"/>
      <c r="D17" s="10"/>
      <c r="E17" s="10"/>
      <c r="F17" s="10">
        <f t="shared" si="0"/>
        <v>16.989999999999998</v>
      </c>
      <c r="G17" s="12" t="str">
        <f t="shared" si="1"/>
        <v xml:space="preserve">Phone </v>
      </c>
    </row>
    <row r="18" spans="1:7" ht="18" outlineLevel="1">
      <c r="A18" s="31" t="s">
        <v>410</v>
      </c>
      <c r="B18" s="10" t="e">
        <f>'Joint Outgoings'!#REF!</f>
        <v>#REF!</v>
      </c>
      <c r="C18" s="10"/>
      <c r="D18" s="10"/>
      <c r="E18" s="10">
        <v>36.29</v>
      </c>
      <c r="F18" s="10" t="e">
        <f t="shared" si="0"/>
        <v>#REF!</v>
      </c>
      <c r="G18" s="12" t="str">
        <f t="shared" si="1"/>
        <v>Bupa</v>
      </c>
    </row>
    <row r="19" spans="1:7" ht="18" outlineLevel="1">
      <c r="A19" s="31" t="s">
        <v>177</v>
      </c>
      <c r="B19" s="10">
        <v>17.989999999999998</v>
      </c>
      <c r="C19" s="10">
        <v>17.989999999999998</v>
      </c>
      <c r="D19" s="10"/>
      <c r="E19" s="10"/>
      <c r="F19" s="10">
        <f t="shared" si="0"/>
        <v>0</v>
      </c>
      <c r="G19" s="12" t="str">
        <f t="shared" si="1"/>
        <v>Gym</v>
      </c>
    </row>
    <row r="20" spans="1:7" ht="18" outlineLevel="1">
      <c r="A20" s="31" t="s">
        <v>411</v>
      </c>
      <c r="B20" s="10">
        <v>153.66999999999999</v>
      </c>
      <c r="C20" s="10"/>
      <c r="D20" s="10">
        <v>153.66999999999999</v>
      </c>
      <c r="E20" s="10"/>
      <c r="F20" s="10">
        <f t="shared" si="0"/>
        <v>0</v>
      </c>
      <c r="G20" s="12" t="str">
        <f t="shared" si="1"/>
        <v>Car ins.</v>
      </c>
    </row>
    <row r="21" spans="1:7" ht="18" outlineLevel="1">
      <c r="A21" s="31" t="s">
        <v>178</v>
      </c>
      <c r="B21" s="10">
        <f>'Joint Outgoings'!C25</f>
        <v>200</v>
      </c>
      <c r="C21" s="10">
        <v>12.68</v>
      </c>
      <c r="D21" s="10"/>
      <c r="E21" s="10"/>
      <c r="F21" s="10">
        <f t="shared" si="0"/>
        <v>187.32</v>
      </c>
      <c r="G21" s="12" t="str">
        <f t="shared" si="1"/>
        <v>Car v.tax</v>
      </c>
    </row>
    <row r="22" spans="1:7" ht="18" outlineLevel="1">
      <c r="A22" s="185"/>
      <c r="B22" s="10"/>
      <c r="C22" s="10"/>
      <c r="D22" s="10"/>
      <c r="E22" s="10"/>
      <c r="F22" s="10"/>
      <c r="G22" s="9"/>
    </row>
    <row r="23" spans="1:7" s="182" customFormat="1" ht="18">
      <c r="A23" s="177" t="s">
        <v>183</v>
      </c>
      <c r="B23" s="181"/>
      <c r="C23" s="181"/>
      <c r="D23" s="181"/>
      <c r="E23" s="181"/>
      <c r="F23" s="181"/>
      <c r="G23" s="186"/>
    </row>
    <row r="24" spans="1:7" ht="18" outlineLevel="1">
      <c r="A24" s="31" t="s">
        <v>184</v>
      </c>
      <c r="B24" s="10">
        <f>SUM(C24:E24)</f>
        <v>0</v>
      </c>
      <c r="C24" s="10"/>
      <c r="D24" s="10"/>
      <c r="E24" s="10"/>
      <c r="F24" s="10"/>
      <c r="G24" s="9"/>
    </row>
    <row r="25" spans="1:7" ht="18" outlineLevel="1">
      <c r="A25" s="31" t="s">
        <v>185</v>
      </c>
      <c r="B25" s="10">
        <f>SUM(C25:E25)</f>
        <v>150.21</v>
      </c>
      <c r="C25" s="10"/>
      <c r="D25" s="10"/>
      <c r="E25" s="10">
        <v>150.21</v>
      </c>
      <c r="F25" s="10"/>
      <c r="G25" s="9"/>
    </row>
    <row r="26" spans="1:7" ht="18" outlineLevel="1">
      <c r="A26" s="31" t="s">
        <v>412</v>
      </c>
      <c r="B26" s="10">
        <f>SUM(C26:E26)</f>
        <v>0</v>
      </c>
      <c r="C26" s="10"/>
      <c r="D26" s="10"/>
      <c r="E26" s="10"/>
      <c r="F26" s="10"/>
      <c r="G26" s="9"/>
    </row>
    <row r="27" spans="1:7" ht="18" outlineLevel="1">
      <c r="A27" s="185"/>
      <c r="B27" s="10"/>
      <c r="C27" s="10"/>
      <c r="D27" s="10"/>
      <c r="E27" s="10"/>
      <c r="F27" s="10"/>
      <c r="G27" s="9"/>
    </row>
    <row r="28" spans="1:7" ht="18">
      <c r="A28" s="32" t="s">
        <v>186</v>
      </c>
      <c r="B28" s="296">
        <f>SUM(C28:E28)+B25</f>
        <v>1140.52</v>
      </c>
      <c r="C28" s="26">
        <f>973.31</f>
        <v>973.31</v>
      </c>
      <c r="D28" s="26">
        <f>17</f>
        <v>17</v>
      </c>
      <c r="E28" s="27"/>
      <c r="F28" s="46" t="e">
        <f>SUM(F5:F21) &amp; " / " &amp; B28</f>
        <v>#REF!</v>
      </c>
      <c r="G28" s="10"/>
    </row>
    <row r="29" spans="1:7" ht="18">
      <c r="A29" s="24"/>
      <c r="B29" s="10"/>
      <c r="C29" s="49"/>
      <c r="D29" s="26"/>
      <c r="E29" s="23"/>
      <c r="F29" s="79" t="e">
        <f>IF(SUM(F5:F12)+SUM(F15:F21) &gt; SUM(F15:F21),"Enough money","Not enough")</f>
        <v>#REF!</v>
      </c>
      <c r="G29" s="11"/>
    </row>
    <row r="30" spans="1:7" ht="18">
      <c r="A30" s="17" t="s">
        <v>187</v>
      </c>
      <c r="B30" s="17" t="str">
        <f ca="1">IF(MONTH(TODAY()) = 11, IF(MONTH(A1(RIGHT,3)) = 11, "Bike insurance due",""),"")</f>
        <v/>
      </c>
      <c r="C30" s="59"/>
      <c r="D30" s="16"/>
      <c r="E30" s="16"/>
    </row>
    <row r="31" spans="1:7" ht="18">
      <c r="A31" s="17"/>
      <c r="B31" s="17"/>
      <c r="C31" s="20"/>
      <c r="D31" s="39"/>
      <c r="E31" s="16"/>
    </row>
    <row r="32" spans="1:7" ht="18">
      <c r="A32" s="17"/>
      <c r="B32" s="17"/>
      <c r="C32" s="39"/>
      <c r="D32" s="39"/>
      <c r="E32" s="43"/>
      <c r="F32" s="11"/>
      <c r="G32" s="11"/>
    </row>
    <row r="33" spans="1:5" ht="18">
      <c r="A33" s="10"/>
      <c r="B33" s="10"/>
      <c r="C33" s="40"/>
      <c r="D33" s="41"/>
      <c r="E33" s="41"/>
    </row>
    <row r="34" spans="1:5" ht="18">
      <c r="A34" s="20"/>
      <c r="B34" s="10"/>
      <c r="D34" s="42"/>
    </row>
    <row r="36" spans="1:5" ht="18">
      <c r="B36" s="10"/>
    </row>
  </sheetData>
  <dataConsolidate/>
  <conditionalFormatting sqref="F5:F12">
    <cfRule type="cellIs" dxfId="326" priority="1" operator="equal">
      <formula>0</formula>
    </cfRule>
    <cfRule type="cellIs" dxfId="325" priority="2" operator="lessThan">
      <formula>0</formula>
    </cfRule>
    <cfRule type="cellIs" dxfId="324" priority="3" operator="greaterThan">
      <formula>0</formula>
    </cfRule>
  </conditionalFormatting>
  <conditionalFormatting sqref="F15:F21">
    <cfRule type="cellIs" dxfId="323" priority="8" operator="equal">
      <formula>0</formula>
    </cfRule>
    <cfRule type="cellIs" dxfId="322" priority="9" operator="lessThan">
      <formula>0</formula>
    </cfRule>
    <cfRule type="cellIs" dxfId="321" priority="10"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 operator="containsText" id="{C282F39D-B504-A547-9D54-8520A75A8F47}">
            <xm:f>NOT(ISERROR(SEARCH("-",F28)))</xm:f>
            <xm:f>"-"</xm:f>
            <x14:dxf>
              <font>
                <color rgb="FF9C0006"/>
              </font>
              <fill>
                <patternFill>
                  <bgColor rgb="FFFFC7CE"/>
                </patternFill>
              </fill>
            </x14:dxf>
          </x14:cfRule>
          <xm:sqref>F28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dimension ref="A1:J38"/>
  <sheetViews>
    <sheetView workbookViewId="0"/>
  </sheetViews>
  <sheetFormatPr defaultColWidth="11.33203125" defaultRowHeight="14.4" outlineLevelRow="1"/>
  <cols>
    <col min="1" max="1" width="15.44140625" customWidth="1"/>
    <col min="2" max="2" width="28.109375" customWidth="1"/>
    <col min="3" max="7" width="25" customWidth="1"/>
    <col min="8" max="8" width="19.44140625" customWidth="1"/>
    <col min="9" max="9" width="15.44140625" customWidth="1"/>
  </cols>
  <sheetData>
    <row r="1" spans="1:10" ht="18">
      <c r="A1" s="103" t="s">
        <v>557</v>
      </c>
      <c r="B1" s="13" t="s">
        <v>164</v>
      </c>
      <c r="C1" s="44" t="str">
        <f>"19/12/16" &amp; " - " &amp; "27/12/16"</f>
        <v>19/12/16 - 27/12/16</v>
      </c>
      <c r="D1" s="44" t="str">
        <f>TEXT(DATEVALUE(RIGHT(C1,8))+1,"dd/mm/yy")&amp; " - "&amp; TEXT(DATEVALUE(RIGHT(C1,8))+7,"dd/mm/yy")</f>
        <v>28/12/16 - 03/01/17</v>
      </c>
      <c r="E1" s="44" t="str">
        <f>TEXT(DATEVALUE(RIGHT(D1,8))+1,"dd/mm/yy")&amp; " - "&amp; TEXT(DATEVALUE(RIGHT(D1,8))+7,"dd/mm/yy")</f>
        <v>04/01/17 - 10/01/17</v>
      </c>
      <c r="F1" s="44" t="str">
        <f>TEXT(DATEVALUE(RIGHT(E1,8))+1,"dd/mm/yy")&amp; " - "&amp; TEXT(DATEVALUE(RIGHT(E1,8))+7,"dd/mm/yy")</f>
        <v>11/01/17 - 17/01/17</v>
      </c>
      <c r="G1" s="44" t="str">
        <f>TEXT(DATEVALUE(RIGHT(F1,8))+1,"dd/mm/yy")&amp; " - "&amp; TEXT(DATEVALUE(RIGHT(F1,8))+7,"dd/mm/yy")</f>
        <v>18/01/17 - 24/01/17</v>
      </c>
      <c r="H1" s="12" t="s">
        <v>10</v>
      </c>
      <c r="I1" s="12"/>
    </row>
    <row r="2" spans="1:10" ht="18">
      <c r="A2" s="12" t="s">
        <v>165</v>
      </c>
      <c r="B2" s="10"/>
      <c r="C2" s="296">
        <f>SUM(C5:C23)</f>
        <v>339.75</v>
      </c>
      <c r="D2" s="296">
        <f>SUM(D5:D23)</f>
        <v>540.51</v>
      </c>
      <c r="E2" s="296">
        <f>SUM(E5:E23)</f>
        <v>171.01</v>
      </c>
      <c r="F2" s="296">
        <f>SUM(F5:F23)</f>
        <v>1278.03</v>
      </c>
      <c r="G2" s="296">
        <f>SUM(G5:G23)</f>
        <v>49.12</v>
      </c>
      <c r="H2" s="10"/>
      <c r="I2" s="12"/>
    </row>
    <row r="3" spans="1:10" ht="18">
      <c r="A3" s="9"/>
      <c r="B3" s="10"/>
      <c r="C3" s="296"/>
      <c r="D3" s="296"/>
      <c r="E3" s="296"/>
      <c r="F3" s="296"/>
      <c r="G3" s="296"/>
      <c r="H3" s="10"/>
      <c r="I3" s="9"/>
    </row>
    <row r="4" spans="1:10" ht="18">
      <c r="A4" s="178" t="s">
        <v>166</v>
      </c>
      <c r="B4" s="189" t="e">
        <f>SUM(B5:B11)</f>
        <v>#REF!</v>
      </c>
      <c r="C4" s="296"/>
      <c r="D4" s="296"/>
      <c r="E4" s="296"/>
      <c r="F4" s="296"/>
      <c r="G4" s="296"/>
      <c r="H4" s="184" t="e">
        <f>"Remaining: £" &amp; ROUND(SUM(H5:H12),2)</f>
        <v>#REF!</v>
      </c>
      <c r="I4" s="12"/>
    </row>
    <row r="5" spans="1:10" ht="18" outlineLevel="1">
      <c r="A5" s="31" t="s">
        <v>408</v>
      </c>
      <c r="B5" s="17">
        <v>0</v>
      </c>
      <c r="C5" s="10"/>
      <c r="D5" s="10"/>
      <c r="E5" s="10"/>
      <c r="F5" s="10"/>
      <c r="G5" s="10"/>
      <c r="H5" s="10">
        <f>IF(B5&lt;&gt;"",B5-C5-D5-E5-F5-G5,"")</f>
        <v>0</v>
      </c>
      <c r="I5" s="34" t="str">
        <f>A5</f>
        <v>Poodini Fund</v>
      </c>
    </row>
    <row r="6" spans="1:10" ht="18" outlineLevel="1">
      <c r="A6" s="31" t="s">
        <v>167</v>
      </c>
      <c r="B6" s="17">
        <f>'Joint Outgoings'!B24*3</f>
        <v>0</v>
      </c>
      <c r="C6" s="10">
        <v>32</v>
      </c>
      <c r="D6" s="10">
        <v>38.020000000000003</v>
      </c>
      <c r="E6" s="10"/>
      <c r="F6" s="10"/>
      <c r="G6" s="10"/>
      <c r="H6" s="10">
        <f>IF(B6&lt;&gt;"",B6-C6-D6-E6-F6-G6,"")</f>
        <v>-70.02000000000001</v>
      </c>
      <c r="I6" s="12" t="str">
        <f>A6</f>
        <v xml:space="preserve">Car Petrol </v>
      </c>
    </row>
    <row r="7" spans="1:10" ht="18" outlineLevel="1">
      <c r="A7" s="31" t="s">
        <v>168</v>
      </c>
      <c r="B7" s="17" t="e">
        <f>'Joint Outgoings'!#REF!*2</f>
        <v>#REF!</v>
      </c>
      <c r="C7" s="10"/>
      <c r="D7" s="10"/>
      <c r="E7" s="10"/>
      <c r="F7" s="10"/>
      <c r="G7" s="10"/>
      <c r="H7" s="10" t="e">
        <f t="shared" ref="H7:H20" si="0">IF(B7&lt;&gt;"",B7-C7-D7-E7-F7-G7,"")</f>
        <v>#REF!</v>
      </c>
      <c r="I7" s="12" t="str">
        <f t="shared" ref="I7:I23" si="1">A7</f>
        <v>Bike petrol</v>
      </c>
    </row>
    <row r="8" spans="1:10" ht="18" outlineLevel="1">
      <c r="A8" s="31" t="s">
        <v>409</v>
      </c>
      <c r="B8" s="10">
        <v>0</v>
      </c>
      <c r="C8" s="10"/>
      <c r="D8" s="10"/>
      <c r="E8" s="10"/>
      <c r="F8" s="10"/>
      <c r="G8" s="10"/>
      <c r="H8" s="10">
        <f>IF(B8&lt;&gt;"",B8-C8-D8-E8-F8-G8,"")</f>
        <v>0</v>
      </c>
      <c r="I8" s="12" t="str">
        <f>A8</f>
        <v>House Deposit</v>
      </c>
    </row>
    <row r="9" spans="1:10" ht="18" outlineLevel="1">
      <c r="A9" s="31" t="s">
        <v>169</v>
      </c>
      <c r="B9" s="10">
        <f>IF(G1="Remaining",20*4,IF(H1= "Remaining",20* 5,""))</f>
        <v>100</v>
      </c>
      <c r="C9" s="10">
        <f>1.25+5</f>
        <v>6.25</v>
      </c>
      <c r="D9" s="10"/>
      <c r="E9" s="10"/>
      <c r="F9" s="10">
        <v>4.87</v>
      </c>
      <c r="G9" s="10">
        <f>1.19+4.95</f>
        <v>6.1400000000000006</v>
      </c>
      <c r="H9" s="10">
        <f t="shared" ref="H9:H11" si="2">IF(B9&lt;&gt;"",B9-C9-D9-E9-F9-G9,"")</f>
        <v>82.74</v>
      </c>
      <c r="I9" s="12" t="str">
        <f>A9</f>
        <v>Food</v>
      </c>
    </row>
    <row r="10" spans="1:10" ht="18" outlineLevel="1">
      <c r="A10" s="31" t="s">
        <v>170</v>
      </c>
      <c r="B10" s="10">
        <v>0</v>
      </c>
      <c r="C10" s="10"/>
      <c r="D10" s="10"/>
      <c r="E10" s="10"/>
      <c r="F10" s="10"/>
      <c r="G10" s="10"/>
      <c r="H10" s="10">
        <f t="shared" si="2"/>
        <v>0</v>
      </c>
      <c r="I10" s="12" t="str">
        <f>A10</f>
        <v>Gift Fund</v>
      </c>
    </row>
    <row r="11" spans="1:10" ht="18" outlineLevel="1">
      <c r="A11" s="31" t="s">
        <v>171</v>
      </c>
      <c r="B11" s="10">
        <v>0</v>
      </c>
      <c r="C11" s="10"/>
      <c r="D11" s="10"/>
      <c r="E11" s="10"/>
      <c r="F11" s="10"/>
      <c r="G11" s="10"/>
      <c r="H11" s="10">
        <f t="shared" si="2"/>
        <v>0</v>
      </c>
      <c r="I11" s="12" t="str">
        <f>A11</f>
        <v>Holiday Fund</v>
      </c>
    </row>
    <row r="12" spans="1:10" ht="18" outlineLevel="1">
      <c r="A12" s="31" t="s">
        <v>172</v>
      </c>
      <c r="B12" s="10" t="e">
        <f>IF(B28 &lt;&gt; 0,B28-B4-B14-B26,0)</f>
        <v>#REF!</v>
      </c>
      <c r="C12" s="10">
        <f>14.99+51+17.15+16.16+28+1.3+7+7.99+5+32.99+52+18.43</f>
        <v>252.01000000000002</v>
      </c>
      <c r="D12" s="10">
        <f>21+275+35.92+139.9</f>
        <v>471.82000000000005</v>
      </c>
      <c r="E12" s="10">
        <v>4.3600000000000003</v>
      </c>
      <c r="F12" s="10">
        <f>22.5+17.99+852.42+14.97+319</f>
        <v>1226.8800000000001</v>
      </c>
      <c r="G12" s="10"/>
      <c r="H12" s="10" t="e">
        <f>IF(B12&lt;&gt;"",B12-C12-D12-E12-F12-G12,"")</f>
        <v>#REF!</v>
      </c>
      <c r="I12" s="12" t="s">
        <v>172</v>
      </c>
    </row>
    <row r="13" spans="1:10" ht="18" outlineLevel="1">
      <c r="A13" s="185"/>
      <c r="B13" s="10"/>
      <c r="C13" s="10"/>
      <c r="D13" s="10"/>
      <c r="E13" s="10"/>
      <c r="F13" s="10"/>
      <c r="G13" s="10"/>
      <c r="H13" s="10"/>
      <c r="I13" s="9"/>
      <c r="J13" s="11"/>
    </row>
    <row r="14" spans="1:10" ht="18">
      <c r="A14" s="177" t="s">
        <v>189</v>
      </c>
      <c r="B14" s="189" t="e">
        <f>SUM(B17:B23)+B15</f>
        <v>#REF!</v>
      </c>
      <c r="C14" s="10"/>
      <c r="D14" s="10"/>
      <c r="E14" s="10"/>
      <c r="F14" s="10"/>
      <c r="G14" s="10"/>
      <c r="H14" s="184" t="e">
        <f>"Remaining: £" &amp; ROUND(SUM(H15:H23)-H16+4.5,2)</f>
        <v>#REF!</v>
      </c>
      <c r="I14" s="12"/>
    </row>
    <row r="15" spans="1:10" ht="18" outlineLevel="1">
      <c r="A15" s="31" t="s">
        <v>179</v>
      </c>
      <c r="B15" s="10" t="e">
        <f>'Joint Outgoings'!#REF!</f>
        <v>#REF!</v>
      </c>
      <c r="C15" s="10"/>
      <c r="D15" s="10"/>
      <c r="E15" s="10"/>
      <c r="F15" s="10">
        <v>9.99</v>
      </c>
      <c r="G15" s="10"/>
      <c r="H15" s="10" t="e">
        <f t="shared" si="0"/>
        <v>#REF!</v>
      </c>
      <c r="I15" s="12" t="str">
        <f t="shared" si="1"/>
        <v>Sky Movies</v>
      </c>
    </row>
    <row r="16" spans="1:10" ht="18" outlineLevel="1">
      <c r="A16" s="31" t="s">
        <v>175</v>
      </c>
      <c r="B16" s="10">
        <v>104.92</v>
      </c>
      <c r="C16" s="10"/>
      <c r="D16" s="10"/>
      <c r="E16" s="10"/>
      <c r="F16" s="10"/>
      <c r="G16" s="10"/>
      <c r="H16" s="10">
        <f t="shared" si="0"/>
        <v>104.92</v>
      </c>
      <c r="I16" s="12" t="str">
        <f t="shared" si="1"/>
        <v>Ring</v>
      </c>
    </row>
    <row r="17" spans="1:9" ht="18" outlineLevel="1">
      <c r="A17" s="31" t="s">
        <v>181</v>
      </c>
      <c r="B17" s="10">
        <v>7.99</v>
      </c>
      <c r="C17" s="10"/>
      <c r="D17" s="10"/>
      <c r="E17" s="10">
        <v>7.99</v>
      </c>
      <c r="F17" s="10"/>
      <c r="G17" s="10"/>
      <c r="H17" s="10">
        <f t="shared" si="0"/>
        <v>0</v>
      </c>
      <c r="I17" s="12" t="str">
        <f t="shared" si="1"/>
        <v>Onedrive</v>
      </c>
    </row>
    <row r="18" spans="1:9" ht="18" outlineLevel="1">
      <c r="A18" s="31" t="s">
        <v>180</v>
      </c>
      <c r="B18" s="10" t="e">
        <f>'Joint Outgoings'!#REF!</f>
        <v>#REF!</v>
      </c>
      <c r="C18" s="10"/>
      <c r="D18" s="10"/>
      <c r="E18" s="10">
        <v>4.99</v>
      </c>
      <c r="F18" s="10"/>
      <c r="G18" s="10"/>
      <c r="H18" s="10" t="e">
        <f t="shared" si="0"/>
        <v>#REF!</v>
      </c>
      <c r="I18" s="12" t="str">
        <f t="shared" si="1"/>
        <v>Spotify</v>
      </c>
    </row>
    <row r="19" spans="1:9" ht="18" outlineLevel="1">
      <c r="A19" s="31" t="s">
        <v>176</v>
      </c>
      <c r="B19" s="10">
        <f>'Joint Outgoings'!C29</f>
        <v>16.989999999999998</v>
      </c>
      <c r="C19" s="10">
        <v>49.49</v>
      </c>
      <c r="D19" s="10"/>
      <c r="E19" s="10"/>
      <c r="F19" s="10"/>
      <c r="G19" s="10">
        <v>42.98</v>
      </c>
      <c r="H19" s="10">
        <f t="shared" si="0"/>
        <v>-75.47999999999999</v>
      </c>
      <c r="I19" s="12" t="str">
        <f t="shared" si="1"/>
        <v xml:space="preserve">Phone </v>
      </c>
    </row>
    <row r="20" spans="1:9" ht="18" outlineLevel="1">
      <c r="A20" s="31" t="s">
        <v>410</v>
      </c>
      <c r="B20" s="10" t="e">
        <f>'Joint Outgoings'!#REF!</f>
        <v>#REF!</v>
      </c>
      <c r="C20" s="10"/>
      <c r="D20" s="10"/>
      <c r="E20" s="10"/>
      <c r="F20" s="10">
        <v>36.29</v>
      </c>
      <c r="G20" s="10"/>
      <c r="H20" s="10" t="e">
        <f t="shared" si="0"/>
        <v>#REF!</v>
      </c>
      <c r="I20" s="12" t="str">
        <f t="shared" si="1"/>
        <v>Bupa</v>
      </c>
    </row>
    <row r="21" spans="1:9" ht="18" outlineLevel="1">
      <c r="A21" s="31" t="s">
        <v>177</v>
      </c>
      <c r="B21" s="10">
        <v>17.989999999999998</v>
      </c>
      <c r="C21" s="10"/>
      <c r="D21" s="10">
        <v>17.989999999999998</v>
      </c>
      <c r="E21" s="10"/>
      <c r="F21" s="10"/>
      <c r="G21" s="10"/>
      <c r="H21" s="10">
        <f>IF(B21&lt;&gt;"",B21-C21-D21-E21-F21-G21,"")</f>
        <v>0</v>
      </c>
      <c r="I21" s="12" t="str">
        <f t="shared" si="1"/>
        <v>Gym</v>
      </c>
    </row>
    <row r="22" spans="1:9" ht="18" outlineLevel="1">
      <c r="A22" s="31" t="s">
        <v>411</v>
      </c>
      <c r="B22" s="10">
        <v>153.66999999999999</v>
      </c>
      <c r="C22" s="10"/>
      <c r="D22" s="10"/>
      <c r="E22" s="10">
        <v>153.66999999999999</v>
      </c>
      <c r="F22" s="10"/>
      <c r="G22" s="10"/>
      <c r="H22" s="10">
        <f>IF(B22&lt;&gt;"",B22-C22-D22-E22-F22-G22,"")</f>
        <v>0</v>
      </c>
      <c r="I22" s="12" t="str">
        <f t="shared" si="1"/>
        <v>Car ins.</v>
      </c>
    </row>
    <row r="23" spans="1:9" ht="18" outlineLevel="1">
      <c r="A23" s="31" t="s">
        <v>178</v>
      </c>
      <c r="B23" s="10">
        <f>'Joint Outgoings'!C25</f>
        <v>200</v>
      </c>
      <c r="C23" s="10"/>
      <c r="D23" s="10">
        <v>12.68</v>
      </c>
      <c r="E23" s="10"/>
      <c r="F23" s="10"/>
      <c r="G23" s="10"/>
      <c r="H23" s="10">
        <f>IF(B23&lt;&gt;"",B23-C23-D23-E23-F23-G23,"")</f>
        <v>187.32</v>
      </c>
      <c r="I23" s="12" t="str">
        <f t="shared" si="1"/>
        <v>Car v.tax</v>
      </c>
    </row>
    <row r="24" spans="1:9" ht="18" outlineLevel="1">
      <c r="A24" s="185"/>
      <c r="B24" s="10"/>
      <c r="C24" s="10"/>
      <c r="D24" s="10"/>
      <c r="E24" s="10"/>
      <c r="F24" s="10"/>
      <c r="G24" s="10"/>
      <c r="H24" s="10"/>
      <c r="I24" s="9"/>
    </row>
    <row r="25" spans="1:9" ht="18">
      <c r="A25" s="177" t="s">
        <v>183</v>
      </c>
      <c r="B25" s="10"/>
      <c r="C25" s="10"/>
      <c r="D25" s="10"/>
      <c r="E25" s="10"/>
      <c r="F25" s="10"/>
      <c r="G25" s="10"/>
      <c r="H25" s="10"/>
      <c r="I25" s="9"/>
    </row>
    <row r="26" spans="1:9" ht="18" outlineLevel="1">
      <c r="A26" s="31" t="s">
        <v>184</v>
      </c>
      <c r="B26" s="10">
        <f>IF(SUM(C26:F26)&lt;&gt;0,SUM(C26:F26),0)</f>
        <v>0</v>
      </c>
      <c r="C26" s="10"/>
      <c r="D26" s="10"/>
      <c r="E26" s="10"/>
      <c r="F26" s="10"/>
      <c r="G26" s="10"/>
      <c r="H26" s="10"/>
      <c r="I26" s="12" t="s">
        <v>183</v>
      </c>
    </row>
    <row r="27" spans="1:9" ht="18" outlineLevel="1">
      <c r="A27" s="31" t="s">
        <v>185</v>
      </c>
      <c r="B27" s="10">
        <f>IF(SUM(C27:F27)&lt;&gt;0,SUM(C27:F27),0)</f>
        <v>319</v>
      </c>
      <c r="C27" s="10"/>
      <c r="D27" s="10">
        <v>319</v>
      </c>
      <c r="E27" s="10"/>
      <c r="F27" s="10"/>
      <c r="G27" s="10"/>
      <c r="H27" s="10"/>
      <c r="I27" s="12"/>
    </row>
    <row r="28" spans="1:9" ht="18">
      <c r="A28" s="32" t="s">
        <v>186</v>
      </c>
      <c r="B28" s="296">
        <f>SUM(C28:G28)+B27</f>
        <v>2543.91</v>
      </c>
      <c r="C28" s="26">
        <f>999.05+30</f>
        <v>1029.05</v>
      </c>
      <c r="D28" s="26"/>
      <c r="E28" s="27">
        <f>100+28+7.99</f>
        <v>135.99</v>
      </c>
      <c r="F28" s="36">
        <f>800+27.22+81.15+20</f>
        <v>928.37</v>
      </c>
      <c r="G28" s="296">
        <f>33+10+88.5</f>
        <v>131.5</v>
      </c>
      <c r="H28" s="46" t="e">
        <f>ROUND(SUM(H5:H23)-H16,2)&amp; " / " &amp; B28</f>
        <v>#REF!</v>
      </c>
      <c r="I28" s="10"/>
    </row>
    <row r="29" spans="1:9" ht="18">
      <c r="A29" s="24"/>
      <c r="B29" s="10"/>
      <c r="C29" s="49"/>
      <c r="D29" s="26"/>
      <c r="E29" s="23"/>
      <c r="F29" s="25"/>
      <c r="G29" s="11"/>
      <c r="H29" s="79" t="e">
        <f>IF(ROUND(SUM(H5:H23),2)&gt;0,IF(ROUND(SUM(H5:H23),2)&lt;ROUND(SUMIF(H5:H23,"&gt;0"),2),"NOT ENOUGH MONEY",""),"NO MONEY")</f>
        <v>#REF!</v>
      </c>
      <c r="I29" s="11"/>
    </row>
    <row r="30" spans="1:9" ht="18">
      <c r="A30" s="17" t="s">
        <v>187</v>
      </c>
      <c r="B30" s="17" t="str">
        <f ca="1">IF(MONTH(TODAY()) = 11, IF(MONTH(A1(RIGHT,3)) = 11, "Bike insurance due",""),"")</f>
        <v/>
      </c>
      <c r="C30" s="53"/>
      <c r="D30" s="51"/>
      <c r="E30" s="16"/>
      <c r="F30" s="16"/>
      <c r="G30" s="37"/>
    </row>
    <row r="31" spans="1:9" ht="18">
      <c r="A31" s="17"/>
      <c r="B31" s="17" t="str">
        <f ca="1">IF(MONTH(TODAY()) = 6, IF(MONTH(A1(RIGHT,3)) = 6, "Bike insurance due",""),"")</f>
        <v/>
      </c>
      <c r="C31" s="20"/>
      <c r="D31" s="52"/>
      <c r="E31" s="16"/>
      <c r="F31" s="18"/>
      <c r="G31" s="37"/>
    </row>
    <row r="32" spans="1:9" ht="18">
      <c r="A32" s="17" t="s">
        <v>558</v>
      </c>
      <c r="B32" s="17" t="s">
        <v>559</v>
      </c>
      <c r="C32" s="39" t="s">
        <v>560</v>
      </c>
      <c r="D32" s="39" t="s">
        <v>561</v>
      </c>
      <c r="E32" s="43" t="s">
        <v>562</v>
      </c>
      <c r="F32" s="20"/>
      <c r="G32" s="48"/>
      <c r="H32" s="11"/>
      <c r="I32" s="11"/>
    </row>
    <row r="33" spans="1:7" ht="18">
      <c r="A33" s="10"/>
      <c r="B33" s="10" t="s">
        <v>563</v>
      </c>
      <c r="C33" s="192">
        <v>42732</v>
      </c>
      <c r="D33" s="41">
        <f>IF(C33&lt;&gt;"",C33+14+3,"")</f>
        <v>42749</v>
      </c>
      <c r="E33" s="193"/>
      <c r="F33" s="41"/>
      <c r="G33" s="28"/>
    </row>
    <row r="34" spans="1:7" ht="18">
      <c r="A34" s="20"/>
      <c r="B34" s="10" t="s">
        <v>564</v>
      </c>
      <c r="C34" s="42">
        <v>42732</v>
      </c>
      <c r="D34" s="41">
        <f>IF(C34&lt;&gt;"",C34+14+3,"")</f>
        <v>42749</v>
      </c>
    </row>
    <row r="35" spans="1:7" ht="18">
      <c r="B35" t="s">
        <v>565</v>
      </c>
      <c r="C35" s="42">
        <v>42733</v>
      </c>
      <c r="D35" s="41">
        <f>IF(C35&lt;&gt;"",C35+14+3,"")</f>
        <v>42750</v>
      </c>
      <c r="E35">
        <v>319</v>
      </c>
    </row>
    <row r="36" spans="1:7" ht="18">
      <c r="B36" s="10" t="s">
        <v>566</v>
      </c>
      <c r="C36" s="42">
        <v>42743</v>
      </c>
      <c r="D36" s="41">
        <f>IF(C36&lt;&gt;"",C36+14+3,"")</f>
        <v>42760</v>
      </c>
      <c r="E36">
        <v>88.3</v>
      </c>
    </row>
    <row r="37" spans="1:7" ht="18">
      <c r="B37" t="s">
        <v>567</v>
      </c>
      <c r="C37" s="42">
        <v>42745</v>
      </c>
      <c r="D37" s="41">
        <f>IF(C37&lt;&gt;"",C37+14+3,"")</f>
        <v>42762</v>
      </c>
      <c r="E37">
        <v>27.95</v>
      </c>
    </row>
    <row r="38" spans="1:7">
      <c r="E38" s="194">
        <f>SUM(E33:E37)</f>
        <v>435.25</v>
      </c>
    </row>
  </sheetData>
  <dataConsolidate/>
  <conditionalFormatting sqref="H5:H12">
    <cfRule type="cellIs" dxfId="319" priority="2" operator="equal">
      <formula>0</formula>
    </cfRule>
    <cfRule type="cellIs" dxfId="318" priority="3" operator="lessThan">
      <formula>0</formula>
    </cfRule>
    <cfRule type="cellIs" dxfId="317" priority="4" operator="greaterThan">
      <formula>0</formula>
    </cfRule>
  </conditionalFormatting>
  <conditionalFormatting sqref="H15:H23">
    <cfRule type="cellIs" dxfId="316" priority="5" operator="equal">
      <formula>0</formula>
    </cfRule>
    <cfRule type="cellIs" dxfId="315" priority="6" operator="lessThan">
      <formula>0</formula>
    </cfRule>
    <cfRule type="cellIs" dxfId="314" priority="7" operator="greaterThan">
      <formula>0</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C9448D7E-C73A-9542-9CCC-5FB6575BBB16}">
            <xm:f>NOT(ISERROR(SEARCH("-",H28)))</xm:f>
            <xm:f>"-"</xm:f>
            <x14:dxf>
              <font>
                <color rgb="FF9C0006"/>
              </font>
              <fill>
                <patternFill>
                  <bgColor rgb="FFFFC7CE"/>
                </patternFill>
              </fill>
            </x14:dxf>
          </x14:cfRule>
          <xm:sqref>H28</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dimension ref="A1:H42"/>
  <sheetViews>
    <sheetView workbookViewId="0"/>
  </sheetViews>
  <sheetFormatPr defaultColWidth="11.33203125" defaultRowHeight="14.4" outlineLevelRow="2"/>
  <cols>
    <col min="1" max="1" width="18.33203125" customWidth="1"/>
    <col min="2" max="2" width="28.109375" customWidth="1"/>
    <col min="3" max="6" width="25" customWidth="1"/>
    <col min="7" max="7" width="19.44140625" customWidth="1"/>
    <col min="8" max="8" width="15.44140625" customWidth="1"/>
  </cols>
  <sheetData>
    <row r="1" spans="1:8" ht="18">
      <c r="A1" s="180" t="s">
        <v>420</v>
      </c>
      <c r="B1" s="13" t="s">
        <v>164</v>
      </c>
      <c r="C1" s="44" t="str">
        <f>"14/06/17" &amp; " - " &amp; "20/06/17"</f>
        <v>14/06/17 - 20/06/17</v>
      </c>
      <c r="D1" s="44" t="str">
        <f>TEXT(DATEVALUE(RIGHT(C1,8))+1,"dd/mm/yy")&amp; " - "&amp; TEXT(DATEVALUE(RIGHT(C1,8))+7,"dd/mm/yy")</f>
        <v>21/06/17 - 27/06/17</v>
      </c>
      <c r="E1" s="44" t="str">
        <f>TEXT(DATEVALUE(RIGHT(D1,8))+1,"dd/mm/yy")&amp; " - "&amp; TEXT(DATEVALUE(RIGHT(D1,8))+7,"dd/mm/yy")</f>
        <v>28/06/17 - 04/07/17</v>
      </c>
      <c r="F1" s="44" t="str">
        <f>TEXT(DATEVALUE(RIGHT(E1,8))+1,"dd/mm/yy")&amp; " - "&amp; TEXT(DATEVALUE(RIGHT(E1,8))+7,"dd/mm/yy")</f>
        <v>05/07/17 - 11/07/17</v>
      </c>
      <c r="G1" s="12" t="s">
        <v>10</v>
      </c>
      <c r="H1" s="9"/>
    </row>
    <row r="2" spans="1:8" ht="18">
      <c r="A2" s="13" t="s">
        <v>165</v>
      </c>
      <c r="B2" s="10">
        <f ca="1">SUM(B4,B14,B23)</f>
        <v>911.15000000000009</v>
      </c>
      <c r="C2" s="296">
        <f>SUM(C5:C21)</f>
        <v>563.44000000000005</v>
      </c>
      <c r="D2" s="296">
        <f>SUM(D5:D21)</f>
        <v>550.67999999999995</v>
      </c>
      <c r="E2" s="296">
        <f>SUM(E5:E21)</f>
        <v>236.10000000000002</v>
      </c>
      <c r="F2" s="296">
        <f>SUM(F5:F21)</f>
        <v>116.39</v>
      </c>
      <c r="G2" s="10"/>
      <c r="H2" s="9"/>
    </row>
    <row r="3" spans="1:8" ht="18">
      <c r="A3" s="250"/>
      <c r="B3" s="10"/>
      <c r="C3" s="296"/>
      <c r="D3" s="296"/>
      <c r="E3" s="296"/>
      <c r="F3" s="296"/>
      <c r="G3" s="10"/>
      <c r="H3" s="9"/>
    </row>
    <row r="4" spans="1:8" ht="18">
      <c r="A4" s="178" t="s">
        <v>166</v>
      </c>
      <c r="B4" s="183">
        <f>SUM(B5:B11)</f>
        <v>530</v>
      </c>
      <c r="C4" s="296"/>
      <c r="D4" s="296"/>
      <c r="E4" s="296"/>
      <c r="F4" s="296"/>
      <c r="G4" s="184" t="str">
        <f ca="1">"Remaining: £" &amp; ROUND(SUM(G5:G12),2)</f>
        <v>Remaining: £44.97</v>
      </c>
      <c r="H4" s="9"/>
    </row>
    <row r="5" spans="1:8" ht="18" outlineLevel="1">
      <c r="A5" s="31" t="s">
        <v>167</v>
      </c>
      <c r="B5" s="17">
        <f>30*4</f>
        <v>120</v>
      </c>
      <c r="C5" s="10">
        <v>120</v>
      </c>
      <c r="D5" s="10"/>
      <c r="E5" s="10"/>
      <c r="F5" s="10"/>
      <c r="G5" s="10">
        <f t="shared" ref="G5:G12" si="0">IF(B5&lt;&gt;"",B5-C5-D5-E5-F5,"")</f>
        <v>0</v>
      </c>
      <c r="H5" s="12" t="str">
        <f>A5</f>
        <v xml:space="preserve">Car Petrol </v>
      </c>
    </row>
    <row r="6" spans="1:8" ht="18" outlineLevel="1">
      <c r="A6" s="31" t="s">
        <v>168</v>
      </c>
      <c r="B6" s="17">
        <v>20</v>
      </c>
      <c r="C6" s="10">
        <v>20</v>
      </c>
      <c r="D6" s="10"/>
      <c r="E6" s="10"/>
      <c r="F6" s="10"/>
      <c r="G6" s="10">
        <f t="shared" si="0"/>
        <v>0</v>
      </c>
      <c r="H6" s="12" t="str">
        <f t="shared" ref="H6" si="1">A6</f>
        <v>Bike petrol</v>
      </c>
    </row>
    <row r="7" spans="1:8" ht="18" outlineLevel="1">
      <c r="A7" s="31" t="s">
        <v>169</v>
      </c>
      <c r="B7" s="10">
        <f>40*4</f>
        <v>160</v>
      </c>
      <c r="C7" s="10">
        <f>40+105</f>
        <v>145</v>
      </c>
      <c r="D7" s="10">
        <v>3.93</v>
      </c>
      <c r="E7" s="10">
        <v>28.9</v>
      </c>
      <c r="F7" s="10">
        <v>5.24</v>
      </c>
      <c r="G7" s="10">
        <f t="shared" si="0"/>
        <v>-23.07</v>
      </c>
      <c r="H7" s="12" t="str">
        <f>A7</f>
        <v>Food</v>
      </c>
    </row>
    <row r="8" spans="1:8" ht="18" outlineLevel="1">
      <c r="A8" s="31" t="s">
        <v>568</v>
      </c>
      <c r="B8" s="10">
        <v>40</v>
      </c>
      <c r="C8" s="10">
        <v>40</v>
      </c>
      <c r="D8" s="10">
        <v>48.38</v>
      </c>
      <c r="E8" s="10">
        <v>25</v>
      </c>
      <c r="F8" s="10"/>
      <c r="G8" s="10">
        <f>IF(B8&lt;&gt;"",B8-C8-D8-E8-F8,"")</f>
        <v>-73.38</v>
      </c>
      <c r="H8" s="12" t="str">
        <f>A8</f>
        <v>Bunnies</v>
      </c>
    </row>
    <row r="9" spans="1:8" ht="18" outlineLevel="1">
      <c r="A9" s="31" t="s">
        <v>421</v>
      </c>
      <c r="B9" s="10">
        <v>20</v>
      </c>
      <c r="C9" s="10">
        <v>20</v>
      </c>
      <c r="D9" s="10"/>
      <c r="E9" s="10"/>
      <c r="F9" s="10"/>
      <c r="G9" s="10">
        <f>IF(B9&lt;&gt;"",B9-C9-D9-E9-F9,"")</f>
        <v>0</v>
      </c>
      <c r="H9" s="12" t="str">
        <f>A9</f>
        <v>Horse riding</v>
      </c>
    </row>
    <row r="10" spans="1:8" ht="18" outlineLevel="1">
      <c r="A10" s="31" t="s">
        <v>170</v>
      </c>
      <c r="B10" s="10">
        <v>90</v>
      </c>
      <c r="C10" s="10"/>
      <c r="D10" s="10">
        <v>20</v>
      </c>
      <c r="E10" s="10"/>
      <c r="F10" s="10"/>
      <c r="G10" s="10">
        <f t="shared" si="0"/>
        <v>70</v>
      </c>
      <c r="H10" s="12" t="str">
        <f>A10</f>
        <v>Gift Fund</v>
      </c>
    </row>
    <row r="11" spans="1:8" ht="18" outlineLevel="1">
      <c r="A11" s="31" t="s">
        <v>171</v>
      </c>
      <c r="B11" s="10">
        <f>20*4</f>
        <v>80</v>
      </c>
      <c r="C11" s="10"/>
      <c r="D11" s="10"/>
      <c r="E11" s="10"/>
      <c r="F11" s="10"/>
      <c r="G11" s="10">
        <f t="shared" si="0"/>
        <v>80</v>
      </c>
      <c r="H11" s="12" t="str">
        <f>A11</f>
        <v>Holiday Fund</v>
      </c>
    </row>
    <row r="12" spans="1:8" ht="18" outlineLevel="1">
      <c r="A12" s="31" t="s">
        <v>172</v>
      </c>
      <c r="B12" s="10">
        <f ca="1">IF(B35 &lt;&gt; 0,B35-B4-B14-B23,0)</f>
        <v>806.97000000000025</v>
      </c>
      <c r="C12" s="10">
        <f>36.75+2.94+3.95+9.2+4.4+8+17+43.91+9.92+36.71+3.49+7.66+22.57+7.95</f>
        <v>214.45</v>
      </c>
      <c r="D12" s="10">
        <f>11.85+11.81+4.1+400+2.9</f>
        <v>430.65999999999997</v>
      </c>
      <c r="E12" s="10">
        <f>7.99+5.38+17.95+18.98+8.99</f>
        <v>59.29</v>
      </c>
      <c r="F12" s="10">
        <f>6+10+30+39.17+17.7+7.49+0.79</f>
        <v>111.15</v>
      </c>
      <c r="G12" s="10">
        <f t="shared" ca="1" si="0"/>
        <v>-8.5799999999997567</v>
      </c>
      <c r="H12" s="12" t="s">
        <v>172</v>
      </c>
    </row>
    <row r="13" spans="1:8" ht="18" outlineLevel="1">
      <c r="A13" s="185"/>
      <c r="B13" s="10"/>
      <c r="C13" s="10"/>
      <c r="D13" s="10"/>
      <c r="E13" s="10"/>
      <c r="F13" s="10"/>
      <c r="G13" s="10"/>
      <c r="H13" s="9"/>
    </row>
    <row r="14" spans="1:8" ht="18">
      <c r="A14" s="177" t="s">
        <v>422</v>
      </c>
      <c r="B14" s="183">
        <f>SUM(B15:B21)</f>
        <v>181.15000000000003</v>
      </c>
      <c r="C14" s="10"/>
      <c r="D14" s="10"/>
      <c r="E14" s="10"/>
      <c r="F14" s="10"/>
      <c r="G14" s="184" t="str">
        <f>"Remaining: £" &amp; ROUND(SUM(G15:G21),2)</f>
        <v>Remaining: £6.54</v>
      </c>
      <c r="H14" s="9"/>
    </row>
    <row r="15" spans="1:8" ht="18" outlineLevel="1">
      <c r="A15" s="31" t="s">
        <v>174</v>
      </c>
      <c r="B15" s="211">
        <v>0</v>
      </c>
      <c r="C15" s="211"/>
      <c r="D15" s="211"/>
      <c r="E15" s="211"/>
      <c r="F15" s="211"/>
      <c r="G15" s="211">
        <f t="shared" ref="G15:G21" si="2">IF(B15&lt;&gt;"",B15-C15-D15-E15-F15,"")</f>
        <v>0</v>
      </c>
      <c r="H15" s="12" t="str">
        <f t="shared" ref="H15:H21" si="3">A15</f>
        <v>House</v>
      </c>
    </row>
    <row r="16" spans="1:8" ht="18" outlineLevel="1">
      <c r="A16" s="31" t="s">
        <v>175</v>
      </c>
      <c r="B16" s="211">
        <v>104.92</v>
      </c>
      <c r="C16" s="211"/>
      <c r="D16" s="211"/>
      <c r="E16" s="211">
        <v>104.92</v>
      </c>
      <c r="F16" s="211"/>
      <c r="G16" s="10">
        <f t="shared" si="2"/>
        <v>0</v>
      </c>
      <c r="H16" s="12" t="str">
        <f t="shared" si="3"/>
        <v>Ring</v>
      </c>
    </row>
    <row r="17" spans="1:8" ht="18" outlineLevel="1">
      <c r="A17" s="31" t="s">
        <v>176</v>
      </c>
      <c r="B17" s="211">
        <f>46.26</f>
        <v>46.26</v>
      </c>
      <c r="C17" s="211"/>
      <c r="D17" s="211">
        <v>47.71</v>
      </c>
      <c r="E17" s="211"/>
      <c r="F17" s="211"/>
      <c r="G17" s="10">
        <f t="shared" si="2"/>
        <v>-1.4500000000000028</v>
      </c>
      <c r="H17" s="12" t="str">
        <f t="shared" si="3"/>
        <v xml:space="preserve">Phone </v>
      </c>
    </row>
    <row r="18" spans="1:8" ht="18" outlineLevel="1">
      <c r="A18" s="31" t="s">
        <v>177</v>
      </c>
      <c r="B18" s="211">
        <v>0</v>
      </c>
      <c r="C18" s="211"/>
      <c r="D18" s="211"/>
      <c r="E18" s="211"/>
      <c r="F18" s="211"/>
      <c r="G18" s="10">
        <f t="shared" si="2"/>
        <v>0</v>
      </c>
      <c r="H18" s="12" t="str">
        <f t="shared" si="3"/>
        <v>Gym</v>
      </c>
    </row>
    <row r="19" spans="1:8" ht="18" outlineLevel="1">
      <c r="A19" s="31" t="s">
        <v>423</v>
      </c>
      <c r="B19" s="211">
        <v>17.989999999999998</v>
      </c>
      <c r="C19" s="211"/>
      <c r="D19" s="211"/>
      <c r="E19" s="211">
        <v>17.989999999999998</v>
      </c>
      <c r="F19" s="211"/>
      <c r="G19" s="10">
        <f t="shared" si="2"/>
        <v>0</v>
      </c>
      <c r="H19" s="12" t="str">
        <f t="shared" si="3"/>
        <v>Gadget Ins.</v>
      </c>
    </row>
    <row r="20" spans="1:8" ht="18" outlineLevel="1">
      <c r="A20" s="31" t="s">
        <v>179</v>
      </c>
      <c r="B20" s="211">
        <v>3.99</v>
      </c>
      <c r="C20" s="211">
        <v>3.99</v>
      </c>
      <c r="D20" s="211"/>
      <c r="E20" s="211"/>
      <c r="F20" s="211"/>
      <c r="G20" s="10">
        <f t="shared" si="2"/>
        <v>0</v>
      </c>
      <c r="H20" s="12" t="str">
        <f t="shared" si="3"/>
        <v>Sky Movies</v>
      </c>
    </row>
    <row r="21" spans="1:8" ht="18" outlineLevel="1">
      <c r="A21" s="31" t="s">
        <v>181</v>
      </c>
      <c r="B21" s="211">
        <v>7.99</v>
      </c>
      <c r="C21" s="211"/>
      <c r="D21" s="211"/>
      <c r="E21" s="211"/>
      <c r="F21" s="211"/>
      <c r="G21" s="10">
        <f t="shared" si="2"/>
        <v>7.99</v>
      </c>
      <c r="H21" s="12" t="str">
        <f t="shared" si="3"/>
        <v>Onedrive</v>
      </c>
    </row>
    <row r="22" spans="1:8" ht="18" outlineLevel="1">
      <c r="A22" s="185"/>
      <c r="B22" s="10"/>
      <c r="C22" s="10"/>
      <c r="D22" s="10"/>
      <c r="E22" s="10"/>
      <c r="F22" s="10"/>
      <c r="G22" s="10"/>
      <c r="H22" s="9"/>
    </row>
    <row r="23" spans="1:8" ht="18">
      <c r="A23" s="177" t="s">
        <v>424</v>
      </c>
      <c r="B23" s="183">
        <f ca="1">ROUND(SUM(B24:B26),0)</f>
        <v>200</v>
      </c>
      <c r="C23" s="10"/>
      <c r="D23" s="10"/>
      <c r="E23" s="10"/>
      <c r="F23" s="10"/>
      <c r="G23" s="184" t="str">
        <f ca="1">"Remaining: £" &amp; ROUND(SUM(G24:G26),0)</f>
        <v>Remaining: £200</v>
      </c>
      <c r="H23" s="9"/>
    </row>
    <row r="24" spans="1:8" ht="18" hidden="1" outlineLevel="1">
      <c r="A24" s="31" t="s">
        <v>182</v>
      </c>
      <c r="B24" s="10">
        <f ca="1">IF(MONTH(TODAY())&lt;&gt;6,ROUND(80/12,0),39)</f>
        <v>7</v>
      </c>
      <c r="C24" s="10"/>
      <c r="D24" s="10"/>
      <c r="E24" s="10"/>
      <c r="F24" s="10"/>
      <c r="G24" s="10">
        <f ca="1">IF(B24&lt;&gt;"",B24-C24-D24-E24-F24,"")</f>
        <v>7</v>
      </c>
      <c r="H24" s="12" t="str">
        <f>A24</f>
        <v>Amazon Prime</v>
      </c>
    </row>
    <row r="25" spans="1:8" ht="18" hidden="1" outlineLevel="1">
      <c r="A25" s="31" t="s">
        <v>417</v>
      </c>
      <c r="B25" s="10">
        <f ca="1">IF(MONTH(TODAY())&lt;&gt;5,ROUND(85/12,0),85)</f>
        <v>7</v>
      </c>
      <c r="C25" s="10"/>
      <c r="D25" s="10"/>
      <c r="E25" s="10"/>
      <c r="F25" s="10"/>
      <c r="G25" s="10">
        <f t="shared" ref="G25:G29" ca="1" si="4">IF(B25&lt;&gt;"",B25-C25-D25-E25-F25,"")</f>
        <v>7</v>
      </c>
      <c r="H25" s="12" t="str">
        <f t="shared" ref="H25:H29" si="5">A25</f>
        <v>Travel Ins.</v>
      </c>
    </row>
    <row r="26" spans="1:8" ht="18" hidden="1" outlineLevel="1">
      <c r="A26" s="31" t="s">
        <v>569</v>
      </c>
      <c r="B26" s="10">
        <f>SUM(B27:B30)</f>
        <v>186.25</v>
      </c>
      <c r="C26" s="10"/>
      <c r="D26" s="10"/>
      <c r="E26" s="10"/>
      <c r="F26" s="10"/>
      <c r="G26" s="10">
        <f t="shared" si="4"/>
        <v>186.25</v>
      </c>
      <c r="H26" s="12" t="str">
        <f t="shared" si="5"/>
        <v>Vehicles</v>
      </c>
    </row>
    <row r="27" spans="1:8" ht="19.5" hidden="1" customHeight="1" outlineLevel="2">
      <c r="A27" s="31" t="s">
        <v>570</v>
      </c>
      <c r="B27" s="10">
        <f>1500/12</f>
        <v>125</v>
      </c>
      <c r="C27" s="10"/>
      <c r="D27" s="10"/>
      <c r="E27" s="10"/>
      <c r="F27" s="10"/>
      <c r="G27" s="10">
        <f t="shared" si="4"/>
        <v>125</v>
      </c>
      <c r="H27" s="12" t="str">
        <f t="shared" si="5"/>
        <v>Car Ins. / tax</v>
      </c>
    </row>
    <row r="28" spans="1:8" ht="19.5" hidden="1" customHeight="1" outlineLevel="2">
      <c r="A28" s="31" t="s">
        <v>571</v>
      </c>
      <c r="B28" s="10">
        <f>335/12</f>
        <v>27.916666666666668</v>
      </c>
      <c r="C28" s="10"/>
      <c r="D28" s="10"/>
      <c r="E28" s="10"/>
      <c r="F28" s="10"/>
      <c r="G28" s="10"/>
      <c r="H28" s="12"/>
    </row>
    <row r="29" spans="1:8" ht="19.5" hidden="1" customHeight="1" outlineLevel="2">
      <c r="A29" s="31" t="s">
        <v>572</v>
      </c>
      <c r="B29" s="10">
        <f>300/12</f>
        <v>25</v>
      </c>
      <c r="C29" s="10"/>
      <c r="D29" s="10"/>
      <c r="E29" s="10"/>
      <c r="F29" s="10"/>
      <c r="G29" s="10">
        <f t="shared" si="4"/>
        <v>25</v>
      </c>
      <c r="H29" s="12" t="str">
        <f t="shared" si="5"/>
        <v>Bike Ins. / tax</v>
      </c>
    </row>
    <row r="30" spans="1:8" ht="19.5" hidden="1" customHeight="1" outlineLevel="2">
      <c r="A30" s="31" t="s">
        <v>573</v>
      </c>
      <c r="B30" s="10">
        <f>100/12</f>
        <v>8.3333333333333339</v>
      </c>
      <c r="C30" s="10"/>
      <c r="D30" s="10"/>
      <c r="E30" s="10"/>
      <c r="F30" s="10"/>
      <c r="G30" s="10"/>
      <c r="H30" s="12"/>
    </row>
    <row r="31" spans="1:8" ht="18" hidden="1" outlineLevel="1" collapsed="1">
      <c r="A31" s="208"/>
      <c r="B31" s="10"/>
      <c r="C31" s="10"/>
      <c r="D31" s="10"/>
      <c r="E31" s="10"/>
      <c r="F31" s="10"/>
      <c r="G31" s="210"/>
      <c r="H31" s="48"/>
    </row>
    <row r="32" spans="1:8" ht="18" collapsed="1">
      <c r="A32" s="177" t="s">
        <v>183</v>
      </c>
      <c r="B32" s="183" t="str">
        <f>"£"&amp; B33 &amp; " / " &amp; "£" &amp;B34</f>
        <v>£1201.69 / £0</v>
      </c>
      <c r="C32" s="10"/>
      <c r="D32" s="10"/>
      <c r="E32" s="10"/>
      <c r="F32" s="10"/>
      <c r="G32" s="10"/>
      <c r="H32" s="9"/>
    </row>
    <row r="33" spans="1:8" ht="18" outlineLevel="1">
      <c r="A33" s="31" t="s">
        <v>184</v>
      </c>
      <c r="B33" s="10">
        <f>SUM(C33:F33)</f>
        <v>1201.69</v>
      </c>
      <c r="C33" s="10">
        <v>1201.69</v>
      </c>
      <c r="D33" s="10"/>
      <c r="E33" s="10"/>
      <c r="F33" s="10"/>
      <c r="G33" s="10"/>
      <c r="H33" s="9"/>
    </row>
    <row r="34" spans="1:8" ht="18" outlineLevel="1">
      <c r="A34" s="31" t="s">
        <v>185</v>
      </c>
      <c r="B34" s="10">
        <f>SUM(C34:F34)</f>
        <v>0</v>
      </c>
      <c r="C34" s="10"/>
      <c r="D34" s="10"/>
      <c r="E34" s="10"/>
      <c r="F34" s="10"/>
      <c r="G34" s="10"/>
      <c r="H34" s="9"/>
    </row>
    <row r="35" spans="1:8" ht="18">
      <c r="A35" s="179" t="s">
        <v>186</v>
      </c>
      <c r="B35" s="296">
        <f>SUM(C35:F35)+B34-B33</f>
        <v>1718.1200000000003</v>
      </c>
      <c r="C35" s="26">
        <f>2334.55</f>
        <v>2334.5500000000002</v>
      </c>
      <c r="D35" s="26">
        <f>128.11+405.41+51.74</f>
        <v>585.26</v>
      </c>
      <c r="E35" s="27"/>
      <c r="F35" s="36"/>
      <c r="G35" s="46" t="str">
        <f ca="1">SUM(G5:G12)+SUM(G15:G21)+SUM(G24:G26) &amp; " / " &amp; B35</f>
        <v>251.76 / 1718.12</v>
      </c>
      <c r="H35" s="10"/>
    </row>
    <row r="36" spans="1:8" ht="18">
      <c r="A36" s="24"/>
      <c r="B36" s="10"/>
      <c r="C36" s="49"/>
      <c r="D36" s="26"/>
      <c r="E36" s="23"/>
      <c r="F36" s="25"/>
      <c r="G36" s="79" t="str">
        <f ca="1">IF(ROUND(SUM(G5:G21),2)&gt;0,IF(ROUND(SUM(G5:G21),2)&lt;ROUND(SUMIF(G5:G21,"&gt;0"),2),"NOT ENOUGH MONEY",""),"NO MONEY")</f>
        <v>NOT ENOUGH MONEY</v>
      </c>
      <c r="H36" s="11"/>
    </row>
    <row r="37" spans="1:8" ht="18">
      <c r="A37" s="17" t="s">
        <v>187</v>
      </c>
      <c r="B37" s="17" t="str">
        <f ca="1">IF(MONTH(TODAY()) = 11, IF(MONTH(DATEVALUE(RIGHT(A1,3)&amp;" 1"))=11, "Bike insurance due",""),"")</f>
        <v/>
      </c>
      <c r="C37" s="59" t="s">
        <v>574</v>
      </c>
      <c r="D37" s="16"/>
      <c r="E37" s="16"/>
      <c r="F37" s="16"/>
    </row>
    <row r="38" spans="1:8" ht="18">
      <c r="A38" s="17"/>
      <c r="B38" s="17" t="str">
        <f ca="1">IF(MONTH(TODAY()) = 6, IF(MONTH(DATEVALUE(RIGHT(A1,3)&amp;" 1"))=6, "Car insurance due",""),"")</f>
        <v/>
      </c>
      <c r="C38" s="20" t="s">
        <v>575</v>
      </c>
      <c r="D38" s="39"/>
      <c r="E38" s="16"/>
      <c r="F38" s="18"/>
    </row>
    <row r="39" spans="1:8" ht="18">
      <c r="A39" s="17"/>
      <c r="B39" s="17" t="str">
        <f ca="1">IF(MONTH(TODAY()) = 5, IF(MONTH(DATEVALUE(RIGHT(A1,3)&amp;" 1"))=5, "Travel insurance due",""),"")</f>
        <v/>
      </c>
      <c r="C39" s="39">
        <f>56.99+15.75+20.99</f>
        <v>93.73</v>
      </c>
      <c r="D39" s="39"/>
      <c r="E39" s="43"/>
      <c r="F39" s="20"/>
      <c r="G39" s="11"/>
      <c r="H39" s="11"/>
    </row>
    <row r="40" spans="1:8" ht="18">
      <c r="A40" s="20"/>
      <c r="B40" s="17" t="str">
        <f ca="1">IF(MONTH(TODAY()) = 6, IF(MONTH(DATEVALUE(RIGHT(A1,3)&amp;" 1"))=6, "Amazon Prime",""),"")</f>
        <v/>
      </c>
      <c r="D40" s="42"/>
    </row>
    <row r="41" spans="1:8">
      <c r="B41" t="str">
        <f ca="1">IF(MONTH(TODAY()) = 6, IF(MONTH(DATEVALUE(RIGHT(A1,3)&amp;" 1"))=6, "Car vehicle tax",""),"")</f>
        <v/>
      </c>
    </row>
    <row r="42" spans="1:8" ht="18">
      <c r="B42" s="10"/>
    </row>
  </sheetData>
  <dataConsolidate/>
  <conditionalFormatting sqref="G5:G12">
    <cfRule type="cellIs" dxfId="312" priority="11" operator="lessThan">
      <formula>0</formula>
    </cfRule>
    <cfRule type="cellIs" dxfId="311" priority="12" operator="equal">
      <formula>0</formula>
    </cfRule>
    <cfRule type="cellIs" dxfId="310" priority="13" operator="greaterThan">
      <formula>0</formula>
    </cfRule>
  </conditionalFormatting>
  <conditionalFormatting sqref="G15:G21">
    <cfRule type="cellIs" dxfId="309" priority="14" operator="equal">
      <formula>0</formula>
    </cfRule>
    <cfRule type="cellIs" dxfId="308" priority="15" operator="lessThan">
      <formula>0</formula>
    </cfRule>
    <cfRule type="cellIs" dxfId="307" priority="16" operator="greaterThan">
      <formula>0</formula>
    </cfRule>
  </conditionalFormatting>
  <conditionalFormatting sqref="G24:G31">
    <cfRule type="cellIs" dxfId="306" priority="4" operator="equal">
      <formula>0</formula>
    </cfRule>
    <cfRule type="cellIs" dxfId="305" priority="5" operator="lessThan">
      <formula>0</formula>
    </cfRule>
    <cfRule type="cellIs" dxfId="304" priority="6"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0197914E-8E55-354C-8AC3-2BA9EBF0A737}">
            <xm:f>NOT(ISERROR(SEARCH("-",G35)))</xm:f>
            <xm:f>"-"</xm:f>
            <x14:dxf>
              <font>
                <color rgb="FF9C0006"/>
              </font>
              <fill>
                <patternFill>
                  <bgColor rgb="FFFFC7CE"/>
                </patternFill>
              </fill>
            </x14:dxf>
          </x14:cfRule>
          <xm:sqref>G35</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6"/>
  <dimension ref="A1:I41"/>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9" ht="18">
      <c r="A1" s="180" t="s">
        <v>576</v>
      </c>
      <c r="B1" s="13" t="s">
        <v>164</v>
      </c>
      <c r="C1" s="44" t="str">
        <f>"15/08/17" &amp; " - " &amp; "21/08/17"</f>
        <v>15/08/17 - 21/08/17</v>
      </c>
      <c r="D1" s="44" t="str">
        <f>TEXT(DATEVALUE(RIGHT(C1,8))+1,"dd/mm/yy")&amp; " - "&amp; TEXT(DATEVALUE(RIGHT(C1,8))+7,"dd/mm/yy")</f>
        <v>22/08/17 - 28/08/17</v>
      </c>
      <c r="E1" s="44" t="str">
        <f>TEXT(DATEVALUE(RIGHT(D1,8))+1,"dd/mm/yy")&amp; " - "&amp; TEXT(DATEVALUE(RIGHT(D1,8))+7,"dd/mm/yy")</f>
        <v>29/08/17 - 04/09/17</v>
      </c>
      <c r="F1" s="44" t="str">
        <f>TEXT(DATEVALUE(RIGHT(E1,8))+1,"dd/mm/yy")&amp; " - "&amp; TEXT(DATEVALUE(RIGHT(E1,8))+7,"dd/mm/yy")</f>
        <v>05/09/17 - 11/09/17</v>
      </c>
      <c r="G1" s="12" t="s">
        <v>10</v>
      </c>
      <c r="H1" s="9"/>
    </row>
    <row r="2" spans="1:9" ht="18">
      <c r="A2" s="13" t="s">
        <v>165</v>
      </c>
      <c r="B2" s="10">
        <f>SUM(B4,B13,B20)</f>
        <v>827.98</v>
      </c>
      <c r="C2" s="296">
        <f>SUM(C5:C17)</f>
        <v>815.23</v>
      </c>
      <c r="D2" s="296">
        <f>SUM(D5:D17)</f>
        <v>28.18</v>
      </c>
      <c r="E2" s="296">
        <f>SUM(E5:E17)</f>
        <v>165.13</v>
      </c>
      <c r="F2" s="296">
        <f>SUM(F5:F17)</f>
        <v>0</v>
      </c>
      <c r="G2" s="10"/>
      <c r="H2" s="9"/>
    </row>
    <row r="3" spans="1:9" ht="18">
      <c r="A3" s="250"/>
      <c r="B3" s="10"/>
      <c r="C3" s="296"/>
      <c r="D3" s="296"/>
      <c r="E3" s="296"/>
      <c r="F3" s="296"/>
      <c r="G3" s="10"/>
      <c r="H3" s="9"/>
    </row>
    <row r="4" spans="1:9" ht="18">
      <c r="A4" s="178" t="s">
        <v>166</v>
      </c>
      <c r="B4" s="183">
        <f>SUM(B5:B9)</f>
        <v>480</v>
      </c>
      <c r="C4" s="296"/>
      <c r="D4" s="296"/>
      <c r="E4" s="296"/>
      <c r="F4" s="296"/>
      <c r="G4" s="184" t="str">
        <f>"Remaining: £" &amp; ROUND(SUM(G5:G10),2)</f>
        <v>Remaining: £181.6</v>
      </c>
      <c r="H4" s="9"/>
    </row>
    <row r="5" spans="1:9" ht="18" outlineLevel="1">
      <c r="A5" s="31" t="s">
        <v>167</v>
      </c>
      <c r="B5" s="17">
        <f>30*4</f>
        <v>120</v>
      </c>
      <c r="C5" s="10">
        <f>90+30</f>
        <v>120</v>
      </c>
      <c r="D5" s="10">
        <v>20</v>
      </c>
      <c r="E5" s="10"/>
      <c r="F5" s="10"/>
      <c r="G5" s="10">
        <f t="shared" ref="G5:G10" si="0">IF(B5&lt;&gt;"",B5-C5-D5-E5-F5,"")</f>
        <v>-20</v>
      </c>
      <c r="H5" s="12" t="str">
        <f>A5</f>
        <v xml:space="preserve">Car Petrol </v>
      </c>
      <c r="I5">
        <f>IF(G5&lt;0,G5*-1,0)</f>
        <v>20</v>
      </c>
    </row>
    <row r="6" spans="1:9" ht="18" outlineLevel="1">
      <c r="A6" s="31" t="s">
        <v>168</v>
      </c>
      <c r="B6" s="17">
        <v>0</v>
      </c>
      <c r="C6" s="10"/>
      <c r="D6" s="10"/>
      <c r="E6" s="10"/>
      <c r="F6" s="10"/>
      <c r="G6" s="10">
        <f t="shared" si="0"/>
        <v>0</v>
      </c>
      <c r="H6" s="12" t="str">
        <f t="shared" ref="H6" si="1">A6</f>
        <v>Bike petrol</v>
      </c>
      <c r="I6">
        <f t="shared" ref="I6:I9" si="2">IF(G6&lt;0,G6*-1,0)</f>
        <v>0</v>
      </c>
    </row>
    <row r="7" spans="1:9" ht="18" outlineLevel="1">
      <c r="A7" s="31" t="s">
        <v>577</v>
      </c>
      <c r="B7" s="10">
        <v>200</v>
      </c>
      <c r="C7" s="10">
        <v>200</v>
      </c>
      <c r="D7" s="10">
        <f>5.27+2.91</f>
        <v>8.18</v>
      </c>
      <c r="E7" s="10">
        <v>5.45</v>
      </c>
      <c r="F7" s="10"/>
      <c r="G7" s="10">
        <f t="shared" si="0"/>
        <v>-13.629999999999999</v>
      </c>
      <c r="H7" s="12" t="str">
        <f>A7</f>
        <v>Food/Bunnies/Toiletries</v>
      </c>
      <c r="I7">
        <f t="shared" si="2"/>
        <v>13.629999999999999</v>
      </c>
    </row>
    <row r="8" spans="1:9" ht="18" outlineLevel="1">
      <c r="A8" s="31" t="s">
        <v>170</v>
      </c>
      <c r="B8" s="10">
        <v>80</v>
      </c>
      <c r="C8" s="10"/>
      <c r="D8" s="10"/>
      <c r="E8" s="10"/>
      <c r="F8" s="10"/>
      <c r="G8" s="10">
        <f t="shared" si="0"/>
        <v>80</v>
      </c>
      <c r="H8" s="12" t="str">
        <f>A8</f>
        <v>Gift Fund</v>
      </c>
      <c r="I8">
        <f t="shared" si="2"/>
        <v>0</v>
      </c>
    </row>
    <row r="9" spans="1:9" ht="18" outlineLevel="1">
      <c r="A9" s="31" t="s">
        <v>171</v>
      </c>
      <c r="B9" s="10">
        <f>20*4</f>
        <v>80</v>
      </c>
      <c r="C9" s="10">
        <v>160</v>
      </c>
      <c r="D9" s="10"/>
      <c r="E9" s="10"/>
      <c r="F9" s="10"/>
      <c r="G9" s="10">
        <f t="shared" si="0"/>
        <v>-80</v>
      </c>
      <c r="H9" s="12" t="str">
        <f>A9</f>
        <v>Holiday Fund</v>
      </c>
      <c r="I9">
        <f t="shared" si="2"/>
        <v>80</v>
      </c>
    </row>
    <row r="10" spans="1:9" ht="18" outlineLevel="1">
      <c r="A10" s="31" t="s">
        <v>172</v>
      </c>
      <c r="B10" s="10">
        <f>IF(B34 &lt;&gt; 0,B34-B4-B13-B20,0)</f>
        <v>547.16000000000008</v>
      </c>
      <c r="C10" s="10">
        <f>15.75+2.98+11.85+10+62.7+3.9+21.83+56.99+4+45.14+50</f>
        <v>285.14</v>
      </c>
      <c r="D10" s="10"/>
      <c r="E10" s="10">
        <f>20+21.8+4.99</f>
        <v>46.79</v>
      </c>
      <c r="F10" s="10"/>
      <c r="G10" s="10">
        <f t="shared" si="0"/>
        <v>215.2300000000001</v>
      </c>
      <c r="H10" s="12" t="s">
        <v>172</v>
      </c>
      <c r="I10" s="11">
        <f>G10-SUM(I5:I9)</f>
        <v>101.60000000000011</v>
      </c>
    </row>
    <row r="11" spans="1:9" ht="18" outlineLevel="1">
      <c r="A11" s="185"/>
      <c r="B11" s="10"/>
      <c r="C11" s="10"/>
      <c r="D11" s="10"/>
      <c r="E11" s="10"/>
      <c r="F11" s="10"/>
      <c r="G11" s="10"/>
      <c r="H11" s="9"/>
    </row>
    <row r="12" spans="1:9" ht="18">
      <c r="A12" s="185"/>
      <c r="B12" s="10"/>
      <c r="C12" s="10"/>
      <c r="D12" s="10"/>
      <c r="E12" s="10"/>
      <c r="F12" s="10"/>
      <c r="G12" s="10"/>
      <c r="H12" s="9"/>
    </row>
    <row r="13" spans="1:9" ht="18">
      <c r="A13" s="177" t="s">
        <v>422</v>
      </c>
      <c r="B13" s="183">
        <f>SUM(B14:B17)</f>
        <v>162.98000000000002</v>
      </c>
      <c r="C13" s="10"/>
      <c r="D13" s="10"/>
      <c r="E13" s="10"/>
      <c r="F13" s="10"/>
      <c r="G13" s="184" t="str">
        <f>"Remaining: £" &amp; ROUND(SUM(G14:G17),2)</f>
        <v>Remaining: £0</v>
      </c>
      <c r="H13" s="9"/>
    </row>
    <row r="14" spans="1:9" ht="18" outlineLevel="1">
      <c r="A14" s="31" t="s">
        <v>175</v>
      </c>
      <c r="B14" s="211">
        <v>104.92</v>
      </c>
      <c r="C14" s="211"/>
      <c r="D14" s="211"/>
      <c r="E14" s="211">
        <v>104.92</v>
      </c>
      <c r="F14" s="211"/>
      <c r="G14" s="10">
        <f t="shared" ref="G14:G18" si="3">IF(B14&lt;&gt;"",B14-C14-D14-E14-F14,"")</f>
        <v>0</v>
      </c>
      <c r="H14" s="12" t="str">
        <f t="shared" ref="H14:H18" si="4">A14</f>
        <v>Ring</v>
      </c>
    </row>
    <row r="15" spans="1:9" ht="18" outlineLevel="1">
      <c r="A15" s="31" t="s">
        <v>176</v>
      </c>
      <c r="B15" s="211">
        <v>46.1</v>
      </c>
      <c r="C15" s="211">
        <v>46.1</v>
      </c>
      <c r="D15" s="211"/>
      <c r="E15" s="211"/>
      <c r="F15" s="211"/>
      <c r="G15" s="10">
        <f t="shared" si="3"/>
        <v>0</v>
      </c>
      <c r="H15" s="12" t="str">
        <f t="shared" si="4"/>
        <v xml:space="preserve">Phone </v>
      </c>
    </row>
    <row r="16" spans="1:9" ht="18" outlineLevel="1">
      <c r="A16" s="31" t="s">
        <v>179</v>
      </c>
      <c r="B16" s="211">
        <v>3.99</v>
      </c>
      <c r="C16" s="211">
        <v>3.99</v>
      </c>
      <c r="D16" s="211"/>
      <c r="E16" s="211"/>
      <c r="F16" s="211"/>
      <c r="G16" s="10">
        <f t="shared" si="3"/>
        <v>0</v>
      </c>
      <c r="H16" s="12" t="str">
        <f t="shared" si="4"/>
        <v>Sky Movies</v>
      </c>
    </row>
    <row r="17" spans="1:8" ht="18" outlineLevel="1">
      <c r="A17" s="31" t="s">
        <v>181</v>
      </c>
      <c r="B17" s="211">
        <v>7.97</v>
      </c>
      <c r="C17" s="211"/>
      <c r="D17" s="211"/>
      <c r="E17" s="211">
        <v>7.97</v>
      </c>
      <c r="F17" s="211"/>
      <c r="G17" s="10">
        <f t="shared" si="3"/>
        <v>0</v>
      </c>
      <c r="H17" s="12" t="str">
        <f t="shared" si="4"/>
        <v>Onedrive</v>
      </c>
    </row>
    <row r="18" spans="1:8" ht="18" outlineLevel="1">
      <c r="A18" s="185" t="s">
        <v>578</v>
      </c>
      <c r="B18" s="10">
        <v>17.989999999999998</v>
      </c>
      <c r="C18" s="10"/>
      <c r="D18" s="10"/>
      <c r="E18" s="10">
        <v>17.989999999999998</v>
      </c>
      <c r="F18" s="10"/>
      <c r="G18" s="10">
        <f t="shared" si="3"/>
        <v>0</v>
      </c>
      <c r="H18" s="12" t="str">
        <f t="shared" si="4"/>
        <v>Gadget ins</v>
      </c>
    </row>
    <row r="19" spans="1:8" ht="18">
      <c r="A19" s="185"/>
      <c r="B19" s="10"/>
      <c r="C19" s="10"/>
      <c r="D19" s="10"/>
      <c r="E19" s="10"/>
      <c r="F19" s="10"/>
      <c r="G19" s="10"/>
      <c r="H19" s="9"/>
    </row>
    <row r="20" spans="1:8" ht="18">
      <c r="A20" s="177" t="s">
        <v>424</v>
      </c>
      <c r="B20" s="183">
        <f>185</f>
        <v>185</v>
      </c>
      <c r="C20" s="10"/>
      <c r="D20" s="10"/>
      <c r="E20" s="10"/>
      <c r="F20" s="10"/>
      <c r="G20" s="184" t="str">
        <f>"Remaining: £" &amp; ROUND(SUM(G21:G23),0)</f>
        <v>Remaining: £1</v>
      </c>
      <c r="H20" s="9"/>
    </row>
    <row r="21" spans="1:8" ht="18" outlineLevel="1">
      <c r="A21" s="31" t="s">
        <v>182</v>
      </c>
      <c r="B21" s="10">
        <v>0</v>
      </c>
      <c r="C21" s="10"/>
      <c r="D21" s="10"/>
      <c r="E21" s="10"/>
      <c r="F21" s="10"/>
      <c r="G21" s="10">
        <f>IF(B21&lt;&gt;"",B21-C21-D21-E21-F21,"")</f>
        <v>0</v>
      </c>
      <c r="H21" s="12" t="str">
        <f>A21</f>
        <v>Amazon Prime</v>
      </c>
    </row>
    <row r="22" spans="1:8" ht="18" outlineLevel="1">
      <c r="A22" s="31" t="s">
        <v>417</v>
      </c>
      <c r="B22" s="10">
        <v>0</v>
      </c>
      <c r="C22" s="10"/>
      <c r="D22" s="10"/>
      <c r="E22" s="10"/>
      <c r="F22" s="10"/>
      <c r="G22" s="10">
        <f t="shared" ref="G22:G26" si="5">IF(B22&lt;&gt;"",B22-C22-D22-E22-F22,"")</f>
        <v>0</v>
      </c>
      <c r="H22" s="12" t="str">
        <f t="shared" ref="H22:H26" si="6">A22</f>
        <v>Travel Ins.</v>
      </c>
    </row>
    <row r="23" spans="1:8" ht="18" outlineLevel="1">
      <c r="A23" s="31" t="s">
        <v>569</v>
      </c>
      <c r="B23" s="10">
        <f>SUM(B24:B27)</f>
        <v>186.25</v>
      </c>
      <c r="C23" s="10">
        <v>185</v>
      </c>
      <c r="D23" s="10"/>
      <c r="E23" s="10"/>
      <c r="F23" s="10"/>
      <c r="G23" s="10">
        <f t="shared" si="5"/>
        <v>1.25</v>
      </c>
      <c r="H23" s="12" t="str">
        <f t="shared" si="6"/>
        <v>Vehicles</v>
      </c>
    </row>
    <row r="24" spans="1:8" ht="19.5" hidden="1" customHeight="1" outlineLevel="2">
      <c r="A24" s="31" t="s">
        <v>570</v>
      </c>
      <c r="B24" s="10">
        <f>1500/12</f>
        <v>125</v>
      </c>
      <c r="C24" s="10"/>
      <c r="D24" s="10"/>
      <c r="E24" s="10"/>
      <c r="F24" s="10"/>
      <c r="G24" s="10">
        <f t="shared" si="5"/>
        <v>125</v>
      </c>
      <c r="H24" s="12" t="str">
        <f t="shared" si="6"/>
        <v>Car Ins. / tax</v>
      </c>
    </row>
    <row r="25" spans="1:8" ht="19.5" hidden="1" customHeight="1" outlineLevel="2">
      <c r="A25" s="31" t="s">
        <v>571</v>
      </c>
      <c r="B25" s="10">
        <f>335/12</f>
        <v>27.916666666666668</v>
      </c>
      <c r="C25" s="10"/>
      <c r="D25" s="10"/>
      <c r="E25" s="10"/>
      <c r="F25" s="10"/>
      <c r="G25" s="10"/>
      <c r="H25" s="12"/>
    </row>
    <row r="26" spans="1:8" ht="19.5" hidden="1" customHeight="1" outlineLevel="2">
      <c r="A26" s="31" t="s">
        <v>572</v>
      </c>
      <c r="B26" s="10">
        <f>300/12</f>
        <v>25</v>
      </c>
      <c r="C26" s="10"/>
      <c r="D26" s="10"/>
      <c r="E26" s="10"/>
      <c r="F26" s="10"/>
      <c r="G26" s="10">
        <f t="shared" si="5"/>
        <v>25</v>
      </c>
      <c r="H26" s="12" t="str">
        <f t="shared" si="6"/>
        <v>Bike Ins. / tax</v>
      </c>
    </row>
    <row r="27" spans="1:8" ht="19.5" hidden="1" customHeight="1" outlineLevel="2">
      <c r="A27" s="31" t="s">
        <v>573</v>
      </c>
      <c r="B27" s="10">
        <f>100/12</f>
        <v>8.3333333333333339</v>
      </c>
      <c r="C27" s="10"/>
      <c r="D27" s="10"/>
      <c r="E27" s="10"/>
      <c r="F27" s="10"/>
      <c r="G27" s="10"/>
      <c r="H27" s="12"/>
    </row>
    <row r="28" spans="1:8" ht="18" outlineLevel="1" collapsed="1">
      <c r="A28" s="208"/>
      <c r="B28" s="10"/>
      <c r="C28" s="10"/>
      <c r="D28" s="10"/>
      <c r="E28" s="10"/>
      <c r="F28" s="10"/>
      <c r="G28" s="210"/>
      <c r="H28" s="48"/>
    </row>
    <row r="29" spans="1:8" ht="18">
      <c r="A29" s="208"/>
      <c r="B29" s="10"/>
      <c r="C29" s="10"/>
      <c r="D29" s="10"/>
      <c r="E29" s="10"/>
      <c r="F29" s="10"/>
      <c r="G29" s="210"/>
      <c r="H29" s="48"/>
    </row>
    <row r="30" spans="1:8" ht="18">
      <c r="A30" s="177" t="s">
        <v>183</v>
      </c>
      <c r="B30" s="183" t="str">
        <f>"£"&amp; B31 &amp; " / " &amp; "£" &amp;B32</f>
        <v>£400 / £182.9</v>
      </c>
      <c r="C30" s="10"/>
      <c r="D30" s="10"/>
      <c r="E30" s="10"/>
      <c r="F30" s="10"/>
      <c r="G30" s="10"/>
      <c r="H30" s="9"/>
    </row>
    <row r="31" spans="1:8" ht="18" outlineLevel="1">
      <c r="A31" s="31" t="s">
        <v>184</v>
      </c>
      <c r="B31" s="10">
        <f>SUM(C31:F31)</f>
        <v>400</v>
      </c>
      <c r="C31" s="10">
        <v>400</v>
      </c>
      <c r="D31" s="10"/>
      <c r="E31" s="10"/>
      <c r="F31" s="10"/>
      <c r="G31" s="10"/>
      <c r="H31" s="9"/>
    </row>
    <row r="32" spans="1:8" ht="18" outlineLevel="1">
      <c r="A32" s="31" t="s">
        <v>185</v>
      </c>
      <c r="B32" s="10">
        <f>SUM(C32:F32)</f>
        <v>182.9</v>
      </c>
      <c r="C32" s="10"/>
      <c r="D32" s="10"/>
      <c r="E32" s="10">
        <f>80+22.25+50+30.65</f>
        <v>182.9</v>
      </c>
      <c r="F32" s="10"/>
      <c r="G32" s="10"/>
      <c r="H32" s="9"/>
    </row>
    <row r="33" spans="1:8" ht="18">
      <c r="A33" s="185"/>
      <c r="B33" s="10"/>
      <c r="C33" s="10"/>
      <c r="D33" s="10"/>
      <c r="E33" s="10"/>
      <c r="F33" s="10"/>
      <c r="G33" s="10"/>
      <c r="H33" s="9"/>
    </row>
    <row r="34" spans="1:8" ht="18">
      <c r="A34" s="179" t="s">
        <v>186</v>
      </c>
      <c r="B34" s="296">
        <f>SUM(C34:F34)+B32-B31</f>
        <v>1375.14</v>
      </c>
      <c r="C34" s="26">
        <f>1509.25</f>
        <v>1509.25</v>
      </c>
      <c r="D34" s="26"/>
      <c r="E34" s="27">
        <f>59.4+17.7+5.89</f>
        <v>82.99</v>
      </c>
      <c r="F34" s="36"/>
      <c r="G34" s="46" t="str">
        <f>SUM(G5:G10)+SUM(G14:G17)+SUM(G21:G23) &amp; " / " &amp; B34</f>
        <v>182.85 / 1375.14</v>
      </c>
      <c r="H34" s="10"/>
    </row>
    <row r="35" spans="1:8" ht="18">
      <c r="A35" s="24"/>
      <c r="B35" s="10"/>
      <c r="C35" s="49"/>
      <c r="D35" s="26"/>
      <c r="E35" s="23"/>
      <c r="F35" s="25"/>
      <c r="G35" s="79" t="str">
        <f>IF(ROUND(SUM(G5:G17),2)&gt;0,IF(ROUND(SUM(G5:G17),2)&lt;ROUND(SUMIF(G5:G17,"&gt;0"),2),"NOT ENOUGH MONEY",""),"NO MONEY")</f>
        <v>NOT ENOUGH MONEY</v>
      </c>
      <c r="H35" s="11"/>
    </row>
    <row r="36" spans="1:8" ht="18">
      <c r="A36" s="17" t="s">
        <v>187</v>
      </c>
      <c r="B36" s="17" t="str">
        <f ca="1">IF(MONTH(TODAY()) = 11, IF(MONTH(DATEVALUE(RIGHT(A1,3)&amp;" 1"))=11, "Bike insurance due",""),"")</f>
        <v/>
      </c>
      <c r="C36" s="59"/>
      <c r="D36" s="16"/>
      <c r="E36" s="16"/>
      <c r="F36" s="16"/>
    </row>
    <row r="37" spans="1:8" ht="18">
      <c r="A37" s="17"/>
      <c r="B37" s="17" t="str">
        <f ca="1">IF(MONTH(TODAY()) = 6, IF(MONTH(DATEVALUE(RIGHT(A1,3)&amp;" 1"))=6, "Car insurance due",""),"")</f>
        <v/>
      </c>
      <c r="C37" s="20"/>
      <c r="D37" s="39"/>
      <c r="E37" s="16"/>
      <c r="F37" s="18"/>
    </row>
    <row r="38" spans="1:8" ht="18">
      <c r="A38" s="17"/>
      <c r="B38" s="17" t="str">
        <f ca="1">IF(MONTH(TODAY()) = 5, IF(MONTH(DATEVALUE(RIGHT(A1,3)&amp;" 1"))=5, "Travel insurance due",""),"")</f>
        <v/>
      </c>
      <c r="C38" s="39"/>
      <c r="D38" s="39"/>
      <c r="E38" s="43"/>
      <c r="F38" s="20"/>
      <c r="G38" s="11"/>
      <c r="H38" s="11"/>
    </row>
    <row r="39" spans="1:8" ht="18">
      <c r="A39" s="20"/>
      <c r="B39" s="17" t="str">
        <f ca="1">IF(MONTH(TODAY()) = 6, IF(MONTH(DATEVALUE(RIGHT(A1,3)&amp;" 1"))=6, "Amazon Prime",""),"")</f>
        <v/>
      </c>
      <c r="D39" s="42"/>
    </row>
    <row r="40" spans="1:8">
      <c r="B40" t="str">
        <f ca="1">IF(MONTH(TODAY()) = 6, IF(MONTH(DATEVALUE(RIGHT(A1,3)&amp;" 1"))=6, "Car vehicle tax",""),"")</f>
        <v/>
      </c>
    </row>
    <row r="41" spans="1:8" ht="18">
      <c r="B41" s="10"/>
    </row>
  </sheetData>
  <dataConsolidate/>
  <conditionalFormatting sqref="G5:G10">
    <cfRule type="cellIs" dxfId="302" priority="8" operator="lessThan">
      <formula>0</formula>
    </cfRule>
    <cfRule type="cellIs" dxfId="301" priority="9" operator="equal">
      <formula>0</formula>
    </cfRule>
    <cfRule type="cellIs" dxfId="300" priority="10" operator="greaterThan">
      <formula>0</formula>
    </cfRule>
  </conditionalFormatting>
  <conditionalFormatting sqref="G14:G18">
    <cfRule type="cellIs" dxfId="299" priority="11" operator="equal">
      <formula>0</formula>
    </cfRule>
    <cfRule type="cellIs" dxfId="298" priority="12" operator="lessThan">
      <formula>0</formula>
    </cfRule>
    <cfRule type="cellIs" dxfId="297" priority="13" operator="greaterThan">
      <formula>0</formula>
    </cfRule>
  </conditionalFormatting>
  <conditionalFormatting sqref="G21:G29">
    <cfRule type="cellIs" dxfId="296" priority="1" operator="equal">
      <formula>0</formula>
    </cfRule>
    <cfRule type="cellIs" dxfId="295" priority="2" operator="lessThan">
      <formula>0</formula>
    </cfRule>
    <cfRule type="cellIs" dxfId="294" priority="3"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7" operator="containsText" id="{0C40FA18-56F6-AD43-B71F-C6EA52389963}">
            <xm:f>NOT(ISERROR(SEARCH("-",G34)))</xm:f>
            <xm:f>"-"</xm:f>
            <x14:dxf>
              <font>
                <color rgb="FF9C0006"/>
              </font>
              <fill>
                <patternFill>
                  <bgColor rgb="FFFFC7CE"/>
                </patternFill>
              </fill>
            </x14:dxf>
          </x14:cfRule>
          <xm:sqref>G34</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dimension ref="A1:I41"/>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9" ht="18">
      <c r="A1" s="180" t="s">
        <v>576</v>
      </c>
      <c r="B1" s="13" t="s">
        <v>164</v>
      </c>
      <c r="C1" s="44" t="str">
        <f>"15/08/17" &amp; " - " &amp; "21/08/17"</f>
        <v>15/08/17 - 21/08/17</v>
      </c>
      <c r="D1" s="44" t="str">
        <f>TEXT(DATEVALUE(RIGHT(C1,8))+1,"dd/mm/yy")&amp; " - "&amp; TEXT(DATEVALUE(RIGHT(C1,8))+7,"dd/mm/yy")</f>
        <v>22/08/17 - 28/08/17</v>
      </c>
      <c r="E1" s="44" t="str">
        <f>TEXT(DATEVALUE(RIGHT(D1,8))+1,"dd/mm/yy")&amp; " - "&amp; TEXT(DATEVALUE(RIGHT(D1,8))+7,"dd/mm/yy")</f>
        <v>29/08/17 - 04/09/17</v>
      </c>
      <c r="F1" s="44" t="str">
        <f>TEXT(DATEVALUE(RIGHT(E1,8))+1,"dd/mm/yy")&amp; " - "&amp; TEXT(DATEVALUE(RIGHT(E1,8))+7,"dd/mm/yy")</f>
        <v>05/09/17 - 11/09/17</v>
      </c>
      <c r="G1" s="12" t="s">
        <v>10</v>
      </c>
      <c r="H1" s="9"/>
    </row>
    <row r="2" spans="1:9" ht="18">
      <c r="A2" s="13" t="s">
        <v>165</v>
      </c>
      <c r="B2" s="10">
        <f>SUM(B4,B13,B20)</f>
        <v>851.99</v>
      </c>
      <c r="C2" s="296">
        <f>SUM(C5:C17)</f>
        <v>558.09</v>
      </c>
      <c r="D2" s="296">
        <f>SUM(D5:D17)</f>
        <v>14</v>
      </c>
      <c r="E2" s="296">
        <f>SUM(E5:E17)</f>
        <v>112.91</v>
      </c>
      <c r="F2" s="296">
        <f>SUM(F5:F17)</f>
        <v>136.07</v>
      </c>
      <c r="G2" s="10"/>
      <c r="H2" s="9"/>
    </row>
    <row r="3" spans="1:9" ht="18">
      <c r="A3" s="250"/>
      <c r="B3" s="10"/>
      <c r="C3" s="296"/>
      <c r="D3" s="296"/>
      <c r="E3" s="296"/>
      <c r="F3" s="296"/>
      <c r="G3" s="10"/>
      <c r="H3" s="9"/>
    </row>
    <row r="4" spans="1:9" ht="18">
      <c r="A4" s="178" t="s">
        <v>166</v>
      </c>
      <c r="B4" s="183">
        <f>SUM(B5:B9)</f>
        <v>480</v>
      </c>
      <c r="C4" s="296"/>
      <c r="D4" s="296"/>
      <c r="E4" s="296"/>
      <c r="F4" s="296"/>
      <c r="G4" s="184" t="str">
        <f>"Remaining: £" &amp; ROUND(SUM(G5:G9),2)</f>
        <v>Remaining: £-114.57</v>
      </c>
      <c r="H4" s="9"/>
    </row>
    <row r="5" spans="1:9" ht="18" outlineLevel="1">
      <c r="A5" s="31" t="s">
        <v>167</v>
      </c>
      <c r="B5" s="17">
        <f>30*4</f>
        <v>120</v>
      </c>
      <c r="C5" s="10">
        <f>30+90</f>
        <v>120</v>
      </c>
      <c r="D5" s="10"/>
      <c r="E5" s="10"/>
      <c r="F5" s="10"/>
      <c r="G5" s="10">
        <f t="shared" ref="G5:G9" si="0">IF(B5&lt;&gt;"",B5-C5-D5-E5-F5,"")</f>
        <v>0</v>
      </c>
      <c r="H5" s="12" t="str">
        <f>A5</f>
        <v xml:space="preserve">Car Petrol </v>
      </c>
      <c r="I5">
        <f>IF(G5&lt;0,G5*-1,0)</f>
        <v>0</v>
      </c>
    </row>
    <row r="6" spans="1:9" ht="18" outlineLevel="1">
      <c r="A6" s="31" t="s">
        <v>168</v>
      </c>
      <c r="B6" s="17">
        <v>0</v>
      </c>
      <c r="C6" s="10"/>
      <c r="D6" s="10">
        <v>9.5</v>
      </c>
      <c r="E6" s="10"/>
      <c r="F6" s="10"/>
      <c r="G6" s="10">
        <f t="shared" si="0"/>
        <v>-9.5</v>
      </c>
      <c r="H6" s="12" t="str">
        <f t="shared" ref="H6" si="1">A6</f>
        <v>Bike petrol</v>
      </c>
      <c r="I6">
        <f t="shared" ref="I6:I9" si="2">IF(G6&lt;0,G6*-1,0)</f>
        <v>9.5</v>
      </c>
    </row>
    <row r="7" spans="1:9" ht="18" outlineLevel="1">
      <c r="A7" s="31" t="s">
        <v>577</v>
      </c>
      <c r="B7" s="10">
        <v>200</v>
      </c>
      <c r="C7" s="10">
        <v>200</v>
      </c>
      <c r="D7" s="10"/>
      <c r="E7" s="10"/>
      <c r="F7" s="10">
        <f>20+8.12</f>
        <v>28.119999999999997</v>
      </c>
      <c r="G7" s="10">
        <f t="shared" si="0"/>
        <v>-28.119999999999997</v>
      </c>
      <c r="H7" s="12" t="str">
        <f>A7</f>
        <v>Food/Bunnies/Toiletries</v>
      </c>
      <c r="I7">
        <f t="shared" si="2"/>
        <v>28.119999999999997</v>
      </c>
    </row>
    <row r="8" spans="1:9" ht="18" outlineLevel="1">
      <c r="A8" s="31" t="s">
        <v>170</v>
      </c>
      <c r="B8" s="10">
        <v>80</v>
      </c>
      <c r="C8" s="10">
        <v>80</v>
      </c>
      <c r="D8" s="10"/>
      <c r="E8" s="10"/>
      <c r="F8" s="10">
        <f>56.95+20</f>
        <v>76.95</v>
      </c>
      <c r="G8" s="10">
        <f t="shared" si="0"/>
        <v>-76.95</v>
      </c>
      <c r="H8" s="12" t="str">
        <f>A8</f>
        <v>Gift Fund</v>
      </c>
      <c r="I8">
        <f t="shared" si="2"/>
        <v>76.95</v>
      </c>
    </row>
    <row r="9" spans="1:9" ht="18" outlineLevel="1">
      <c r="A9" s="31" t="s">
        <v>171</v>
      </c>
      <c r="B9" s="10">
        <f>20*4</f>
        <v>80</v>
      </c>
      <c r="C9" s="10">
        <v>80</v>
      </c>
      <c r="D9" s="10"/>
      <c r="E9" s="10"/>
      <c r="F9" s="10"/>
      <c r="G9" s="10">
        <f t="shared" si="0"/>
        <v>0</v>
      </c>
      <c r="H9" s="12" t="str">
        <f>A9</f>
        <v>Holiday Fund</v>
      </c>
      <c r="I9">
        <f t="shared" si="2"/>
        <v>0</v>
      </c>
    </row>
    <row r="10" spans="1:9" ht="18" outlineLevel="1">
      <c r="A10" s="31" t="s">
        <v>172</v>
      </c>
      <c r="B10" s="10">
        <f>IF(B34 &lt;&gt; 0,B34-B4-B13-B20,0)</f>
        <v>360.22</v>
      </c>
      <c r="C10" s="10">
        <f>9.99+11.29</f>
        <v>21.28</v>
      </c>
      <c r="D10" s="10">
        <v>4.5</v>
      </c>
      <c r="E10" s="10"/>
      <c r="F10" s="10">
        <f>1+10+20</f>
        <v>31</v>
      </c>
      <c r="G10" s="10">
        <f>IF(B10&lt;&gt;"",B10-C10-D10-E10-F10-SUM(I5:I9),"")</f>
        <v>188.87000000000006</v>
      </c>
      <c r="H10" s="12" t="s">
        <v>172</v>
      </c>
      <c r="I10" s="11"/>
    </row>
    <row r="11" spans="1:9" ht="18" outlineLevel="1">
      <c r="A11" s="185"/>
      <c r="B11" s="10"/>
      <c r="C11" s="10"/>
      <c r="D11" s="10"/>
      <c r="E11" s="10"/>
      <c r="F11" s="10"/>
      <c r="G11" s="10"/>
      <c r="H11" s="9"/>
    </row>
    <row r="12" spans="1:9" ht="18">
      <c r="A12" s="185"/>
      <c r="B12" s="10"/>
      <c r="C12" s="10"/>
      <c r="D12" s="10"/>
      <c r="E12" s="10"/>
      <c r="F12" s="10"/>
      <c r="G12" s="10"/>
      <c r="H12" s="9"/>
    </row>
    <row r="13" spans="1:9" ht="18">
      <c r="A13" s="177" t="s">
        <v>422</v>
      </c>
      <c r="B13" s="183">
        <f>SUM(B14:B18)</f>
        <v>186.99000000000004</v>
      </c>
      <c r="C13" s="10"/>
      <c r="D13" s="10"/>
      <c r="E13" s="10"/>
      <c r="F13" s="10"/>
      <c r="G13" s="184" t="str">
        <f>"Remaining: £" &amp; ROUND(SUM(G14:G18),2)</f>
        <v>Remaining: £-0.72</v>
      </c>
      <c r="H13" s="9"/>
    </row>
    <row r="14" spans="1:9" ht="18" outlineLevel="1">
      <c r="A14" s="31" t="s">
        <v>579</v>
      </c>
      <c r="B14" s="211">
        <v>104.92</v>
      </c>
      <c r="C14" s="211"/>
      <c r="D14" s="211"/>
      <c r="E14" s="211">
        <v>104.92</v>
      </c>
      <c r="F14" s="211"/>
      <c r="G14" s="10">
        <f t="shared" ref="G14:G18" si="3">IF(B14&lt;&gt;"",B14-C14-D14-E14-F14,"")</f>
        <v>0</v>
      </c>
      <c r="H14" s="12" t="str">
        <f t="shared" ref="H14:H18" si="4">A14</f>
        <v>Ring (4th)</v>
      </c>
    </row>
    <row r="15" spans="1:9" ht="18" outlineLevel="1">
      <c r="A15" s="31" t="s">
        <v>580</v>
      </c>
      <c r="B15" s="211">
        <v>46.1</v>
      </c>
      <c r="C15" s="211">
        <v>46.82</v>
      </c>
      <c r="D15" s="211"/>
      <c r="E15" s="211"/>
      <c r="F15" s="211"/>
      <c r="G15" s="10">
        <f t="shared" si="3"/>
        <v>-0.71999999999999886</v>
      </c>
      <c r="H15" s="12" t="str">
        <f t="shared" si="4"/>
        <v>Phone  (21st)</v>
      </c>
    </row>
    <row r="16" spans="1:9" ht="18" outlineLevel="1">
      <c r="A16" s="31" t="s">
        <v>581</v>
      </c>
      <c r="B16" s="211">
        <v>9.99</v>
      </c>
      <c r="C16" s="211">
        <v>9.99</v>
      </c>
      <c r="D16" s="211"/>
      <c r="E16" s="211"/>
      <c r="F16" s="211"/>
      <c r="G16" s="10">
        <f t="shared" si="3"/>
        <v>0</v>
      </c>
      <c r="H16" s="12" t="str">
        <f t="shared" si="4"/>
        <v>Sky Movies (18th)</v>
      </c>
    </row>
    <row r="17" spans="1:8" ht="18" outlineLevel="1">
      <c r="A17" s="31" t="s">
        <v>582</v>
      </c>
      <c r="B17" s="211">
        <v>7.99</v>
      </c>
      <c r="C17" s="211"/>
      <c r="D17" s="211"/>
      <c r="E17" s="211">
        <v>7.99</v>
      </c>
      <c r="F17" s="211"/>
      <c r="G17" s="10">
        <f t="shared" si="3"/>
        <v>0</v>
      </c>
      <c r="H17" s="12" t="str">
        <f t="shared" si="4"/>
        <v>Onedrive (6th)</v>
      </c>
    </row>
    <row r="18" spans="1:8" ht="18" outlineLevel="1">
      <c r="A18" s="31" t="s">
        <v>583</v>
      </c>
      <c r="B18" s="10">
        <v>17.989999999999998</v>
      </c>
      <c r="C18" s="10"/>
      <c r="D18" s="10"/>
      <c r="E18" s="10"/>
      <c r="F18" s="10">
        <v>17.989999999999998</v>
      </c>
      <c r="G18" s="10">
        <f t="shared" si="3"/>
        <v>0</v>
      </c>
      <c r="H18" s="12" t="str">
        <f t="shared" si="4"/>
        <v>Gadget ins (4th)</v>
      </c>
    </row>
    <row r="19" spans="1:8" ht="18">
      <c r="A19" s="185"/>
      <c r="B19" s="10"/>
      <c r="C19" s="10"/>
      <c r="D19" s="10"/>
      <c r="E19" s="10"/>
      <c r="F19" s="10"/>
      <c r="G19" s="10"/>
      <c r="H19" s="9"/>
    </row>
    <row r="20" spans="1:8" ht="18">
      <c r="A20" s="177" t="s">
        <v>424</v>
      </c>
      <c r="B20" s="183">
        <f>185</f>
        <v>185</v>
      </c>
      <c r="C20" s="10"/>
      <c r="D20" s="10"/>
      <c r="E20" s="10"/>
      <c r="F20" s="10"/>
      <c r="G20" s="184" t="str">
        <f>"Remaining: £" &amp; ROUND(SUM(G21:G23),0)</f>
        <v>Remaining: £0</v>
      </c>
      <c r="H20" s="9"/>
    </row>
    <row r="21" spans="1:8" ht="18" outlineLevel="1">
      <c r="A21" s="31" t="s">
        <v>182</v>
      </c>
      <c r="B21" s="10">
        <v>0</v>
      </c>
      <c r="C21" s="10"/>
      <c r="D21" s="10"/>
      <c r="E21" s="10"/>
      <c r="F21" s="10"/>
      <c r="G21" s="10">
        <f>IF(B21&lt;&gt;"",B21-C21-D21-E21-F21,"")</f>
        <v>0</v>
      </c>
      <c r="H21" s="12" t="str">
        <f>A21</f>
        <v>Amazon Prime</v>
      </c>
    </row>
    <row r="22" spans="1:8" ht="18" outlineLevel="1">
      <c r="A22" s="31" t="s">
        <v>417</v>
      </c>
      <c r="B22" s="10">
        <v>0</v>
      </c>
      <c r="C22" s="10"/>
      <c r="D22" s="10"/>
      <c r="E22" s="10"/>
      <c r="F22" s="10"/>
      <c r="G22" s="10">
        <f t="shared" ref="G22:G26" si="5">IF(B22&lt;&gt;"",B22-C22-D22-E22-F22,"")</f>
        <v>0</v>
      </c>
      <c r="H22" s="12" t="str">
        <f t="shared" ref="H22:H26" si="6">A22</f>
        <v>Travel Ins.</v>
      </c>
    </row>
    <row r="23" spans="1:8" ht="18" outlineLevel="1">
      <c r="A23" s="31" t="s">
        <v>569</v>
      </c>
      <c r="B23" s="10">
        <v>185</v>
      </c>
      <c r="C23" s="10">
        <v>185</v>
      </c>
      <c r="D23" s="10"/>
      <c r="E23" s="10"/>
      <c r="F23" s="10"/>
      <c r="G23" s="10">
        <f t="shared" si="5"/>
        <v>0</v>
      </c>
      <c r="H23" s="12" t="str">
        <f t="shared" si="6"/>
        <v>Vehicles</v>
      </c>
    </row>
    <row r="24" spans="1:8" ht="19.5" hidden="1" customHeight="1" outlineLevel="2">
      <c r="A24" s="31" t="s">
        <v>570</v>
      </c>
      <c r="B24" s="10">
        <f>1500/12</f>
        <v>125</v>
      </c>
      <c r="C24" s="10"/>
      <c r="D24" s="10"/>
      <c r="E24" s="10"/>
      <c r="F24" s="10"/>
      <c r="G24" s="10">
        <f t="shared" si="5"/>
        <v>125</v>
      </c>
      <c r="H24" s="12" t="str">
        <f t="shared" si="6"/>
        <v>Car Ins. / tax</v>
      </c>
    </row>
    <row r="25" spans="1:8" ht="19.5" hidden="1" customHeight="1" outlineLevel="2">
      <c r="A25" s="31" t="s">
        <v>571</v>
      </c>
      <c r="B25" s="10">
        <f>335/12</f>
        <v>27.916666666666668</v>
      </c>
      <c r="C25" s="10"/>
      <c r="D25" s="10"/>
      <c r="E25" s="10"/>
      <c r="F25" s="10"/>
      <c r="G25" s="10"/>
      <c r="H25" s="12"/>
    </row>
    <row r="26" spans="1:8" ht="19.5" hidden="1" customHeight="1" outlineLevel="2">
      <c r="A26" s="31" t="s">
        <v>572</v>
      </c>
      <c r="B26" s="10">
        <f>300/12</f>
        <v>25</v>
      </c>
      <c r="C26" s="10"/>
      <c r="D26" s="10"/>
      <c r="E26" s="10"/>
      <c r="F26" s="10"/>
      <c r="G26" s="10">
        <f t="shared" si="5"/>
        <v>25</v>
      </c>
      <c r="H26" s="12" t="str">
        <f t="shared" si="6"/>
        <v>Bike Ins. / tax</v>
      </c>
    </row>
    <row r="27" spans="1:8" ht="19.5" hidden="1" customHeight="1" outlineLevel="2">
      <c r="A27" s="31" t="s">
        <v>573</v>
      </c>
      <c r="B27" s="10">
        <f>100/12</f>
        <v>8.3333333333333339</v>
      </c>
      <c r="C27" s="10"/>
      <c r="D27" s="10"/>
      <c r="E27" s="10"/>
      <c r="F27" s="10"/>
      <c r="G27" s="10"/>
      <c r="H27" s="12"/>
    </row>
    <row r="28" spans="1:8" ht="18" outlineLevel="1" collapsed="1">
      <c r="A28" s="208"/>
      <c r="B28" s="10"/>
      <c r="C28" s="10"/>
      <c r="D28" s="10"/>
      <c r="E28" s="10"/>
      <c r="F28" s="10"/>
      <c r="G28" s="210"/>
      <c r="H28" s="48"/>
    </row>
    <row r="29" spans="1:8" ht="18">
      <c r="A29" s="208"/>
      <c r="B29" s="10"/>
      <c r="C29" s="10"/>
      <c r="D29" s="10"/>
      <c r="E29" s="10"/>
      <c r="F29" s="10"/>
      <c r="G29" s="210"/>
      <c r="H29" s="48"/>
    </row>
    <row r="30" spans="1:8" ht="18">
      <c r="A30" s="177" t="s">
        <v>183</v>
      </c>
      <c r="B30" s="183" t="str">
        <f>"£"&amp; B31 &amp; " / " &amp; "£" &amp;B32</f>
        <v>£450 / £0</v>
      </c>
      <c r="C30" s="10"/>
      <c r="D30" s="10"/>
      <c r="E30" s="10"/>
      <c r="F30" s="10"/>
      <c r="G30" s="10"/>
      <c r="H30" s="9"/>
    </row>
    <row r="31" spans="1:8" ht="18" outlineLevel="1">
      <c r="A31" s="31" t="s">
        <v>184</v>
      </c>
      <c r="B31" s="10">
        <f>SUM(C31:F31)</f>
        <v>450</v>
      </c>
      <c r="C31" s="10">
        <v>450</v>
      </c>
      <c r="D31" s="10"/>
      <c r="E31" s="10"/>
      <c r="F31" s="10"/>
      <c r="G31" s="10"/>
      <c r="H31" s="9"/>
    </row>
    <row r="32" spans="1:8" ht="18" outlineLevel="1">
      <c r="A32" s="31" t="s">
        <v>185</v>
      </c>
      <c r="B32" s="10">
        <f>SUM(C32:F32)</f>
        <v>0</v>
      </c>
      <c r="C32" s="10"/>
      <c r="D32" s="10"/>
      <c r="E32" s="10"/>
      <c r="F32" s="10"/>
      <c r="G32" s="10"/>
      <c r="H32" s="9"/>
    </row>
    <row r="33" spans="1:8" ht="18">
      <c r="A33" s="185"/>
      <c r="B33" s="10"/>
      <c r="C33" s="10"/>
      <c r="D33" s="10"/>
      <c r="E33" s="10"/>
      <c r="F33" s="10"/>
      <c r="G33" s="10"/>
      <c r="H33" s="9"/>
    </row>
    <row r="34" spans="1:8" ht="18">
      <c r="A34" s="179" t="s">
        <v>186</v>
      </c>
      <c r="B34" s="296">
        <f>SUM(C34:F34)+B32-B31</f>
        <v>1212.21</v>
      </c>
      <c r="C34" s="26">
        <f>1337.21+20</f>
        <v>1357.21</v>
      </c>
      <c r="D34" s="26"/>
      <c r="E34" s="27">
        <f>200+70+35</f>
        <v>305</v>
      </c>
      <c r="F34" s="36"/>
      <c r="G34" s="46" t="str">
        <f>SUMIF(G5:G10,"&gt;0")+SUM(G14:G18)+SUM(G21:G23) &amp; " / " &amp; B34</f>
        <v>188.15 / 1212.21</v>
      </c>
      <c r="H34" s="10"/>
    </row>
    <row r="35" spans="1:8" ht="18">
      <c r="A35" s="24"/>
      <c r="B35" s="10"/>
      <c r="C35" s="49"/>
      <c r="D35" s="26"/>
      <c r="E35" s="23"/>
      <c r="F35" s="25"/>
      <c r="G35" s="79" t="str">
        <f>IF(ROUND(SUM(G5:G17),2)&gt;0,IF(ROUND(SUM(G5:G17),2)&lt;ROUND(SUMIF(G5:G17,"&gt;0"),2),"NOT ENOUGH MONEY",""),"NO MONEY")</f>
        <v>NOT ENOUGH MONEY</v>
      </c>
      <c r="H35" s="11"/>
    </row>
    <row r="36" spans="1:8" ht="18">
      <c r="A36" s="17" t="s">
        <v>187</v>
      </c>
      <c r="B36" s="17" t="str">
        <f ca="1">IF(MONTH(TODAY()) = 11, IF(MONTH(DATEVALUE(RIGHT(A1,3)&amp;" 1"))=11, "Bike insurance due",""),"")</f>
        <v/>
      </c>
      <c r="C36" s="59"/>
      <c r="D36" s="16"/>
      <c r="E36" s="16"/>
      <c r="F36" s="16"/>
    </row>
    <row r="37" spans="1:8" ht="18">
      <c r="A37" s="17"/>
      <c r="B37" s="17" t="str">
        <f ca="1">IF(MONTH(TODAY()) = 6, IF(MONTH(DATEVALUE(RIGHT(A1,3)&amp;" 1"))=6, "Car insurance due",""),"")</f>
        <v/>
      </c>
      <c r="C37" s="20"/>
      <c r="D37" s="39"/>
      <c r="E37" s="16"/>
      <c r="F37" s="18"/>
    </row>
    <row r="38" spans="1:8" ht="18">
      <c r="A38" s="17"/>
      <c r="B38" s="17" t="str">
        <f ca="1">IF(MONTH(TODAY()) = 5, IF(MONTH(DATEVALUE(RIGHT(A1,3)&amp;" 1"))=5, "Travel insurance due",""),"")</f>
        <v/>
      </c>
      <c r="C38" s="39"/>
      <c r="D38" s="39"/>
      <c r="E38" s="43"/>
      <c r="F38" s="20"/>
      <c r="G38" s="11"/>
      <c r="H38" s="11"/>
    </row>
    <row r="39" spans="1:8" ht="18">
      <c r="A39" s="20"/>
      <c r="B39" s="17" t="str">
        <f ca="1">IF(MONTH(TODAY()) = 6, IF(MONTH(DATEVALUE(RIGHT(A1,3)&amp;" 1"))=6, "Amazon Prime",""),"")</f>
        <v/>
      </c>
      <c r="D39" s="42"/>
    </row>
    <row r="40" spans="1:8">
      <c r="B40" t="str">
        <f ca="1">IF(MONTH(TODAY()) = 6, IF(MONTH(DATEVALUE(RIGHT(A1,3)&amp;" 1"))=6, "Car vehicle tax",""),"")</f>
        <v/>
      </c>
    </row>
    <row r="41" spans="1:8" ht="18">
      <c r="B41" s="10"/>
    </row>
  </sheetData>
  <dataConsolidate/>
  <conditionalFormatting sqref="G5:G10">
    <cfRule type="cellIs" dxfId="292" priority="8" operator="lessThan">
      <formula>0</formula>
    </cfRule>
    <cfRule type="cellIs" dxfId="291" priority="9" operator="equal">
      <formula>0</formula>
    </cfRule>
    <cfRule type="cellIs" dxfId="290" priority="10" operator="greaterThan">
      <formula>0</formula>
    </cfRule>
  </conditionalFormatting>
  <conditionalFormatting sqref="G14:G18">
    <cfRule type="cellIs" dxfId="289" priority="11" operator="equal">
      <formula>0</formula>
    </cfRule>
    <cfRule type="cellIs" dxfId="288" priority="12" operator="lessThan">
      <formula>0</formula>
    </cfRule>
    <cfRule type="cellIs" dxfId="287" priority="13" operator="greaterThan">
      <formula>0</formula>
    </cfRule>
  </conditionalFormatting>
  <conditionalFormatting sqref="G21:G29">
    <cfRule type="cellIs" dxfId="286" priority="1" operator="equal">
      <formula>0</formula>
    </cfRule>
    <cfRule type="cellIs" dxfId="285" priority="2" operator="lessThan">
      <formula>0</formula>
    </cfRule>
    <cfRule type="cellIs" dxfId="284" priority="3"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7" operator="containsText" id="{2DC63DFB-E668-154C-8D57-84BC62D0C4ED}">
            <xm:f>NOT(ISERROR(SEARCH("-",G34)))</xm:f>
            <xm:f>"-"</xm:f>
            <x14:dxf>
              <font>
                <color rgb="FF9C0006"/>
              </font>
              <fill>
                <patternFill>
                  <bgColor rgb="FFFFC7CE"/>
                </patternFill>
              </fill>
            </x14:dxf>
          </x14:cfRule>
          <xm:sqref>G34</xm:sqref>
        </x14:conditionalFormatting>
      </x14:conditionalFormatting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dimension ref="A1:J41"/>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10" ht="18">
      <c r="A1" s="180" t="s">
        <v>576</v>
      </c>
      <c r="B1" s="13" t="s">
        <v>164</v>
      </c>
      <c r="C1" s="44" t="str">
        <f>"15/08/17" &amp; " - " &amp; "21/08/17"</f>
        <v>15/08/17 - 21/08/17</v>
      </c>
      <c r="D1" s="44" t="str">
        <f>TEXT(DATEVALUE(RIGHT(C1,8))+1,"dd/mm/yy")&amp; " - "&amp; TEXT(DATEVALUE(RIGHT(C1,8))+7,"dd/mm/yy")</f>
        <v>22/08/17 - 28/08/17</v>
      </c>
      <c r="E1" s="44" t="str">
        <f>TEXT(DATEVALUE(RIGHT(D1,8))+1,"dd/mm/yy")&amp; " - "&amp; TEXT(DATEVALUE(RIGHT(D1,8))+7,"dd/mm/yy")</f>
        <v>29/08/17 - 04/09/17</v>
      </c>
      <c r="F1" s="44" t="str">
        <f>TEXT(DATEVALUE(RIGHT(E1,8))+1,"dd/mm/yy")&amp; " - "&amp; TEXT(DATEVALUE(RIGHT(E1,8))+7,"dd/mm/yy")</f>
        <v>05/09/17 - 11/09/17</v>
      </c>
      <c r="G1" s="12" t="s">
        <v>10</v>
      </c>
      <c r="H1" s="9"/>
    </row>
    <row r="2" spans="1:10" ht="18">
      <c r="A2" s="13" t="s">
        <v>165</v>
      </c>
      <c r="B2" s="10">
        <f>SUM(B4,B13,B18)</f>
        <v>1150.7</v>
      </c>
      <c r="C2" s="296">
        <f>SUM(C5:C16)</f>
        <v>527.97</v>
      </c>
      <c r="D2" s="296">
        <f>SUM(D5:D16)</f>
        <v>762.86</v>
      </c>
      <c r="E2" s="296">
        <f>SUM(E5:E16)</f>
        <v>555.55999999999995</v>
      </c>
      <c r="F2" s="296">
        <f>SUM(F5:F16)</f>
        <v>7.99</v>
      </c>
      <c r="G2" s="10"/>
      <c r="H2" s="9"/>
    </row>
    <row r="3" spans="1:10" ht="18">
      <c r="A3" s="250"/>
      <c r="B3" s="10"/>
      <c r="C3" s="296"/>
      <c r="D3" s="296"/>
      <c r="E3" s="296"/>
      <c r="F3" s="296"/>
      <c r="G3" s="10"/>
      <c r="H3" s="9"/>
    </row>
    <row r="4" spans="1:10" ht="18">
      <c r="A4" s="178" t="s">
        <v>166</v>
      </c>
      <c r="B4" s="183">
        <f>SUM(B5:B9)</f>
        <v>901.62</v>
      </c>
      <c r="C4" s="296"/>
      <c r="D4" s="296"/>
      <c r="E4" s="296"/>
      <c r="F4" s="296"/>
      <c r="G4" s="184" t="str">
        <f>"Remaining: £" &amp; ROUND(SUM(G5:G9),2)</f>
        <v>Remaining: £-193.61</v>
      </c>
      <c r="H4" s="9"/>
    </row>
    <row r="5" spans="1:10" ht="18" outlineLevel="1">
      <c r="A5" s="31" t="s">
        <v>167</v>
      </c>
      <c r="B5" s="17">
        <v>120</v>
      </c>
      <c r="C5" s="10">
        <f>30</f>
        <v>30</v>
      </c>
      <c r="D5" s="10">
        <f>30+30</f>
        <v>60</v>
      </c>
      <c r="E5" s="10">
        <f>30+30.7</f>
        <v>60.7</v>
      </c>
      <c r="F5" s="10"/>
      <c r="G5" s="10">
        <f t="shared" ref="G5:G10" si="0">IF(B5&lt;&gt;"",B5-C5-D5-E5-F5,"")</f>
        <v>-30.700000000000003</v>
      </c>
      <c r="H5" s="12" t="str">
        <f>A5</f>
        <v xml:space="preserve">Car Petrol </v>
      </c>
      <c r="I5">
        <f>IF(G5&lt;0,G5*-1,0)</f>
        <v>30.700000000000003</v>
      </c>
    </row>
    <row r="6" spans="1:10" ht="18" hidden="1" outlineLevel="1">
      <c r="A6" s="31" t="s">
        <v>168</v>
      </c>
      <c r="B6" s="17">
        <v>0</v>
      </c>
      <c r="C6" s="10"/>
      <c r="D6" s="10"/>
      <c r="E6" s="10"/>
      <c r="F6" s="10"/>
      <c r="G6" s="10">
        <f t="shared" si="0"/>
        <v>0</v>
      </c>
      <c r="H6" s="12" t="str">
        <f t="shared" ref="H6" si="1">A6</f>
        <v>Bike petrol</v>
      </c>
      <c r="I6">
        <f t="shared" ref="I6:I9" si="2">IF(G6&lt;0,G6*-1,0)</f>
        <v>0</v>
      </c>
    </row>
    <row r="7" spans="1:10" ht="18" outlineLevel="1">
      <c r="A7" s="31" t="s">
        <v>577</v>
      </c>
      <c r="B7" s="10">
        <v>200</v>
      </c>
      <c r="C7" s="10">
        <v>200</v>
      </c>
      <c r="D7" s="10">
        <f>20+2+1.08</f>
        <v>23.08</v>
      </c>
      <c r="E7" s="10">
        <f>12.5+6.71</f>
        <v>19.21</v>
      </c>
      <c r="F7" s="10"/>
      <c r="G7" s="10">
        <f t="shared" si="0"/>
        <v>-42.29</v>
      </c>
      <c r="H7" s="12" t="str">
        <f>A7</f>
        <v>Food/Bunnies/Toiletries</v>
      </c>
      <c r="I7">
        <f t="shared" si="2"/>
        <v>42.29</v>
      </c>
    </row>
    <row r="8" spans="1:10" ht="18" outlineLevel="1">
      <c r="A8" s="31" t="s">
        <v>170</v>
      </c>
      <c r="B8" s="10">
        <v>481.62</v>
      </c>
      <c r="C8" s="10">
        <f>85.23+30+5+55</f>
        <v>175.23000000000002</v>
      </c>
      <c r="D8" s="10">
        <f>63.48+10+136.03+9.95+18.11+57.98+19.99+6.99+22.5+25+56.98</f>
        <v>427.01000000000005</v>
      </c>
      <c r="E8" s="10"/>
      <c r="F8" s="10"/>
      <c r="G8" s="10">
        <f t="shared" si="0"/>
        <v>-120.62000000000006</v>
      </c>
      <c r="H8" s="12" t="str">
        <f>A8</f>
        <v>Gift Fund</v>
      </c>
      <c r="I8">
        <f t="shared" si="2"/>
        <v>120.62000000000006</v>
      </c>
    </row>
    <row r="9" spans="1:10" ht="18" outlineLevel="1">
      <c r="A9" s="31" t="s">
        <v>171</v>
      </c>
      <c r="B9" s="10">
        <f>100</f>
        <v>100</v>
      </c>
      <c r="C9" s="10">
        <v>100</v>
      </c>
      <c r="D9" s="10"/>
      <c r="E9" s="10"/>
      <c r="F9" s="10"/>
      <c r="G9" s="10">
        <f t="shared" si="0"/>
        <v>0</v>
      </c>
      <c r="H9" s="12" t="str">
        <f>A9</f>
        <v>Holiday Fund</v>
      </c>
      <c r="I9">
        <f t="shared" si="2"/>
        <v>0</v>
      </c>
    </row>
    <row r="10" spans="1:10" ht="18" outlineLevel="1">
      <c r="A10" s="31" t="s">
        <v>172</v>
      </c>
      <c r="B10" s="10">
        <f>IF(B32 &lt;&gt; 0,B32-B4-B13-B18,0)</f>
        <v>1020.1000000000004</v>
      </c>
      <c r="C10" s="10">
        <f>10+2.75</f>
        <v>12.75</v>
      </c>
      <c r="D10" s="10">
        <f>32.4+10+19.04+6.85+8.89+12.5+16.99+100</f>
        <v>206.67</v>
      </c>
      <c r="E10" s="10">
        <f>209.84+2+17.99+104.92+68.94+6+52.5+8.5+4.96</f>
        <v>475.65</v>
      </c>
      <c r="F10" s="10"/>
      <c r="G10" s="10">
        <f t="shared" si="0"/>
        <v>325.03000000000043</v>
      </c>
      <c r="H10" s="12" t="s">
        <v>172</v>
      </c>
      <c r="I10" s="11"/>
      <c r="J10" s="11"/>
    </row>
    <row r="11" spans="1:10" ht="18" outlineLevel="1">
      <c r="A11" s="185"/>
      <c r="B11" s="10"/>
      <c r="C11" s="10"/>
      <c r="D11" s="10"/>
      <c r="E11" s="10"/>
      <c r="F11" s="10"/>
      <c r="G11" s="10"/>
      <c r="H11" s="9"/>
      <c r="J11" s="11"/>
    </row>
    <row r="12" spans="1:10" ht="18">
      <c r="A12" s="185"/>
      <c r="B12" s="10"/>
      <c r="C12" s="10"/>
      <c r="D12" s="10"/>
      <c r="E12" s="10"/>
      <c r="F12" s="10"/>
      <c r="G12" s="10"/>
      <c r="H12" s="9"/>
      <c r="J12" s="11"/>
    </row>
    <row r="13" spans="1:10" ht="18">
      <c r="A13" s="177" t="s">
        <v>422</v>
      </c>
      <c r="B13" s="183">
        <f>SUM(B14:B16)</f>
        <v>64.08</v>
      </c>
      <c r="C13" s="10"/>
      <c r="D13" s="10"/>
      <c r="E13" s="10"/>
      <c r="F13" s="10"/>
      <c r="G13" s="184" t="str">
        <f>"Remaining: £" &amp; ROUND(SUM(G14:G16),2)</f>
        <v>Remaining: £0</v>
      </c>
      <c r="H13" s="9"/>
    </row>
    <row r="14" spans="1:10" ht="18" outlineLevel="1">
      <c r="A14" s="31" t="s">
        <v>580</v>
      </c>
      <c r="B14" s="211">
        <v>46.1</v>
      </c>
      <c r="C14" s="211"/>
      <c r="D14" s="211">
        <v>46.1</v>
      </c>
      <c r="E14" s="211"/>
      <c r="F14" s="211"/>
      <c r="G14" s="10">
        <f>IF(B14&lt;&gt;"",B14-C14-D14-E14-F14,"")</f>
        <v>0</v>
      </c>
      <c r="H14" s="12" t="str">
        <f t="shared" ref="H14:H16" si="3">A14</f>
        <v>Phone  (21st)</v>
      </c>
    </row>
    <row r="15" spans="1:10" ht="18" outlineLevel="1">
      <c r="A15" s="31" t="s">
        <v>581</v>
      </c>
      <c r="B15" s="211">
        <v>9.99</v>
      </c>
      <c r="C15" s="211">
        <v>9.99</v>
      </c>
      <c r="D15" s="211"/>
      <c r="E15" s="211"/>
      <c r="F15" s="211"/>
      <c r="G15" s="10">
        <f>IF(B15&lt;&gt;"",B15-C15-D15-E15-F15,"")</f>
        <v>0</v>
      </c>
      <c r="H15" s="12" t="str">
        <f t="shared" si="3"/>
        <v>Sky Movies (18th)</v>
      </c>
    </row>
    <row r="16" spans="1:10" ht="18" outlineLevel="1">
      <c r="A16" s="31" t="s">
        <v>582</v>
      </c>
      <c r="B16" s="211">
        <v>7.99</v>
      </c>
      <c r="C16" s="211"/>
      <c r="D16" s="211"/>
      <c r="E16" s="211"/>
      <c r="F16" s="211">
        <v>7.99</v>
      </c>
      <c r="G16" s="10">
        <f>IF(B16&lt;&gt;"",B16-C16-D16-E16-F16,"")</f>
        <v>0</v>
      </c>
      <c r="H16" s="12" t="str">
        <f t="shared" si="3"/>
        <v>Onedrive (6th)</v>
      </c>
    </row>
    <row r="17" spans="1:8" ht="18">
      <c r="A17" s="185"/>
      <c r="B17" s="10"/>
      <c r="C17" s="10"/>
      <c r="D17" s="10"/>
      <c r="E17" s="10"/>
      <c r="F17" s="10"/>
      <c r="G17" s="10"/>
      <c r="H17" s="9"/>
    </row>
    <row r="18" spans="1:8" ht="18">
      <c r="A18" s="177" t="s">
        <v>424</v>
      </c>
      <c r="B18" s="183">
        <f>185</f>
        <v>185</v>
      </c>
      <c r="C18" s="10"/>
      <c r="D18" s="10"/>
      <c r="E18" s="10"/>
      <c r="F18" s="10"/>
      <c r="G18" s="184" t="str">
        <f>"Remaining: £" &amp; ROUND(SUM(G19:G21),0)</f>
        <v>Remaining: £-10</v>
      </c>
      <c r="H18" s="9"/>
    </row>
    <row r="19" spans="1:8" ht="18" outlineLevel="1">
      <c r="A19" s="31" t="s">
        <v>182</v>
      </c>
      <c r="B19" s="10">
        <v>0</v>
      </c>
      <c r="C19" s="10"/>
      <c r="D19" s="10"/>
      <c r="E19" s="10"/>
      <c r="F19" s="10"/>
      <c r="G19" s="10">
        <f>IF(B19&lt;&gt;"",B19-C19-D19-E19-F19,"")</f>
        <v>0</v>
      </c>
      <c r="H19" s="12" t="str">
        <f>A19</f>
        <v>Amazon Prime</v>
      </c>
    </row>
    <row r="20" spans="1:8" ht="18" outlineLevel="1">
      <c r="A20" s="31" t="s">
        <v>417</v>
      </c>
      <c r="B20" s="10">
        <v>0</v>
      </c>
      <c r="C20" s="10"/>
      <c r="D20" s="10"/>
      <c r="E20" s="10"/>
      <c r="F20" s="10"/>
      <c r="G20" s="10">
        <f>IF(B20&lt;&gt;"",B20-C20-D20-E20-F20,"")</f>
        <v>0</v>
      </c>
      <c r="H20" s="12" t="str">
        <f t="shared" ref="H20:H24" si="4">A20</f>
        <v>Travel Ins.</v>
      </c>
    </row>
    <row r="21" spans="1:8" ht="18" outlineLevel="1">
      <c r="A21" s="31" t="s">
        <v>569</v>
      </c>
      <c r="B21" s="10">
        <v>180</v>
      </c>
      <c r="C21" s="10"/>
      <c r="D21" s="10"/>
      <c r="E21" s="10"/>
      <c r="F21" s="10">
        <v>190</v>
      </c>
      <c r="G21" s="10">
        <f>IF(B21&lt;&gt;"",B21-C21-D21-E21-F21,"")</f>
        <v>-10</v>
      </c>
      <c r="H21" s="12" t="str">
        <f t="shared" si="4"/>
        <v>Vehicles</v>
      </c>
    </row>
    <row r="22" spans="1:8" ht="19.5" hidden="1" customHeight="1" outlineLevel="2">
      <c r="A22" s="31" t="s">
        <v>570</v>
      </c>
      <c r="B22" s="10">
        <f>1500/12</f>
        <v>125</v>
      </c>
      <c r="C22" s="10"/>
      <c r="D22" s="10"/>
      <c r="E22" s="10"/>
      <c r="F22" s="10"/>
      <c r="G22" s="10">
        <f>IF(B22&lt;&gt;"",B22-C22-D22-E22-F22,"")</f>
        <v>125</v>
      </c>
      <c r="H22" s="12" t="str">
        <f t="shared" si="4"/>
        <v>Car Ins. / tax</v>
      </c>
    </row>
    <row r="23" spans="1:8" ht="19.5" hidden="1" customHeight="1" outlineLevel="2">
      <c r="A23" s="31" t="s">
        <v>571</v>
      </c>
      <c r="B23" s="10">
        <f>335/12</f>
        <v>27.916666666666668</v>
      </c>
      <c r="C23" s="10"/>
      <c r="D23" s="10"/>
      <c r="E23" s="10"/>
      <c r="F23" s="10"/>
      <c r="G23" s="10"/>
      <c r="H23" s="12"/>
    </row>
    <row r="24" spans="1:8" ht="19.5" hidden="1" customHeight="1" outlineLevel="2">
      <c r="A24" s="31" t="s">
        <v>572</v>
      </c>
      <c r="B24" s="10">
        <f>300/12</f>
        <v>25</v>
      </c>
      <c r="C24" s="10"/>
      <c r="D24" s="10"/>
      <c r="E24" s="10"/>
      <c r="F24" s="10"/>
      <c r="G24" s="10">
        <f>IF(B24&lt;&gt;"",B24-C24-D24-E24-F24,"")</f>
        <v>25</v>
      </c>
      <c r="H24" s="12" t="str">
        <f t="shared" si="4"/>
        <v>Bike Ins. / tax</v>
      </c>
    </row>
    <row r="25" spans="1:8" ht="19.5" hidden="1" customHeight="1" outlineLevel="2">
      <c r="A25" s="31" t="s">
        <v>573</v>
      </c>
      <c r="B25" s="10">
        <f>100/12</f>
        <v>8.3333333333333339</v>
      </c>
      <c r="C25" s="10"/>
      <c r="D25" s="10"/>
      <c r="E25" s="10"/>
      <c r="F25" s="10"/>
      <c r="G25" s="10"/>
      <c r="H25" s="12"/>
    </row>
    <row r="26" spans="1:8" ht="18" outlineLevel="1" collapsed="1">
      <c r="A26" s="208"/>
      <c r="B26" s="10"/>
      <c r="C26" s="10"/>
      <c r="D26" s="10"/>
      <c r="E26" s="10"/>
      <c r="F26" s="10"/>
      <c r="G26" s="210"/>
      <c r="H26" s="48"/>
    </row>
    <row r="27" spans="1:8" ht="18">
      <c r="A27" s="208"/>
      <c r="B27" s="10"/>
      <c r="C27" s="10"/>
      <c r="D27" s="10"/>
      <c r="E27" s="10"/>
      <c r="F27" s="10"/>
      <c r="G27" s="210"/>
      <c r="H27" s="48"/>
    </row>
    <row r="28" spans="1:8" ht="18">
      <c r="A28" s="177" t="s">
        <v>183</v>
      </c>
      <c r="B28" s="183" t="str">
        <f>"£"&amp; B29 &amp; " / " &amp; "£" &amp;B30</f>
        <v>£400 / £696.59</v>
      </c>
      <c r="C28" s="10"/>
      <c r="D28" s="10"/>
      <c r="E28" s="10"/>
      <c r="F28" s="10"/>
      <c r="G28" s="10"/>
      <c r="H28" s="9"/>
    </row>
    <row r="29" spans="1:8" ht="18" outlineLevel="1">
      <c r="A29" s="31" t="s">
        <v>184</v>
      </c>
      <c r="B29" s="10">
        <f>SUM(C29:F29)</f>
        <v>400</v>
      </c>
      <c r="C29" s="10"/>
      <c r="D29" s="10">
        <v>400</v>
      </c>
      <c r="E29" s="10"/>
      <c r="F29" s="10"/>
      <c r="G29" s="10"/>
      <c r="H29" s="9"/>
    </row>
    <row r="30" spans="1:8" ht="18" outlineLevel="1">
      <c r="A30" s="31" t="s">
        <v>185</v>
      </c>
      <c r="B30" s="10">
        <f>SUM(C30:F30)</f>
        <v>696.59</v>
      </c>
      <c r="C30" s="10"/>
      <c r="D30" s="10">
        <v>100</v>
      </c>
      <c r="E30" s="10">
        <f>209.84+26.75</f>
        <v>236.59</v>
      </c>
      <c r="F30" s="10">
        <f>20+250+90</f>
        <v>360</v>
      </c>
      <c r="G30" s="10"/>
      <c r="H30" s="9"/>
    </row>
    <row r="31" spans="1:8" ht="18">
      <c r="A31" s="185"/>
      <c r="B31" s="10"/>
      <c r="C31" s="10"/>
      <c r="D31" s="10"/>
      <c r="E31" s="10"/>
      <c r="F31" s="10"/>
      <c r="G31" s="10"/>
      <c r="H31" s="9"/>
    </row>
    <row r="32" spans="1:8" ht="18">
      <c r="A32" s="179" t="s">
        <v>186</v>
      </c>
      <c r="B32" s="296">
        <f>SUM(C32:F32)+B30-B29</f>
        <v>2170.8000000000002</v>
      </c>
      <c r="C32" s="26">
        <f>1337.21+20</f>
        <v>1357.21</v>
      </c>
      <c r="D32" s="26">
        <f>400+80+20+14+3</f>
        <v>517</v>
      </c>
      <c r="E32" s="27"/>
      <c r="F32" s="36"/>
      <c r="G32" s="46" t="str">
        <f>SUM(G5:G10)+SUM(G14:G16)+SUM(G19:G21) &amp; " / " &amp; B32</f>
        <v>121.42 / 2170.8</v>
      </c>
      <c r="H32" s="10"/>
    </row>
    <row r="33" spans="1:8" ht="18">
      <c r="A33" s="24"/>
      <c r="B33" s="10"/>
      <c r="C33" s="49"/>
      <c r="D33" s="26"/>
      <c r="E33" s="23"/>
      <c r="F33" s="25"/>
      <c r="G33" s="79"/>
      <c r="H33" s="11"/>
    </row>
    <row r="34" spans="1:8" ht="18">
      <c r="A34" s="17" t="s">
        <v>187</v>
      </c>
      <c r="B34" s="17" t="str">
        <f ca="1">IF(MONTH(TODAY()) = 11, IF(MONTH(DATEVALUE(RIGHT(A1,3)&amp;" 1"))=11, "Bike insurance due",""),"")</f>
        <v/>
      </c>
      <c r="C34" s="59"/>
      <c r="D34" s="16"/>
      <c r="E34" s="16"/>
      <c r="F34" s="16"/>
      <c r="G34">
        <v>165.35</v>
      </c>
    </row>
    <row r="35" spans="1:8" ht="18">
      <c r="A35" s="17"/>
      <c r="B35" s="17" t="str">
        <f ca="1">IF(MONTH(TODAY()) = 6, IF(MONTH(DATEVALUE(RIGHT(A1,3)&amp;" 1"))=6, "Car insurance due",""),"")</f>
        <v/>
      </c>
      <c r="C35" s="20">
        <v>200</v>
      </c>
      <c r="D35" s="39"/>
      <c r="E35" s="16"/>
      <c r="F35" s="18"/>
      <c r="G35">
        <f>165.35-129.41</f>
        <v>35.94</v>
      </c>
    </row>
    <row r="36" spans="1:8" ht="18">
      <c r="A36" s="17"/>
      <c r="B36" s="17" t="str">
        <f ca="1">IF(MONTH(TODAY()) = 5, IF(MONTH(DATEVALUE(RIGHT(A1,3)&amp;" 1"))=5, "Travel insurance due",""),"")</f>
        <v/>
      </c>
      <c r="C36" s="39">
        <v>104.92</v>
      </c>
      <c r="D36" s="39"/>
      <c r="E36" s="43"/>
      <c r="F36" s="20"/>
      <c r="G36" s="11"/>
      <c r="H36" s="11"/>
    </row>
    <row r="37" spans="1:8" ht="18">
      <c r="A37" s="20"/>
      <c r="B37" s="17" t="str">
        <f ca="1">IF(MONTH(TODAY()) = 6, IF(MONTH(DATEVALUE(RIGHT(A1,3)&amp;" 1"))=6, "Amazon Prime",""),"")</f>
        <v/>
      </c>
      <c r="C37">
        <v>125</v>
      </c>
      <c r="D37" s="42"/>
      <c r="G37" s="11"/>
    </row>
    <row r="38" spans="1:8" ht="18">
      <c r="A38" s="48"/>
      <c r="B38" s="37"/>
      <c r="C38" s="11"/>
      <c r="D38" s="42"/>
      <c r="G38" s="11"/>
    </row>
    <row r="39" spans="1:8">
      <c r="B39" t="str">
        <f ca="1">IF(MONTH(TODAY()) = 6, IF(MONTH(DATEVALUE(RIGHT(A1,3)&amp;" 1"))=6, "Car vehicle tax",""),"")</f>
        <v/>
      </c>
      <c r="C39">
        <f>SUM(C35:C38)</f>
        <v>429.92</v>
      </c>
      <c r="G39" s="11"/>
    </row>
    <row r="40" spans="1:8" ht="18">
      <c r="B40" s="10"/>
      <c r="C40" s="11">
        <f>B30-C39</f>
        <v>266.67</v>
      </c>
      <c r="D40">
        <f>480/12</f>
        <v>40</v>
      </c>
      <c r="G40" s="11"/>
    </row>
    <row r="41" spans="1:8">
      <c r="G41" s="11"/>
    </row>
  </sheetData>
  <dataConsolidate/>
  <conditionalFormatting sqref="G5:G10">
    <cfRule type="cellIs" dxfId="282" priority="8" operator="lessThan">
      <formula>0</formula>
    </cfRule>
    <cfRule type="cellIs" dxfId="281" priority="9" operator="equal">
      <formula>0</formula>
    </cfRule>
    <cfRule type="cellIs" dxfId="280" priority="10" operator="greaterThan">
      <formula>0</formula>
    </cfRule>
  </conditionalFormatting>
  <conditionalFormatting sqref="G14:G16">
    <cfRule type="cellIs" dxfId="279" priority="11" operator="equal">
      <formula>0</formula>
    </cfRule>
    <cfRule type="cellIs" dxfId="278" priority="12" operator="lessThan">
      <formula>0</formula>
    </cfRule>
    <cfRule type="cellIs" dxfId="277" priority="13" operator="greaterThan">
      <formula>0</formula>
    </cfRule>
  </conditionalFormatting>
  <conditionalFormatting sqref="G19:G27">
    <cfRule type="cellIs" dxfId="276" priority="1" operator="equal">
      <formula>0</formula>
    </cfRule>
    <cfRule type="cellIs" dxfId="275" priority="2" operator="lessThan">
      <formula>0</formula>
    </cfRule>
    <cfRule type="cellIs" dxfId="274" priority="3" operator="greaterThan">
      <formula>0</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7" operator="containsText" id="{534534B3-C21B-644B-AAF6-8CBB10EFAFCE}">
            <xm:f>NOT(ISERROR(SEARCH("-",G32)))</xm:f>
            <xm:f>"-"</xm:f>
            <x14:dxf>
              <font>
                <color rgb="FF9C0006"/>
              </font>
              <fill>
                <patternFill>
                  <bgColor rgb="FFFFC7CE"/>
                </patternFill>
              </fill>
            </x14:dxf>
          </x14:cfRule>
          <xm:sqref>G32</xm:sqref>
        </x14:conditionalFormatting>
      </x14:conditionalFormatting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dimension ref="A1:J41"/>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10" ht="18">
      <c r="A1" s="180" t="s">
        <v>576</v>
      </c>
      <c r="B1" s="13" t="s">
        <v>164</v>
      </c>
      <c r="C1" s="44" t="str">
        <f>"15/08/17" &amp; " - " &amp; "21/08/17"</f>
        <v>15/08/17 - 21/08/17</v>
      </c>
      <c r="D1" s="44" t="str">
        <f>TEXT(DATEVALUE(RIGHT(C1,8))+1,"dd/mm/yy")&amp; " - "&amp; TEXT(DATEVALUE(RIGHT(C1,8))+7,"dd/mm/yy")</f>
        <v>22/08/17 - 28/08/17</v>
      </c>
      <c r="E1" s="44" t="str">
        <f>TEXT(DATEVALUE(RIGHT(D1,8))+1,"dd/mm/yy")&amp; " - "&amp; TEXT(DATEVALUE(RIGHT(D1,8))+7,"dd/mm/yy")</f>
        <v>29/08/17 - 04/09/17</v>
      </c>
      <c r="F1" s="44" t="str">
        <f>TEXT(DATEVALUE(RIGHT(E1,8))+1,"dd/mm/yy")&amp; " - "&amp; TEXT(DATEVALUE(RIGHT(E1,8))+7,"dd/mm/yy")</f>
        <v>05/09/17 - 11/09/17</v>
      </c>
      <c r="G1" s="12" t="s">
        <v>10</v>
      </c>
      <c r="H1" s="9"/>
    </row>
    <row r="2" spans="1:10" ht="18">
      <c r="A2" s="13" t="s">
        <v>165</v>
      </c>
      <c r="B2" s="10">
        <f>SUM(B4,B13,B19)</f>
        <v>1353.83</v>
      </c>
      <c r="C2" s="296">
        <f>SUM(C5:C17)</f>
        <v>964.7700000000001</v>
      </c>
      <c r="D2" s="296">
        <f>SUM(D5:D17)</f>
        <v>0</v>
      </c>
      <c r="E2" s="296">
        <f>SUM(E5:E17)</f>
        <v>0</v>
      </c>
      <c r="F2" s="296">
        <f>SUM(F5:F17)</f>
        <v>0</v>
      </c>
      <c r="G2" s="10"/>
      <c r="H2" s="9"/>
    </row>
    <row r="3" spans="1:10" ht="18">
      <c r="A3" s="250"/>
      <c r="B3" s="10"/>
      <c r="C3" s="296"/>
      <c r="D3" s="296"/>
      <c r="E3" s="296"/>
      <c r="F3" s="296"/>
      <c r="G3" s="10"/>
      <c r="H3" s="9"/>
    </row>
    <row r="4" spans="1:10" ht="18">
      <c r="A4" s="178" t="s">
        <v>166</v>
      </c>
      <c r="B4" s="183">
        <f>SUM(B5:B9)</f>
        <v>870</v>
      </c>
      <c r="C4" s="296"/>
      <c r="D4" s="296"/>
      <c r="E4" s="296"/>
      <c r="F4" s="296"/>
      <c r="G4" s="184" t="str">
        <f>"Remaining: £" &amp; ROUND(SUM(G5:G9),2)</f>
        <v>Remaining: £200.18</v>
      </c>
      <c r="H4" s="9"/>
    </row>
    <row r="5" spans="1:10" ht="18" outlineLevel="1">
      <c r="A5" s="31" t="s">
        <v>167</v>
      </c>
      <c r="B5" s="17">
        <v>120</v>
      </c>
      <c r="C5" s="10">
        <v>120</v>
      </c>
      <c r="D5" s="10"/>
      <c r="E5" s="10"/>
      <c r="F5" s="10"/>
      <c r="G5" s="10">
        <f t="shared" ref="G5:G9" si="0">IF(B5&lt;&gt;"",B5-C5-D5-E5-F5,"")</f>
        <v>0</v>
      </c>
      <c r="H5" s="12" t="str">
        <f>A5</f>
        <v xml:space="preserve">Car Petrol </v>
      </c>
      <c r="I5">
        <f>IF(G5&lt;0,G5*-1,0)</f>
        <v>0</v>
      </c>
    </row>
    <row r="6" spans="1:10" ht="18" hidden="1" outlineLevel="1">
      <c r="A6" s="31" t="s">
        <v>168</v>
      </c>
      <c r="B6" s="17">
        <v>0</v>
      </c>
      <c r="C6" s="10"/>
      <c r="D6" s="10"/>
      <c r="E6" s="10"/>
      <c r="F6" s="10"/>
      <c r="G6" s="10">
        <f t="shared" si="0"/>
        <v>0</v>
      </c>
      <c r="H6" s="12" t="str">
        <f t="shared" ref="H6" si="1">A6</f>
        <v>Bike petrol</v>
      </c>
      <c r="I6">
        <f t="shared" ref="I6:I9" si="2">IF(G6&lt;0,G6*-1,0)</f>
        <v>0</v>
      </c>
    </row>
    <row r="7" spans="1:10" ht="18" outlineLevel="1">
      <c r="A7" s="31" t="s">
        <v>577</v>
      </c>
      <c r="B7" s="10">
        <v>200</v>
      </c>
      <c r="C7" s="10">
        <f>3.1+100+100</f>
        <v>203.1</v>
      </c>
      <c r="D7" s="10"/>
      <c r="E7" s="10"/>
      <c r="F7" s="10"/>
      <c r="G7" s="10">
        <f t="shared" si="0"/>
        <v>-3.0999999999999943</v>
      </c>
      <c r="H7" s="12" t="str">
        <f>A7</f>
        <v>Food/Bunnies/Toiletries</v>
      </c>
      <c r="I7">
        <f t="shared" si="2"/>
        <v>3.0999999999999943</v>
      </c>
    </row>
    <row r="8" spans="1:10" ht="18" outlineLevel="1">
      <c r="A8" s="31" t="s">
        <v>170</v>
      </c>
      <c r="B8" s="10">
        <v>200</v>
      </c>
      <c r="C8" s="10">
        <f>16.49+1.29+6.99+66.2+27.99+37.99+11+3.5+5.99+23.55+17.99+39.99+7.75</f>
        <v>266.72000000000003</v>
      </c>
      <c r="D8" s="10"/>
      <c r="E8" s="10"/>
      <c r="F8" s="10"/>
      <c r="G8" s="10">
        <f t="shared" si="0"/>
        <v>-66.720000000000027</v>
      </c>
      <c r="H8" s="12" t="str">
        <f>A8</f>
        <v>Gift Fund</v>
      </c>
      <c r="I8">
        <f t="shared" si="2"/>
        <v>66.720000000000027</v>
      </c>
    </row>
    <row r="9" spans="1:10" ht="18" outlineLevel="1">
      <c r="A9" s="31" t="s">
        <v>171</v>
      </c>
      <c r="B9" s="10">
        <v>350</v>
      </c>
      <c r="C9" s="10">
        <v>80</v>
      </c>
      <c r="D9" s="10"/>
      <c r="E9" s="10"/>
      <c r="F9" s="10"/>
      <c r="G9" s="10">
        <f t="shared" si="0"/>
        <v>270</v>
      </c>
      <c r="H9" s="12" t="str">
        <f>A9</f>
        <v>Holiday Fund</v>
      </c>
      <c r="I9">
        <f t="shared" si="2"/>
        <v>0</v>
      </c>
    </row>
    <row r="10" spans="1:10" ht="18" outlineLevel="1">
      <c r="A10" s="31" t="s">
        <v>172</v>
      </c>
      <c r="B10" s="10">
        <f>IF(B33 &lt;&gt; 0,B33-B4-B13-B19-IF(I10&lt;&gt;0,I10,0),0)</f>
        <v>131.11999999999992</v>
      </c>
      <c r="C10" s="10">
        <f>8.86+20+7.25+5+4.1</f>
        <v>45.21</v>
      </c>
      <c r="D10" s="10"/>
      <c r="E10" s="10"/>
      <c r="F10" s="10"/>
      <c r="G10" s="10">
        <f>IF(B10&lt;&gt;"",B10-C10-D10-E10-F10,"")</f>
        <v>85.909999999999911</v>
      </c>
      <c r="H10" s="12" t="s">
        <v>172</v>
      </c>
      <c r="I10" s="11">
        <f>SUM(I5:I9)</f>
        <v>69.820000000000022</v>
      </c>
      <c r="J10" s="11"/>
    </row>
    <row r="11" spans="1:10" ht="18" outlineLevel="1">
      <c r="A11" s="185"/>
      <c r="B11" s="10"/>
      <c r="C11" s="10"/>
      <c r="D11" s="10"/>
      <c r="E11" s="10"/>
      <c r="F11" s="10"/>
      <c r="G11" s="10"/>
      <c r="H11" s="9"/>
    </row>
    <row r="12" spans="1:10" ht="18">
      <c r="A12" s="185"/>
      <c r="B12" s="10"/>
      <c r="C12" s="10"/>
      <c r="D12" s="10"/>
      <c r="E12" s="10"/>
      <c r="F12" s="10"/>
      <c r="G12" s="10"/>
      <c r="H12" s="9"/>
      <c r="J12" s="11"/>
    </row>
    <row r="13" spans="1:10" ht="18">
      <c r="A13" s="177" t="s">
        <v>422</v>
      </c>
      <c r="B13" s="183">
        <f>SUM(B14:B17)</f>
        <v>303.83000000000004</v>
      </c>
      <c r="C13" s="10"/>
      <c r="D13" s="10"/>
      <c r="E13" s="10"/>
      <c r="F13" s="10"/>
      <c r="G13" s="184" t="str">
        <f>"Remaining: £" &amp; ROUND(SUM(G14:G17),2)</f>
        <v>Remaining: £54.09</v>
      </c>
      <c r="H13" s="9"/>
    </row>
    <row r="14" spans="1:10" ht="15" customHeight="1" outlineLevel="1">
      <c r="A14" s="31" t="s">
        <v>183</v>
      </c>
      <c r="B14" s="211">
        <f>600-360.25</f>
        <v>239.75</v>
      </c>
      <c r="C14" s="211">
        <v>239.75</v>
      </c>
      <c r="D14" s="211"/>
      <c r="E14" s="211"/>
      <c r="F14" s="211"/>
      <c r="G14" s="10">
        <f t="shared" ref="G14:G17" si="3">IF(B14&lt;&gt;"",B14-C14-D14-E14-F14,"")</f>
        <v>0</v>
      </c>
      <c r="H14" s="12" t="str">
        <f t="shared" ref="H14:H17" si="4">A14</f>
        <v>Savings</v>
      </c>
    </row>
    <row r="15" spans="1:10" ht="18" outlineLevel="1">
      <c r="A15" s="31" t="s">
        <v>580</v>
      </c>
      <c r="B15" s="211">
        <v>46.1</v>
      </c>
      <c r="C15" s="211"/>
      <c r="D15" s="211"/>
      <c r="E15" s="211"/>
      <c r="F15" s="211"/>
      <c r="G15" s="10">
        <f t="shared" si="3"/>
        <v>46.1</v>
      </c>
      <c r="H15" s="12" t="str">
        <f t="shared" si="4"/>
        <v>Phone  (21st)</v>
      </c>
    </row>
    <row r="16" spans="1:10" ht="18" outlineLevel="1">
      <c r="A16" s="31" t="s">
        <v>581</v>
      </c>
      <c r="B16" s="211">
        <v>9.99</v>
      </c>
      <c r="C16" s="211">
        <v>9.99</v>
      </c>
      <c r="D16" s="211"/>
      <c r="E16" s="211"/>
      <c r="F16" s="211"/>
      <c r="G16" s="10">
        <f t="shared" si="3"/>
        <v>0</v>
      </c>
      <c r="H16" s="12" t="str">
        <f t="shared" si="4"/>
        <v>Sky Movies (18th)</v>
      </c>
    </row>
    <row r="17" spans="1:8" ht="18" outlineLevel="1">
      <c r="A17" s="31" t="s">
        <v>582</v>
      </c>
      <c r="B17" s="211">
        <v>7.99</v>
      </c>
      <c r="C17" s="211"/>
      <c r="D17" s="211"/>
      <c r="E17" s="211"/>
      <c r="F17" s="211"/>
      <c r="G17" s="10">
        <f t="shared" si="3"/>
        <v>7.99</v>
      </c>
      <c r="H17" s="12" t="str">
        <f t="shared" si="4"/>
        <v>Onedrive (6th)</v>
      </c>
    </row>
    <row r="18" spans="1:8" ht="18">
      <c r="A18" s="185"/>
      <c r="B18" s="10"/>
      <c r="C18" s="10"/>
      <c r="D18" s="10"/>
      <c r="E18" s="10"/>
      <c r="F18" s="10"/>
      <c r="G18" s="10"/>
      <c r="H18" s="9"/>
    </row>
    <row r="19" spans="1:8" ht="18">
      <c r="A19" s="177" t="s">
        <v>424</v>
      </c>
      <c r="B19" s="183">
        <v>180</v>
      </c>
      <c r="C19" s="10"/>
      <c r="D19" s="10"/>
      <c r="E19" s="10"/>
      <c r="F19" s="10"/>
      <c r="G19" s="184" t="str">
        <f>"Remaining: £" &amp; ROUND(SUM(G20:G22),0)</f>
        <v>Remaining: £0</v>
      </c>
      <c r="H19" s="9"/>
    </row>
    <row r="20" spans="1:8" ht="18" outlineLevel="1">
      <c r="A20" s="31" t="s">
        <v>182</v>
      </c>
      <c r="B20" s="10">
        <v>0</v>
      </c>
      <c r="C20" s="10"/>
      <c r="D20" s="10"/>
      <c r="E20" s="10"/>
      <c r="F20" s="10"/>
      <c r="G20" s="10">
        <f>IF(B20&lt;&gt;"",B20-C20-D20-E20-F20,"")</f>
        <v>0</v>
      </c>
      <c r="H20" s="12" t="str">
        <f>A20</f>
        <v>Amazon Prime</v>
      </c>
    </row>
    <row r="21" spans="1:8" ht="18" outlineLevel="1">
      <c r="A21" s="31" t="s">
        <v>417</v>
      </c>
      <c r="B21" s="10">
        <v>0</v>
      </c>
      <c r="C21" s="10"/>
      <c r="D21" s="10"/>
      <c r="E21" s="10"/>
      <c r="F21" s="10"/>
      <c r="G21" s="10">
        <f t="shared" ref="G21:G25" si="5">IF(B21&lt;&gt;"",B21-C21-D21-E21-F21,"")</f>
        <v>0</v>
      </c>
      <c r="H21" s="12" t="str">
        <f t="shared" ref="H21:H25" si="6">A21</f>
        <v>Travel Ins.</v>
      </c>
    </row>
    <row r="22" spans="1:8" ht="18" outlineLevel="1">
      <c r="A22" s="31" t="s">
        <v>569</v>
      </c>
      <c r="B22" s="10">
        <v>180</v>
      </c>
      <c r="C22" s="10">
        <v>180</v>
      </c>
      <c r="D22" s="10"/>
      <c r="E22" s="10"/>
      <c r="F22" s="10"/>
      <c r="G22" s="10">
        <f t="shared" si="5"/>
        <v>0</v>
      </c>
      <c r="H22" s="12" t="str">
        <f t="shared" si="6"/>
        <v>Vehicles</v>
      </c>
    </row>
    <row r="23" spans="1:8" ht="19.5" hidden="1" customHeight="1" outlineLevel="2">
      <c r="A23" s="31" t="s">
        <v>570</v>
      </c>
      <c r="B23" s="10">
        <f>1500/12</f>
        <v>125</v>
      </c>
      <c r="C23" s="10"/>
      <c r="D23" s="10"/>
      <c r="E23" s="10"/>
      <c r="F23" s="10"/>
      <c r="G23" s="10">
        <f t="shared" si="5"/>
        <v>125</v>
      </c>
      <c r="H23" s="12" t="str">
        <f t="shared" si="6"/>
        <v>Car Ins. / tax</v>
      </c>
    </row>
    <row r="24" spans="1:8" ht="19.5" hidden="1" customHeight="1" outlineLevel="2">
      <c r="A24" s="31" t="s">
        <v>571</v>
      </c>
      <c r="B24" s="10">
        <f>335/12</f>
        <v>27.916666666666668</v>
      </c>
      <c r="C24" s="10"/>
      <c r="D24" s="10"/>
      <c r="E24" s="10"/>
      <c r="F24" s="10"/>
      <c r="G24" s="10"/>
      <c r="H24" s="12"/>
    </row>
    <row r="25" spans="1:8" ht="19.5" hidden="1" customHeight="1" outlineLevel="2">
      <c r="A25" s="31" t="s">
        <v>572</v>
      </c>
      <c r="B25" s="10">
        <f>300/12</f>
        <v>25</v>
      </c>
      <c r="C25" s="10"/>
      <c r="D25" s="10"/>
      <c r="E25" s="10"/>
      <c r="F25" s="10"/>
      <c r="G25" s="10">
        <f t="shared" si="5"/>
        <v>25</v>
      </c>
      <c r="H25" s="12" t="str">
        <f t="shared" si="6"/>
        <v>Bike Ins. / tax</v>
      </c>
    </row>
    <row r="26" spans="1:8" ht="19.5" hidden="1" customHeight="1" outlineLevel="2">
      <c r="A26" s="31" t="s">
        <v>573</v>
      </c>
      <c r="B26" s="10">
        <f>100/12</f>
        <v>8.3333333333333339</v>
      </c>
      <c r="C26" s="10"/>
      <c r="D26" s="10"/>
      <c r="E26" s="10"/>
      <c r="F26" s="10"/>
      <c r="G26" s="10"/>
      <c r="H26" s="12"/>
    </row>
    <row r="27" spans="1:8" ht="18" outlineLevel="1" collapsed="1">
      <c r="A27" s="208"/>
      <c r="B27" s="10"/>
      <c r="C27" s="10"/>
      <c r="D27" s="10"/>
      <c r="E27" s="10"/>
      <c r="F27" s="10"/>
      <c r="G27" s="210"/>
      <c r="H27" s="48"/>
    </row>
    <row r="28" spans="1:8" ht="18">
      <c r="A28" s="208"/>
      <c r="B28" s="10"/>
      <c r="C28" s="10"/>
      <c r="D28" s="10"/>
      <c r="E28" s="10"/>
      <c r="F28" s="10"/>
      <c r="G28" s="210"/>
      <c r="H28" s="48"/>
    </row>
    <row r="29" spans="1:8" ht="18">
      <c r="A29" s="177" t="s">
        <v>183</v>
      </c>
      <c r="B29" s="183" t="str">
        <f>"£"&amp; B30 &amp; " / " &amp; "£" &amp;B31</f>
        <v>£0 / £0</v>
      </c>
      <c r="C29" s="10"/>
      <c r="D29" s="10"/>
      <c r="E29" s="10"/>
      <c r="F29" s="10"/>
      <c r="G29" s="10"/>
      <c r="H29" s="9"/>
    </row>
    <row r="30" spans="1:8" ht="18" outlineLevel="1">
      <c r="A30" s="31" t="s">
        <v>184</v>
      </c>
      <c r="B30" s="10">
        <f>SUM(C30:F30)</f>
        <v>0</v>
      </c>
      <c r="C30" s="10"/>
      <c r="D30" s="10"/>
      <c r="E30" s="10"/>
      <c r="F30" s="10"/>
      <c r="G30" s="10"/>
      <c r="H30" s="9"/>
    </row>
    <row r="31" spans="1:8" ht="18" outlineLevel="1">
      <c r="A31" s="31" t="s">
        <v>185</v>
      </c>
      <c r="B31" s="10">
        <f>SUM(C31:F31)</f>
        <v>0</v>
      </c>
      <c r="C31" s="10"/>
      <c r="D31" s="10"/>
      <c r="E31" s="10"/>
      <c r="F31" s="10"/>
      <c r="G31" s="10"/>
      <c r="H31" s="9"/>
    </row>
    <row r="32" spans="1:8" ht="18">
      <c r="A32" s="185"/>
      <c r="B32" s="10"/>
      <c r="C32" s="10"/>
      <c r="D32" s="10"/>
      <c r="E32" s="10"/>
      <c r="F32" s="10"/>
      <c r="G32" s="10"/>
      <c r="H32" s="9"/>
    </row>
    <row r="33" spans="1:8" ht="18">
      <c r="A33" s="179" t="s">
        <v>186</v>
      </c>
      <c r="B33" s="296">
        <f>SUM(C33:F33)+B31-B30</f>
        <v>1554.77</v>
      </c>
      <c r="C33" s="26">
        <f>1344.77+100+110</f>
        <v>1554.77</v>
      </c>
      <c r="D33" s="26"/>
      <c r="E33" s="27"/>
      <c r="F33" s="36"/>
      <c r="G33" s="46" t="str">
        <f>ROUND(SUM(G5:G10)+SUM(G14:G17)+SUM(G20:G22),2) &amp; " / " &amp; B33</f>
        <v>340.18 / 1554.77</v>
      </c>
      <c r="H33" s="10"/>
    </row>
    <row r="34" spans="1:8" ht="18">
      <c r="A34" s="24"/>
      <c r="B34" s="10"/>
      <c r="C34" s="49"/>
      <c r="D34" s="26"/>
      <c r="E34" s="23"/>
      <c r="F34" s="25"/>
      <c r="G34" s="79" t="str">
        <f>IF(ROUND(SUM(G5:G17),2)&gt;0,IF(ROUND(SUM(G5:G17),2)&lt;ROUND(SUMIF(G5:G17,"&gt;0"),2),"NOT ENOUGH MONEY",""),"NO MONEY")</f>
        <v>NOT ENOUGH MONEY</v>
      </c>
      <c r="H34" s="11"/>
    </row>
    <row r="35" spans="1:8" ht="18">
      <c r="A35" s="17" t="s">
        <v>187</v>
      </c>
      <c r="B35" s="17" t="str">
        <f ca="1">IF(MONTH(TODAY()) = 11, IF(MONTH(DATEVALUE(RIGHT(A1,3)&amp;" 1"))=11, "Bike insurance due",""),"")</f>
        <v/>
      </c>
      <c r="C35" s="59"/>
      <c r="D35" s="16"/>
      <c r="E35" s="16"/>
      <c r="F35" s="16"/>
    </row>
    <row r="36" spans="1:8" ht="18">
      <c r="A36" s="17"/>
      <c r="B36" s="17" t="str">
        <f ca="1">IF(MONTH(TODAY()) = 6, IF(MONTH(DATEVALUE(RIGHT(A1,3)&amp;" 1"))=6, "Car insurance due",""),"")</f>
        <v/>
      </c>
      <c r="C36" s="20"/>
      <c r="D36" s="39"/>
      <c r="E36" s="16"/>
      <c r="F36" s="18"/>
    </row>
    <row r="37" spans="1:8" ht="18">
      <c r="A37" s="17"/>
      <c r="B37" s="17" t="str">
        <f ca="1">IF(MONTH(TODAY()) = 5, IF(MONTH(DATEVALUE(RIGHT(A1,3)&amp;" 1"))=5, "Travel insurance due",""),"")</f>
        <v/>
      </c>
      <c r="C37" s="39"/>
      <c r="D37" s="39"/>
      <c r="E37" s="43"/>
      <c r="F37" s="20"/>
      <c r="G37" s="11"/>
      <c r="H37" s="11"/>
    </row>
    <row r="38" spans="1:8" ht="18">
      <c r="A38" s="20"/>
      <c r="B38" s="17" t="str">
        <f ca="1">IF(MONTH(TODAY()) = 6, IF(MONTH(DATEVALUE(RIGHT(A1,3)&amp;" 1"))=6, "Amazon Prime",""),"")</f>
        <v/>
      </c>
      <c r="D38" s="42"/>
      <c r="G38" s="11"/>
    </row>
    <row r="39" spans="1:8">
      <c r="B39" t="str">
        <f ca="1">IF(MONTH(TODAY()) = 6, IF(MONTH(DATEVALUE(RIGHT(A1,3)&amp;" 1"))=6, "Car vehicle tax",""),"")</f>
        <v/>
      </c>
      <c r="G39" s="11"/>
    </row>
    <row r="40" spans="1:8" ht="18">
      <c r="B40" s="10"/>
      <c r="G40" s="11"/>
    </row>
    <row r="41" spans="1:8">
      <c r="G41" s="11"/>
    </row>
  </sheetData>
  <dataConsolidate/>
  <conditionalFormatting sqref="G5:G10">
    <cfRule type="cellIs" dxfId="272" priority="8" operator="lessThan">
      <formula>0</formula>
    </cfRule>
    <cfRule type="cellIs" dxfId="271" priority="9" operator="equal">
      <formula>0</formula>
    </cfRule>
    <cfRule type="cellIs" dxfId="270" priority="10" operator="greaterThan">
      <formula>0</formula>
    </cfRule>
  </conditionalFormatting>
  <conditionalFormatting sqref="G14:G17">
    <cfRule type="cellIs" dxfId="269" priority="11" operator="equal">
      <formula>0</formula>
    </cfRule>
    <cfRule type="cellIs" dxfId="268" priority="12" operator="lessThan">
      <formula>0</formula>
    </cfRule>
    <cfRule type="cellIs" dxfId="267" priority="13" operator="greaterThan">
      <formula>0</formula>
    </cfRule>
  </conditionalFormatting>
  <conditionalFormatting sqref="G20:G28">
    <cfRule type="cellIs" dxfId="266" priority="1" operator="equal">
      <formula>0</formula>
    </cfRule>
    <cfRule type="cellIs" dxfId="265" priority="2" operator="lessThan">
      <formula>0</formula>
    </cfRule>
    <cfRule type="cellIs" dxfId="264" priority="3"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7" operator="containsText" id="{A814E00C-6DA7-8A4E-A154-28738D4B54B7}">
            <xm:f>NOT(ISERROR(SEARCH("-",G33)))</xm:f>
            <xm:f>"-"</xm:f>
            <x14:dxf>
              <font>
                <color rgb="FF9C0006"/>
              </font>
              <fill>
                <patternFill>
                  <bgColor rgb="FFFFC7CE"/>
                </patternFill>
              </fill>
            </x14:dxf>
          </x14:cfRule>
          <xm:sqref>G33</xm:sqref>
        </x14:conditionalFormatting>
      </x14:conditionalFormatting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dimension ref="A1:J43"/>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10" ht="18">
      <c r="A1" s="180" t="s">
        <v>576</v>
      </c>
      <c r="B1" s="13" t="s">
        <v>164</v>
      </c>
      <c r="C1" s="44" t="str">
        <f>"15/08/17" &amp; " - " &amp; "21/08/17"</f>
        <v>15/08/17 - 21/08/17</v>
      </c>
      <c r="D1" s="44" t="str">
        <f>TEXT(DATEVALUE(RIGHT(C1,8))+1,"dd/mm/yy")&amp; " - "&amp; TEXT(DATEVALUE(RIGHT(C1,8))+7,"dd/mm/yy")</f>
        <v>22/08/17 - 28/08/17</v>
      </c>
      <c r="E1" s="44" t="str">
        <f>TEXT(DATEVALUE(RIGHT(D1,8))+1,"dd/mm/yy")&amp; " - "&amp; TEXT(DATEVALUE(RIGHT(D1,8))+7,"dd/mm/yy")</f>
        <v>29/08/17 - 04/09/17</v>
      </c>
      <c r="F1" s="44" t="str">
        <f>TEXT(DATEVALUE(RIGHT(E1,8))+1,"dd/mm/yy")&amp; " - "&amp; TEXT(DATEVALUE(RIGHT(E1,8))+7,"dd/mm/yy")</f>
        <v>05/09/17 - 11/09/17</v>
      </c>
      <c r="G1" s="12" t="s">
        <v>10</v>
      </c>
      <c r="H1" s="9"/>
    </row>
    <row r="2" spans="1:10" ht="18">
      <c r="A2" s="13" t="s">
        <v>165</v>
      </c>
      <c r="B2" s="10">
        <f>SUM(B4,B13,B20)</f>
        <v>1429.27</v>
      </c>
      <c r="C2" s="296">
        <f>SUM(C5:C17)</f>
        <v>1797.4399999999998</v>
      </c>
      <c r="D2" s="296">
        <f>SUM(D5:D17)</f>
        <v>0</v>
      </c>
      <c r="E2" s="296">
        <f>SUM(E5:E17)</f>
        <v>0</v>
      </c>
      <c r="F2" s="296">
        <f>SUM(F5:F17)</f>
        <v>0</v>
      </c>
      <c r="G2" s="10"/>
      <c r="H2" s="9"/>
    </row>
    <row r="3" spans="1:10" ht="18">
      <c r="A3" s="250"/>
      <c r="B3" s="10"/>
      <c r="C3" s="296"/>
      <c r="D3" s="296"/>
      <c r="E3" s="296"/>
      <c r="F3" s="296"/>
      <c r="G3" s="10"/>
      <c r="H3" s="9"/>
    </row>
    <row r="4" spans="1:10" ht="18">
      <c r="A4" s="178" t="s">
        <v>166</v>
      </c>
      <c r="B4" s="183">
        <f>SUM(B5:B9)</f>
        <v>420</v>
      </c>
      <c r="C4" s="296"/>
      <c r="D4" s="296"/>
      <c r="E4" s="296"/>
      <c r="F4" s="296"/>
      <c r="G4" s="184" t="str">
        <f>"Remaining: £" &amp; ROUND(SUM(G5:G9),2)</f>
        <v>Remaining: £100</v>
      </c>
      <c r="H4" s="9"/>
    </row>
    <row r="5" spans="1:10" ht="18" outlineLevel="1">
      <c r="A5" s="31" t="s">
        <v>167</v>
      </c>
      <c r="B5" s="17">
        <v>120</v>
      </c>
      <c r="C5" s="10">
        <v>120</v>
      </c>
      <c r="D5" s="10"/>
      <c r="E5" s="10"/>
      <c r="F5" s="10"/>
      <c r="G5" s="10">
        <f t="shared" ref="G5:G9" si="0">IF(B5&lt;&gt;"",B5-C5-D5-E5-F5,"")</f>
        <v>0</v>
      </c>
      <c r="H5" s="12" t="str">
        <f>A5</f>
        <v xml:space="preserve">Car Petrol </v>
      </c>
      <c r="I5">
        <f>IF(G5&lt;0,G5*-1,0)</f>
        <v>0</v>
      </c>
    </row>
    <row r="6" spans="1:10" ht="18" hidden="1" outlineLevel="1">
      <c r="A6" s="31" t="s">
        <v>168</v>
      </c>
      <c r="B6" s="17">
        <v>0</v>
      </c>
      <c r="C6" s="10"/>
      <c r="D6" s="10"/>
      <c r="E6" s="10"/>
      <c r="F6" s="10"/>
      <c r="G6" s="10">
        <f t="shared" si="0"/>
        <v>0</v>
      </c>
      <c r="H6" s="12" t="str">
        <f t="shared" ref="H6" si="1">A6</f>
        <v>Bike petrol</v>
      </c>
      <c r="I6">
        <f t="shared" ref="I6:I9" si="2">IF(G6&lt;0,G6*-1,0)</f>
        <v>0</v>
      </c>
    </row>
    <row r="7" spans="1:10" ht="18" outlineLevel="1">
      <c r="A7" s="31" t="s">
        <v>577</v>
      </c>
      <c r="B7" s="10">
        <v>200</v>
      </c>
      <c r="C7" s="10">
        <v>200</v>
      </c>
      <c r="D7" s="10"/>
      <c r="E7" s="10"/>
      <c r="F7" s="10"/>
      <c r="G7" s="10">
        <f t="shared" si="0"/>
        <v>0</v>
      </c>
      <c r="H7" s="12" t="str">
        <f>A7</f>
        <v>Food/Bunnies/Toiletries</v>
      </c>
      <c r="I7">
        <f t="shared" si="2"/>
        <v>0</v>
      </c>
    </row>
    <row r="8" spans="1:10" ht="18" outlineLevel="1">
      <c r="A8" s="31" t="s">
        <v>170</v>
      </c>
      <c r="B8" s="10">
        <v>100</v>
      </c>
      <c r="C8" s="10"/>
      <c r="D8" s="10"/>
      <c r="E8" s="10"/>
      <c r="F8" s="10"/>
      <c r="G8" s="10">
        <f t="shared" si="0"/>
        <v>100</v>
      </c>
      <c r="H8" s="12" t="str">
        <f>A8</f>
        <v>Gift Fund</v>
      </c>
      <c r="I8">
        <f t="shared" si="2"/>
        <v>0</v>
      </c>
    </row>
    <row r="9" spans="1:10" ht="18" outlineLevel="1">
      <c r="A9" s="31" t="s">
        <v>171</v>
      </c>
      <c r="B9" s="10">
        <v>0</v>
      </c>
      <c r="C9" s="10"/>
      <c r="D9" s="10"/>
      <c r="E9" s="10"/>
      <c r="F9" s="10"/>
      <c r="G9" s="10">
        <f t="shared" si="0"/>
        <v>0</v>
      </c>
      <c r="H9" s="12" t="str">
        <f>A9</f>
        <v>Holiday Fund</v>
      </c>
      <c r="I9">
        <f t="shared" si="2"/>
        <v>0</v>
      </c>
    </row>
    <row r="10" spans="1:10" ht="18" outlineLevel="1">
      <c r="A10" s="31" t="s">
        <v>172</v>
      </c>
      <c r="B10" s="10">
        <f>IF(B34 &lt;&gt; 0,B34-B4-B13-B20,0)</f>
        <v>538.3399999999998</v>
      </c>
      <c r="C10" s="10">
        <f>4.14+485.11+2.1</f>
        <v>491.35</v>
      </c>
      <c r="D10" s="10"/>
      <c r="E10" s="10"/>
      <c r="F10" s="10"/>
      <c r="G10" s="10">
        <f>IF(B10&lt;&gt;"",B10-C10-D10-E10-F10,"")</f>
        <v>46.989999999999782</v>
      </c>
      <c r="H10" s="12" t="s">
        <v>172</v>
      </c>
      <c r="I10" s="11"/>
      <c r="J10" s="11">
        <f>SUM(G8,G10)</f>
        <v>146.98999999999978</v>
      </c>
    </row>
    <row r="11" spans="1:10" ht="18" outlineLevel="1">
      <c r="A11" s="185"/>
      <c r="B11" s="10"/>
      <c r="C11" s="10"/>
      <c r="D11" s="10"/>
      <c r="E11" s="10"/>
      <c r="F11" s="10"/>
      <c r="G11" s="10"/>
      <c r="H11" s="9"/>
    </row>
    <row r="12" spans="1:10" ht="18">
      <c r="A12" s="185"/>
      <c r="B12" s="10"/>
      <c r="C12" s="10"/>
      <c r="D12" s="10"/>
      <c r="E12" s="10"/>
      <c r="F12" s="10"/>
      <c r="G12" s="10"/>
      <c r="H12" s="9"/>
      <c r="J12" s="11"/>
    </row>
    <row r="13" spans="1:10" ht="18">
      <c r="A13" s="177" t="s">
        <v>422</v>
      </c>
      <c r="B13" s="183">
        <f>SUM(B14:B18)</f>
        <v>1009.2700000000001</v>
      </c>
      <c r="C13" s="10"/>
      <c r="D13" s="10"/>
      <c r="E13" s="10"/>
      <c r="F13" s="10"/>
      <c r="G13" s="184" t="str">
        <f>"Remaining: £" &amp; ROUND(SUM(G14:G17),2)</f>
        <v>Remaining: £7.99</v>
      </c>
      <c r="H13" s="9"/>
    </row>
    <row r="14" spans="1:10" ht="18">
      <c r="A14" s="31" t="s">
        <v>183</v>
      </c>
      <c r="B14" s="183">
        <v>930</v>
      </c>
      <c r="C14" s="10">
        <v>930</v>
      </c>
      <c r="D14" s="10"/>
      <c r="E14" s="10"/>
      <c r="F14" s="10"/>
      <c r="G14" s="10">
        <f t="shared" ref="G14" si="3">IF(B14&lt;&gt;"",B14-C14-D14-E14-F14,"")</f>
        <v>0</v>
      </c>
      <c r="H14" s="12" t="str">
        <f t="shared" ref="H14" si="4">A14</f>
        <v>Savings</v>
      </c>
    </row>
    <row r="15" spans="1:10" ht="18" outlineLevel="1">
      <c r="A15" s="31" t="s">
        <v>580</v>
      </c>
      <c r="B15" s="211">
        <v>46.1</v>
      </c>
      <c r="C15" s="211">
        <v>46.1</v>
      </c>
      <c r="D15" s="211"/>
      <c r="E15" s="211"/>
      <c r="F15" s="211"/>
      <c r="G15" s="10">
        <f t="shared" ref="G15:G18" si="5">IF(B15&lt;&gt;"",B15-C15-D15-E15-F15,"")</f>
        <v>0</v>
      </c>
      <c r="H15" s="12" t="str">
        <f t="shared" ref="H15:H17" si="6">A15</f>
        <v>Phone  (21st)</v>
      </c>
    </row>
    <row r="16" spans="1:10" ht="18" outlineLevel="1">
      <c r="A16" s="31" t="s">
        <v>581</v>
      </c>
      <c r="B16" s="211">
        <v>9.99</v>
      </c>
      <c r="C16" s="211">
        <v>9.99</v>
      </c>
      <c r="D16" s="211"/>
      <c r="E16" s="211"/>
      <c r="F16" s="211"/>
      <c r="G16" s="10">
        <f t="shared" si="5"/>
        <v>0</v>
      </c>
      <c r="H16" s="12" t="str">
        <f t="shared" si="6"/>
        <v>Sky Movies (18th)</v>
      </c>
    </row>
    <row r="17" spans="1:8" ht="18" outlineLevel="1">
      <c r="A17" s="31" t="s">
        <v>582</v>
      </c>
      <c r="B17" s="211">
        <v>7.99</v>
      </c>
      <c r="C17" s="211"/>
      <c r="D17" s="211"/>
      <c r="E17" s="211"/>
      <c r="F17" s="211"/>
      <c r="G17" s="10">
        <f t="shared" si="5"/>
        <v>7.99</v>
      </c>
      <c r="H17" s="12" t="str">
        <f t="shared" si="6"/>
        <v>Onedrive (6th)</v>
      </c>
    </row>
    <row r="18" spans="1:8" ht="18" outlineLevel="1">
      <c r="A18" s="31" t="s">
        <v>584</v>
      </c>
      <c r="B18" s="211">
        <v>15.19</v>
      </c>
      <c r="C18" s="211">
        <v>15.19</v>
      </c>
      <c r="D18" s="211"/>
      <c r="E18" s="211"/>
      <c r="F18" s="211"/>
      <c r="G18" s="10">
        <f t="shared" si="5"/>
        <v>0</v>
      </c>
      <c r="H18" s="12" t="str">
        <f>A18</f>
        <v>Gym (22nd)</v>
      </c>
    </row>
    <row r="19" spans="1:8" ht="18">
      <c r="A19" s="185"/>
      <c r="B19" s="10"/>
      <c r="C19" s="10"/>
      <c r="D19" s="10"/>
      <c r="E19" s="10"/>
      <c r="F19" s="10"/>
      <c r="G19" s="10"/>
      <c r="H19" s="9"/>
    </row>
    <row r="20" spans="1:8" ht="18">
      <c r="A20" s="177" t="s">
        <v>424</v>
      </c>
      <c r="B20" s="183">
        <v>0</v>
      </c>
      <c r="C20" s="10"/>
      <c r="D20" s="10"/>
      <c r="E20" s="10"/>
      <c r="F20" s="10"/>
      <c r="G20" s="184" t="str">
        <f>"Remaining: £" &amp; ROUND(SUM(G21:G23),0)</f>
        <v>Remaining: £0</v>
      </c>
      <c r="H20" s="9"/>
    </row>
    <row r="21" spans="1:8" ht="18" outlineLevel="1">
      <c r="A21" s="31" t="s">
        <v>182</v>
      </c>
      <c r="B21" s="10">
        <v>0</v>
      </c>
      <c r="C21" s="10"/>
      <c r="D21" s="10"/>
      <c r="E21" s="10"/>
      <c r="F21" s="10"/>
      <c r="G21" s="10">
        <f>IF(B21&lt;&gt;"",B21-C21-D21-E21-F21,"")</f>
        <v>0</v>
      </c>
      <c r="H21" s="12" t="str">
        <f>A21</f>
        <v>Amazon Prime</v>
      </c>
    </row>
    <row r="22" spans="1:8" ht="18" outlineLevel="1">
      <c r="A22" s="31" t="s">
        <v>417</v>
      </c>
      <c r="B22" s="10">
        <v>0</v>
      </c>
      <c r="C22" s="10"/>
      <c r="D22" s="10"/>
      <c r="E22" s="10"/>
      <c r="F22" s="10"/>
      <c r="G22" s="10">
        <f t="shared" ref="G22:G26" si="7">IF(B22&lt;&gt;"",B22-C22-D22-E22-F22,"")</f>
        <v>0</v>
      </c>
      <c r="H22" s="12" t="str">
        <f t="shared" ref="H22:H26" si="8">A22</f>
        <v>Travel Ins.</v>
      </c>
    </row>
    <row r="23" spans="1:8" ht="18" outlineLevel="1">
      <c r="A23" s="31" t="s">
        <v>569</v>
      </c>
      <c r="B23" s="10">
        <v>0</v>
      </c>
      <c r="C23" s="10"/>
      <c r="D23" s="10"/>
      <c r="E23" s="10"/>
      <c r="F23" s="10"/>
      <c r="G23" s="10">
        <f t="shared" si="7"/>
        <v>0</v>
      </c>
      <c r="H23" s="12" t="str">
        <f t="shared" si="8"/>
        <v>Vehicles</v>
      </c>
    </row>
    <row r="24" spans="1:8" ht="19.5" hidden="1" customHeight="1" outlineLevel="2">
      <c r="A24" s="31" t="s">
        <v>570</v>
      </c>
      <c r="B24" s="10">
        <f>1500/12</f>
        <v>125</v>
      </c>
      <c r="C24" s="10"/>
      <c r="D24" s="10"/>
      <c r="E24" s="10"/>
      <c r="F24" s="10"/>
      <c r="G24" s="10">
        <f t="shared" si="7"/>
        <v>125</v>
      </c>
      <c r="H24" s="12" t="str">
        <f t="shared" si="8"/>
        <v>Car Ins. / tax</v>
      </c>
    </row>
    <row r="25" spans="1:8" ht="19.5" hidden="1" customHeight="1" outlineLevel="2">
      <c r="A25" s="31" t="s">
        <v>571</v>
      </c>
      <c r="B25" s="10">
        <f>335/12</f>
        <v>27.916666666666668</v>
      </c>
      <c r="C25" s="10"/>
      <c r="D25" s="10"/>
      <c r="E25" s="10"/>
      <c r="F25" s="10"/>
      <c r="G25" s="10"/>
      <c r="H25" s="12"/>
    </row>
    <row r="26" spans="1:8" ht="19.5" hidden="1" customHeight="1" outlineLevel="2">
      <c r="A26" s="31" t="s">
        <v>572</v>
      </c>
      <c r="B26" s="10">
        <f>300/12</f>
        <v>25</v>
      </c>
      <c r="C26" s="10"/>
      <c r="D26" s="10"/>
      <c r="E26" s="10"/>
      <c r="F26" s="10"/>
      <c r="G26" s="10">
        <f t="shared" si="7"/>
        <v>25</v>
      </c>
      <c r="H26" s="12" t="str">
        <f t="shared" si="8"/>
        <v>Bike Ins. / tax</v>
      </c>
    </row>
    <row r="27" spans="1:8" ht="19.5" hidden="1" customHeight="1" outlineLevel="2">
      <c r="A27" s="31" t="s">
        <v>573</v>
      </c>
      <c r="B27" s="10">
        <f>100/12</f>
        <v>8.3333333333333339</v>
      </c>
      <c r="C27" s="10"/>
      <c r="D27" s="10"/>
      <c r="E27" s="10"/>
      <c r="F27" s="10"/>
      <c r="G27" s="10"/>
      <c r="H27" s="12"/>
    </row>
    <row r="28" spans="1:8" ht="18" outlineLevel="1" collapsed="1">
      <c r="A28" s="208"/>
      <c r="B28" s="10"/>
      <c r="C28" s="10"/>
      <c r="D28" s="10"/>
      <c r="E28" s="10"/>
      <c r="F28" s="10"/>
      <c r="G28" s="210"/>
      <c r="H28" s="48"/>
    </row>
    <row r="29" spans="1:8" ht="18">
      <c r="A29" s="208"/>
      <c r="B29" s="10"/>
      <c r="C29" s="10"/>
      <c r="D29" s="10"/>
      <c r="E29" s="10"/>
      <c r="F29" s="10"/>
      <c r="G29" s="210"/>
      <c r="H29" s="48"/>
    </row>
    <row r="30" spans="1:8" ht="18">
      <c r="A30" s="177" t="s">
        <v>183</v>
      </c>
      <c r="B30" s="183" t="str">
        <f>"£"&amp; B31 &amp; " / " &amp; "£" &amp;B32</f>
        <v>£0 / £392.84</v>
      </c>
      <c r="C30" s="10"/>
      <c r="D30" s="10"/>
      <c r="E30" s="10"/>
      <c r="F30" s="10"/>
      <c r="G30" s="10"/>
      <c r="H30" s="9"/>
    </row>
    <row r="31" spans="1:8" ht="18" outlineLevel="1">
      <c r="A31" s="31" t="s">
        <v>184</v>
      </c>
      <c r="B31" s="10">
        <f>SUM(C31:F31)</f>
        <v>0</v>
      </c>
      <c r="C31" s="10"/>
      <c r="D31" s="10"/>
      <c r="E31" s="10"/>
      <c r="F31" s="10"/>
      <c r="G31" s="10"/>
      <c r="H31" s="9"/>
    </row>
    <row r="32" spans="1:8" ht="18" outlineLevel="1">
      <c r="A32" s="31" t="s">
        <v>185</v>
      </c>
      <c r="B32" s="10">
        <f>SUM(C32:F32)</f>
        <v>392.84</v>
      </c>
      <c r="C32" s="10">
        <f>121.76+250+21.08</f>
        <v>392.84</v>
      </c>
      <c r="D32" s="10"/>
      <c r="E32" s="10"/>
      <c r="F32" s="10"/>
      <c r="G32" s="10"/>
      <c r="H32" s="9"/>
    </row>
    <row r="33" spans="1:8" ht="18">
      <c r="A33" s="185"/>
      <c r="B33" s="10"/>
      <c r="C33" s="10"/>
      <c r="D33" s="10"/>
      <c r="E33" s="10"/>
      <c r="F33" s="10"/>
      <c r="G33" s="10"/>
      <c r="H33" s="9"/>
    </row>
    <row r="34" spans="1:8" ht="18">
      <c r="A34" s="179" t="s">
        <v>186</v>
      </c>
      <c r="B34" s="296">
        <f>SUM(C34:F34)+B32-B31</f>
        <v>1967.61</v>
      </c>
      <c r="C34" s="26">
        <f>1324.77+200+50</f>
        <v>1574.77</v>
      </c>
      <c r="D34" s="26"/>
      <c r="E34" s="27"/>
      <c r="F34" s="36"/>
      <c r="G34" s="46" t="str">
        <f>SUM(G5:G10)+SUM(G14:G17)+SUM(G21:G23) &amp; " / " &amp; B34</f>
        <v>154.98 / 1967.61</v>
      </c>
      <c r="H34" s="10"/>
    </row>
    <row r="35" spans="1:8" ht="18">
      <c r="A35" s="24"/>
      <c r="B35" s="10"/>
      <c r="C35" s="49"/>
      <c r="D35" s="26"/>
      <c r="E35" s="23"/>
      <c r="F35" s="25"/>
      <c r="G35" s="79" t="str">
        <f>IF(ROUND(SUM(G5:G17),2)&gt;0,IF(ROUND(SUM(G5:G17),2)&lt;ROUND(SUMIF(G5:G17,"&gt;0"),2),"NOT ENOUGH MONEY",""),"NO MONEY")</f>
        <v/>
      </c>
      <c r="H35" s="11"/>
    </row>
    <row r="36" spans="1:8" ht="18">
      <c r="A36" s="17" t="s">
        <v>187</v>
      </c>
      <c r="B36" s="17" t="str">
        <f ca="1">IF(MONTH(TODAY()) = 11, IF(MONTH(DATEVALUE(RIGHT(A1,3)&amp;" 1"))=11, "Bike insurance due",""),"")</f>
        <v/>
      </c>
      <c r="C36" s="59"/>
      <c r="D36" s="16"/>
      <c r="E36" s="16"/>
      <c r="F36" s="16"/>
    </row>
    <row r="37" spans="1:8" ht="18">
      <c r="A37" s="17"/>
      <c r="B37" s="17" t="str">
        <f ca="1">IF(MONTH(TODAY()) = 6, IF(MONTH(DATEVALUE(RIGHT(A1,3)&amp;" 1"))=6, "Car insurance due",""),"")</f>
        <v/>
      </c>
      <c r="C37" s="20"/>
      <c r="D37" s="39"/>
      <c r="E37" s="16"/>
      <c r="F37" s="18"/>
    </row>
    <row r="38" spans="1:8" ht="18">
      <c r="A38" s="17"/>
      <c r="B38" s="17">
        <f>4904.48+365</f>
        <v>5269.48</v>
      </c>
      <c r="C38" s="39" t="s">
        <v>279</v>
      </c>
      <c r="D38" s="39"/>
      <c r="E38" s="43"/>
      <c r="F38" s="20"/>
      <c r="G38" s="11"/>
      <c r="H38" s="11"/>
    </row>
    <row r="39" spans="1:8" ht="18">
      <c r="A39" s="20"/>
      <c r="B39" s="17">
        <f>B38+830+200</f>
        <v>6299.48</v>
      </c>
      <c r="C39" t="s">
        <v>280</v>
      </c>
      <c r="D39" s="42"/>
      <c r="G39" s="11"/>
    </row>
    <row r="40" spans="1:8">
      <c r="B40" s="11"/>
      <c r="G40" s="11"/>
    </row>
    <row r="41" spans="1:8" ht="18">
      <c r="B41" s="10"/>
      <c r="G41" s="11"/>
    </row>
    <row r="42" spans="1:8">
      <c r="B42" s="11"/>
      <c r="G42" s="11"/>
    </row>
    <row r="43" spans="1:8">
      <c r="B43" s="11"/>
    </row>
  </sheetData>
  <dataConsolidate/>
  <conditionalFormatting sqref="G5:G10">
    <cfRule type="cellIs" dxfId="262" priority="11" operator="lessThan">
      <formula>0</formula>
    </cfRule>
    <cfRule type="cellIs" dxfId="261" priority="12" operator="equal">
      <formula>0</formula>
    </cfRule>
    <cfRule type="cellIs" dxfId="260" priority="13" operator="greaterThan">
      <formula>0</formula>
    </cfRule>
  </conditionalFormatting>
  <conditionalFormatting sqref="G14:G18">
    <cfRule type="cellIs" dxfId="259" priority="1" operator="equal">
      <formula>0</formula>
    </cfRule>
    <cfRule type="cellIs" dxfId="258" priority="2" operator="lessThan">
      <formula>0</formula>
    </cfRule>
    <cfRule type="cellIs" dxfId="257" priority="3" operator="greaterThan">
      <formula>0</formula>
    </cfRule>
  </conditionalFormatting>
  <conditionalFormatting sqref="G21:G29">
    <cfRule type="cellIs" dxfId="256" priority="4" operator="equal">
      <formula>0</formula>
    </cfRule>
    <cfRule type="cellIs" dxfId="255" priority="5" operator="lessThan">
      <formula>0</formula>
    </cfRule>
    <cfRule type="cellIs" dxfId="254" priority="6"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10" operator="containsText" id="{793E06C0-0EDE-EF4A-9950-CEC7A4A66783}">
            <xm:f>NOT(ISERROR(SEARCH("-",G34)))</xm:f>
            <xm:f>"-"</xm:f>
            <x14:dxf>
              <font>
                <color rgb="FF9C0006"/>
              </font>
              <fill>
                <patternFill>
                  <bgColor rgb="FFFFC7CE"/>
                </patternFill>
              </fill>
            </x14:dxf>
          </x14:cfRule>
          <xm:sqref>G34</xm:sqref>
        </x14:conditionalFormatting>
      </x14:conditionalFormatting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dimension ref="A1:J43"/>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22.44140625" customWidth="1"/>
  </cols>
  <sheetData>
    <row r="1" spans="1:10" ht="18">
      <c r="A1" s="180" t="s">
        <v>576</v>
      </c>
      <c r="B1" s="13" t="s">
        <v>164</v>
      </c>
      <c r="C1" s="44" t="str">
        <f>"15/02/18" &amp; " - " &amp; "21/02/18"</f>
        <v>15/02/18 - 21/02/18</v>
      </c>
      <c r="D1" s="44" t="str">
        <f>TEXT(DATEVALUE(RIGHT(C1,8))+1,"dd/mm/yy")&amp; " - "&amp; TEXT(DATEVALUE(RIGHT(C1,8))+7,"dd/mm/yy")</f>
        <v>22/02/18 - 28/02/18</v>
      </c>
      <c r="E1" s="44" t="str">
        <f>TEXT(DATEVALUE(RIGHT(D1,8))+1,"dd/mm/yy")&amp; " - "&amp; TEXT(DATEVALUE(RIGHT(D1,8))+7,"dd/mm/yy")</f>
        <v>01/03/18 - 07/03/18</v>
      </c>
      <c r="F1" s="44" t="str">
        <f>TEXT(DATEVALUE(RIGHT(E1,8))+1,"dd/mm/yy")&amp; " - "&amp; TEXT(DATEVALUE(RIGHT(E1,8))+7,"dd/mm/yy")</f>
        <v>08/03/18 - 14/03/18</v>
      </c>
      <c r="G1" s="12" t="s">
        <v>10</v>
      </c>
      <c r="H1" s="9"/>
    </row>
    <row r="2" spans="1:10" ht="18">
      <c r="A2" s="13" t="s">
        <v>165</v>
      </c>
      <c r="B2" s="10">
        <f>SUM(B4,B13,B20)</f>
        <v>2366.08</v>
      </c>
      <c r="C2" s="296">
        <f>SUM(C5:C17)</f>
        <v>2048.5099999999998</v>
      </c>
      <c r="D2" s="296">
        <f>SUM(D5:D17)</f>
        <v>58.88</v>
      </c>
      <c r="E2" s="296">
        <f>SUM(E5:E17)</f>
        <v>33.980000000000004</v>
      </c>
      <c r="F2" s="296">
        <f>SUM(F5:F17)</f>
        <v>307.43</v>
      </c>
      <c r="G2" s="10"/>
      <c r="H2" s="9"/>
    </row>
    <row r="3" spans="1:10" ht="18">
      <c r="A3" s="250"/>
      <c r="B3" s="10"/>
      <c r="C3" s="296"/>
      <c r="D3" s="296"/>
      <c r="E3" s="296"/>
      <c r="F3" s="296"/>
      <c r="G3" s="10"/>
      <c r="H3" s="9"/>
    </row>
    <row r="4" spans="1:10" ht="18">
      <c r="A4" s="178" t="s">
        <v>166</v>
      </c>
      <c r="B4" s="183">
        <f>SUM(B5:B9)</f>
        <v>320</v>
      </c>
      <c r="C4" s="296"/>
      <c r="D4" s="296"/>
      <c r="E4" s="296"/>
      <c r="F4" s="296"/>
      <c r="G4" s="184" t="str">
        <f>"Remaining: £" &amp; ROUND(SUM(G5:G9),2)</f>
        <v>Remaining: £0</v>
      </c>
      <c r="H4" s="9"/>
    </row>
    <row r="5" spans="1:10" ht="18" outlineLevel="1">
      <c r="A5" s="31" t="s">
        <v>167</v>
      </c>
      <c r="B5" s="17">
        <v>120</v>
      </c>
      <c r="C5" s="10">
        <v>60</v>
      </c>
      <c r="D5" s="10"/>
      <c r="E5" s="10"/>
      <c r="F5" s="10">
        <v>60</v>
      </c>
      <c r="G5" s="10">
        <f t="shared" ref="G5:G9" si="0">IF(B5&lt;&gt;"",B5-C5-D5-E5-F5,"")</f>
        <v>0</v>
      </c>
      <c r="H5" s="12" t="str">
        <f>A5</f>
        <v xml:space="preserve">Car Petrol </v>
      </c>
      <c r="I5">
        <f>IF(G5&lt;0,G5*-1,0)</f>
        <v>0</v>
      </c>
    </row>
    <row r="6" spans="1:10" ht="18" hidden="1" outlineLevel="1">
      <c r="A6" s="31" t="s">
        <v>168</v>
      </c>
      <c r="B6" s="17">
        <v>0</v>
      </c>
      <c r="C6" s="10"/>
      <c r="D6" s="10"/>
      <c r="E6" s="10"/>
      <c r="F6" s="10"/>
      <c r="G6" s="10">
        <f t="shared" si="0"/>
        <v>0</v>
      </c>
      <c r="H6" s="12" t="str">
        <f t="shared" ref="H6" si="1">A6</f>
        <v>Bike petrol</v>
      </c>
      <c r="I6">
        <f t="shared" ref="I6:I9" si="2">IF(G6&lt;0,G6*-1,0)</f>
        <v>0</v>
      </c>
    </row>
    <row r="7" spans="1:10" ht="18" outlineLevel="1">
      <c r="A7" s="31" t="s">
        <v>577</v>
      </c>
      <c r="B7" s="10">
        <v>200</v>
      </c>
      <c r="C7" s="10">
        <v>200</v>
      </c>
      <c r="D7" s="10"/>
      <c r="E7" s="10"/>
      <c r="F7" s="10"/>
      <c r="G7" s="10">
        <f t="shared" si="0"/>
        <v>0</v>
      </c>
      <c r="H7" s="12" t="str">
        <f>A7</f>
        <v>Food/Bunnies/Toiletries</v>
      </c>
      <c r="I7">
        <f t="shared" si="2"/>
        <v>0</v>
      </c>
    </row>
    <row r="8" spans="1:10" ht="18" outlineLevel="1">
      <c r="A8" s="31" t="s">
        <v>170</v>
      </c>
      <c r="B8" s="10">
        <v>0</v>
      </c>
      <c r="C8" s="10"/>
      <c r="D8" s="10"/>
      <c r="E8" s="10"/>
      <c r="F8" s="10"/>
      <c r="G8" s="10">
        <f t="shared" si="0"/>
        <v>0</v>
      </c>
      <c r="H8" s="12" t="str">
        <f>A8</f>
        <v>Gift Fund</v>
      </c>
      <c r="I8">
        <f t="shared" si="2"/>
        <v>0</v>
      </c>
    </row>
    <row r="9" spans="1:10" ht="18" outlineLevel="1">
      <c r="A9" s="31" t="s">
        <v>171</v>
      </c>
      <c r="B9" s="10">
        <v>0</v>
      </c>
      <c r="C9" s="10"/>
      <c r="D9" s="10"/>
      <c r="E9" s="10"/>
      <c r="F9" s="10"/>
      <c r="G9" s="10">
        <f t="shared" si="0"/>
        <v>0</v>
      </c>
      <c r="H9" s="12" t="str">
        <f>A9</f>
        <v>Holiday Fund</v>
      </c>
      <c r="I9">
        <f t="shared" si="2"/>
        <v>0</v>
      </c>
    </row>
    <row r="10" spans="1:10" ht="18" outlineLevel="1">
      <c r="A10" s="31" t="s">
        <v>172</v>
      </c>
      <c r="B10" s="10">
        <f>IF(B34 &lt;&gt; 0,B34-B4-B13-B20-I10,0)</f>
        <v>98.690000000000055</v>
      </c>
      <c r="C10" s="10">
        <f>1.45+22+3+19.25</f>
        <v>45.7</v>
      </c>
      <c r="D10" s="10">
        <f>2.19+1.5+3.59+3.5+2</f>
        <v>12.78</v>
      </c>
      <c r="E10" s="10">
        <f>5.74+20.25</f>
        <v>25.990000000000002</v>
      </c>
      <c r="F10" s="10">
        <f>6.45+3.5+3.49</f>
        <v>13.44</v>
      </c>
      <c r="G10" s="10">
        <f>IF(B10&lt;&gt;"",B10-C10-D10-E10-F10,"")</f>
        <v>0.7800000000000491</v>
      </c>
      <c r="H10" s="12" t="s">
        <v>172</v>
      </c>
      <c r="I10" s="11">
        <f>SUMIF(G5:G9,"&lt;0")*-1</f>
        <v>0</v>
      </c>
      <c r="J10" s="11"/>
    </row>
    <row r="11" spans="1:10" ht="18" outlineLevel="1">
      <c r="A11" s="185"/>
      <c r="B11" s="10"/>
      <c r="C11" s="10"/>
      <c r="D11" s="10"/>
      <c r="E11" s="10"/>
      <c r="F11" s="10"/>
      <c r="G11" s="10"/>
      <c r="H11" s="9"/>
    </row>
    <row r="12" spans="1:10" ht="18">
      <c r="A12" s="185"/>
      <c r="B12" s="10"/>
      <c r="C12" s="10"/>
      <c r="D12" s="10"/>
      <c r="E12" s="10"/>
      <c r="F12" s="10"/>
      <c r="G12" s="10"/>
      <c r="H12" s="9"/>
      <c r="J12" s="11"/>
    </row>
    <row r="13" spans="1:10" ht="18">
      <c r="A13" s="177" t="s">
        <v>422</v>
      </c>
      <c r="B13" s="183">
        <f>SUM(B14:B18)</f>
        <v>2046.08</v>
      </c>
      <c r="C13" s="10"/>
      <c r="D13" s="10"/>
      <c r="E13" s="10"/>
      <c r="F13" s="10"/>
      <c r="G13" s="184" t="str">
        <f>"Remaining: £" &amp; ROUND(SUM(G15:G17),2)</f>
        <v>Remaining: £0</v>
      </c>
      <c r="H13" s="9"/>
    </row>
    <row r="14" spans="1:10" ht="18">
      <c r="A14" s="31" t="s">
        <v>183</v>
      </c>
      <c r="B14" s="183">
        <f>1742.81+230</f>
        <v>1972.81</v>
      </c>
      <c r="C14" s="10">
        <f>8.04+4.77+1130+600</f>
        <v>1742.81</v>
      </c>
      <c r="D14" s="10"/>
      <c r="E14" s="10"/>
      <c r="F14" s="10">
        <v>230</v>
      </c>
      <c r="G14" s="10">
        <f t="shared" ref="G14:G18" si="3">IF(B14&lt;&gt;"",B14-C14-D14-E14-F14,"")</f>
        <v>0</v>
      </c>
      <c r="H14" s="12" t="str">
        <f t="shared" ref="H14:H16" si="4">A14</f>
        <v>Savings</v>
      </c>
    </row>
    <row r="15" spans="1:10" ht="18" outlineLevel="1">
      <c r="A15" s="31" t="s">
        <v>580</v>
      </c>
      <c r="B15" s="211">
        <v>46.1</v>
      </c>
      <c r="C15" s="211"/>
      <c r="D15" s="211">
        <v>46.1</v>
      </c>
      <c r="E15" s="211"/>
      <c r="F15" s="211"/>
      <c r="G15" s="10">
        <f t="shared" si="3"/>
        <v>0</v>
      </c>
      <c r="H15" s="12" t="str">
        <f t="shared" si="4"/>
        <v>Phone  (21st)</v>
      </c>
    </row>
    <row r="16" spans="1:10" ht="18" outlineLevel="1">
      <c r="A16" s="31" t="s">
        <v>581</v>
      </c>
      <c r="B16" s="211">
        <v>3.99</v>
      </c>
      <c r="C16" s="211"/>
      <c r="D16" s="211"/>
      <c r="E16" s="211"/>
      <c r="F16" s="211">
        <v>3.99</v>
      </c>
      <c r="G16" s="10">
        <f t="shared" si="3"/>
        <v>0</v>
      </c>
      <c r="H16" s="12" t="str">
        <f t="shared" si="4"/>
        <v>Sky Movies (18th)</v>
      </c>
    </row>
    <row r="17" spans="1:8" ht="18" outlineLevel="1">
      <c r="A17" s="31" t="s">
        <v>582</v>
      </c>
      <c r="B17" s="211">
        <v>7.99</v>
      </c>
      <c r="C17" s="211"/>
      <c r="D17" s="211"/>
      <c r="E17" s="211">
        <v>7.99</v>
      </c>
      <c r="F17" s="211"/>
      <c r="G17" s="10">
        <f t="shared" si="3"/>
        <v>0</v>
      </c>
      <c r="H17" s="12" t="str">
        <f>A17</f>
        <v>Onedrive (6th)</v>
      </c>
    </row>
    <row r="18" spans="1:8" ht="18" outlineLevel="1">
      <c r="A18" s="31" t="s">
        <v>585</v>
      </c>
      <c r="B18" s="211">
        <v>15.19</v>
      </c>
      <c r="C18" s="211"/>
      <c r="D18" s="211">
        <v>15.19</v>
      </c>
      <c r="E18" s="211"/>
      <c r="F18" s="211"/>
      <c r="G18" s="10">
        <f t="shared" si="3"/>
        <v>0</v>
      </c>
      <c r="H18" s="12" t="str">
        <f>A18</f>
        <v>Gym (21st)</v>
      </c>
    </row>
    <row r="19" spans="1:8" ht="18">
      <c r="A19" s="185"/>
      <c r="B19" s="10"/>
      <c r="C19" s="10"/>
      <c r="D19" s="10"/>
      <c r="E19" s="10"/>
      <c r="F19" s="10"/>
      <c r="G19" s="10"/>
      <c r="H19" s="9"/>
    </row>
    <row r="20" spans="1:8" ht="18">
      <c r="A20" s="177" t="s">
        <v>424</v>
      </c>
      <c r="B20" s="183">
        <v>0</v>
      </c>
      <c r="C20" s="10"/>
      <c r="D20" s="10"/>
      <c r="E20" s="10"/>
      <c r="F20" s="10"/>
      <c r="G20" s="184" t="str">
        <f>"Remaining: £" &amp; ROUND(SUM(G21:G23),0)</f>
        <v>Remaining: £0</v>
      </c>
      <c r="H20" s="9"/>
    </row>
    <row r="21" spans="1:8" ht="18" outlineLevel="1">
      <c r="A21" s="31" t="s">
        <v>182</v>
      </c>
      <c r="B21" s="10">
        <v>0</v>
      </c>
      <c r="C21" s="10"/>
      <c r="D21" s="10"/>
      <c r="E21" s="10"/>
      <c r="F21" s="10"/>
      <c r="G21" s="10">
        <f>IF(B21&lt;&gt;"",B21-C21-D21-E21-F21,"")</f>
        <v>0</v>
      </c>
      <c r="H21" s="12" t="str">
        <f>A21</f>
        <v>Amazon Prime</v>
      </c>
    </row>
    <row r="22" spans="1:8" ht="18" outlineLevel="1">
      <c r="A22" s="31" t="s">
        <v>417</v>
      </c>
      <c r="B22" s="10">
        <v>0</v>
      </c>
      <c r="C22" s="10"/>
      <c r="D22" s="10"/>
      <c r="E22" s="10"/>
      <c r="F22" s="10"/>
      <c r="G22" s="10">
        <f t="shared" ref="G22:G26" si="5">IF(B22&lt;&gt;"",B22-C22-D22-E22-F22,"")</f>
        <v>0</v>
      </c>
      <c r="H22" s="12" t="str">
        <f t="shared" ref="H22:H26" si="6">A22</f>
        <v>Travel Ins.</v>
      </c>
    </row>
    <row r="23" spans="1:8" ht="18" outlineLevel="1">
      <c r="A23" s="31" t="s">
        <v>569</v>
      </c>
      <c r="B23" s="10">
        <v>0</v>
      </c>
      <c r="C23" s="10"/>
      <c r="D23" s="10"/>
      <c r="E23" s="10"/>
      <c r="F23" s="10"/>
      <c r="G23" s="10">
        <f t="shared" si="5"/>
        <v>0</v>
      </c>
      <c r="H23" s="12" t="str">
        <f t="shared" si="6"/>
        <v>Vehicles</v>
      </c>
    </row>
    <row r="24" spans="1:8" ht="19.5" hidden="1" customHeight="1" outlineLevel="2">
      <c r="A24" s="31" t="s">
        <v>570</v>
      </c>
      <c r="B24" s="10">
        <f>1500/12</f>
        <v>125</v>
      </c>
      <c r="C24" s="10"/>
      <c r="D24" s="10"/>
      <c r="E24" s="10"/>
      <c r="F24" s="10"/>
      <c r="G24" s="10">
        <f t="shared" si="5"/>
        <v>125</v>
      </c>
      <c r="H24" s="12" t="str">
        <f t="shared" si="6"/>
        <v>Car Ins. / tax</v>
      </c>
    </row>
    <row r="25" spans="1:8" ht="19.5" hidden="1" customHeight="1" outlineLevel="2">
      <c r="A25" s="31" t="s">
        <v>571</v>
      </c>
      <c r="B25" s="10">
        <f>335/12</f>
        <v>27.916666666666668</v>
      </c>
      <c r="C25" s="10"/>
      <c r="D25" s="10"/>
      <c r="E25" s="10"/>
      <c r="F25" s="10"/>
      <c r="G25" s="10"/>
      <c r="H25" s="12"/>
    </row>
    <row r="26" spans="1:8" ht="19.5" hidden="1" customHeight="1" outlineLevel="2">
      <c r="A26" s="31" t="s">
        <v>572</v>
      </c>
      <c r="B26" s="10">
        <f>300/12</f>
        <v>25</v>
      </c>
      <c r="C26" s="10"/>
      <c r="D26" s="10"/>
      <c r="E26" s="10"/>
      <c r="F26" s="10"/>
      <c r="G26" s="10">
        <f t="shared" si="5"/>
        <v>25</v>
      </c>
      <c r="H26" s="12" t="str">
        <f t="shared" si="6"/>
        <v>Bike Ins. / tax</v>
      </c>
    </row>
    <row r="27" spans="1:8" ht="19.5" hidden="1" customHeight="1" outlineLevel="2">
      <c r="A27" s="31" t="s">
        <v>573</v>
      </c>
      <c r="B27" s="10">
        <f>100/12</f>
        <v>8.3333333333333339</v>
      </c>
      <c r="C27" s="10"/>
      <c r="D27" s="10"/>
      <c r="E27" s="10"/>
      <c r="F27" s="10"/>
      <c r="G27" s="10"/>
      <c r="H27" s="12"/>
    </row>
    <row r="28" spans="1:8" ht="18" outlineLevel="1" collapsed="1">
      <c r="A28" s="208"/>
      <c r="B28" s="10"/>
      <c r="C28" s="10"/>
      <c r="D28" s="10"/>
      <c r="E28" s="10"/>
      <c r="F28" s="10"/>
      <c r="G28" s="210"/>
      <c r="H28" s="48"/>
    </row>
    <row r="29" spans="1:8" ht="18">
      <c r="A29" s="208"/>
      <c r="B29" s="10"/>
      <c r="C29" s="10"/>
      <c r="D29" s="10"/>
      <c r="E29" s="10"/>
      <c r="F29" s="10"/>
      <c r="G29" s="210"/>
      <c r="H29" s="48"/>
    </row>
    <row r="30" spans="1:8" ht="18">
      <c r="A30" s="177" t="s">
        <v>183</v>
      </c>
      <c r="B30" s="183" t="str">
        <f>"£"&amp; B31 &amp; " / " &amp; "£" &amp;B32</f>
        <v>£0 / £0</v>
      </c>
      <c r="C30" s="10"/>
      <c r="D30" s="10"/>
      <c r="E30" s="10"/>
      <c r="F30" s="10"/>
      <c r="G30" s="10"/>
      <c r="H30" s="9"/>
    </row>
    <row r="31" spans="1:8" ht="18" outlineLevel="1">
      <c r="A31" s="31" t="s">
        <v>184</v>
      </c>
      <c r="B31" s="10">
        <f>SUM(C31:F31)</f>
        <v>0</v>
      </c>
      <c r="C31" s="10"/>
      <c r="D31" s="10"/>
      <c r="E31" s="10"/>
      <c r="F31" s="10"/>
      <c r="G31" s="10"/>
      <c r="H31" s="9"/>
    </row>
    <row r="32" spans="1:8" ht="18" outlineLevel="1">
      <c r="A32" s="31" t="s">
        <v>185</v>
      </c>
      <c r="B32" s="10">
        <f>SUM(C32:F32)</f>
        <v>0</v>
      </c>
      <c r="C32" s="10"/>
      <c r="D32" s="10"/>
      <c r="E32" s="10"/>
      <c r="F32" s="10"/>
      <c r="G32" s="10"/>
      <c r="H32" s="9"/>
    </row>
    <row r="33" spans="1:8" ht="18">
      <c r="A33" s="185"/>
      <c r="B33" s="10"/>
      <c r="C33" s="10"/>
      <c r="D33" s="10"/>
      <c r="E33" s="10"/>
      <c r="F33" s="10"/>
      <c r="G33" s="10"/>
      <c r="H33" s="9"/>
    </row>
    <row r="34" spans="1:8" ht="18">
      <c r="A34" s="179" t="s">
        <v>186</v>
      </c>
      <c r="B34" s="296">
        <f>SUM(C34:F34)+B32-B31</f>
        <v>2464.77</v>
      </c>
      <c r="C34" s="26">
        <f>1324.77+110+600</f>
        <v>2034.77</v>
      </c>
      <c r="D34" s="26">
        <f>110+30</f>
        <v>140</v>
      </c>
      <c r="E34" s="27"/>
      <c r="F34" s="36">
        <f>170+120</f>
        <v>290</v>
      </c>
      <c r="G34" s="46" t="str">
        <f>ROUND(SUM(G5:G10)+SUM(G14:G18)+SUM(G21:G23),2)&amp; " / " &amp; B34</f>
        <v>0.78 / 2464.77</v>
      </c>
      <c r="H34" s="10"/>
    </row>
    <row r="35" spans="1:8" ht="18">
      <c r="A35" s="24"/>
      <c r="B35" s="10"/>
      <c r="C35" s="49"/>
      <c r="D35" s="26"/>
      <c r="E35" s="23"/>
      <c r="F35" s="25"/>
      <c r="G35" s="79"/>
      <c r="H35" s="11"/>
    </row>
    <row r="36" spans="1:8" ht="18">
      <c r="A36" s="17" t="s">
        <v>187</v>
      </c>
      <c r="B36" s="17" t="str">
        <f ca="1">IF(MONTH(TODAY()) = 11, IF(MONTH(DATEVALUE(RIGHT(A1,3)&amp;" 1"))=11, "Bike insurance due",""),"")</f>
        <v/>
      </c>
      <c r="C36" s="59"/>
      <c r="D36" s="16"/>
      <c r="E36" s="16"/>
      <c r="F36" s="16"/>
    </row>
    <row r="37" spans="1:8" ht="18">
      <c r="A37" s="17"/>
      <c r="B37" s="17" t="str">
        <f ca="1">IF(MONTH(TODAY()) = 6, IF(MONTH(DATEVALUE(RIGHT(A1,3)&amp;" 1"))=6, "Car insurance due",""),"")</f>
        <v/>
      </c>
      <c r="C37" s="20"/>
      <c r="D37" s="39"/>
      <c r="E37" s="16"/>
      <c r="F37" s="18"/>
    </row>
    <row r="38" spans="1:8" ht="18">
      <c r="A38" s="17"/>
      <c r="B38" s="17"/>
      <c r="C38" s="39"/>
      <c r="D38" s="39"/>
      <c r="E38" s="43"/>
      <c r="F38" s="20"/>
      <c r="G38" s="11"/>
      <c r="H38" s="11"/>
    </row>
    <row r="39" spans="1:8" ht="18">
      <c r="A39" s="20"/>
      <c r="B39" s="17"/>
      <c r="D39" s="42"/>
      <c r="G39" s="11"/>
    </row>
    <row r="40" spans="1:8">
      <c r="B40" s="11"/>
      <c r="G40" s="11"/>
    </row>
    <row r="41" spans="1:8" ht="18">
      <c r="B41" s="10"/>
      <c r="G41" s="11"/>
    </row>
    <row r="42" spans="1:8">
      <c r="B42" s="11"/>
      <c r="G42" s="11"/>
    </row>
    <row r="43" spans="1:8">
      <c r="B43" s="11"/>
    </row>
  </sheetData>
  <dataConsolidate/>
  <conditionalFormatting sqref="G5:G10">
    <cfRule type="cellIs" dxfId="252" priority="11" operator="lessThan">
      <formula>0</formula>
    </cfRule>
    <cfRule type="cellIs" dxfId="251" priority="12" operator="equal">
      <formula>0</formula>
    </cfRule>
    <cfRule type="cellIs" dxfId="250" priority="13" operator="greaterThan">
      <formula>0</formula>
    </cfRule>
  </conditionalFormatting>
  <conditionalFormatting sqref="G14:G18">
    <cfRule type="cellIs" dxfId="249" priority="1" operator="equal">
      <formula>0</formula>
    </cfRule>
    <cfRule type="cellIs" dxfId="248" priority="2" operator="lessThan">
      <formula>0</formula>
    </cfRule>
    <cfRule type="cellIs" dxfId="247" priority="3" operator="greaterThan">
      <formula>0</formula>
    </cfRule>
  </conditionalFormatting>
  <conditionalFormatting sqref="G21:G29">
    <cfRule type="cellIs" dxfId="246" priority="4" operator="equal">
      <formula>0</formula>
    </cfRule>
    <cfRule type="cellIs" dxfId="245" priority="5" operator="lessThan">
      <formula>0</formula>
    </cfRule>
    <cfRule type="cellIs" dxfId="244" priority="6"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46D840BB-5D40-D442-8CCB-774179ED4B83}">
            <xm:f>NOT(ISERROR(SEARCH("-",G34)))</xm:f>
            <xm:f>"-"</xm:f>
            <x14:dxf>
              <font>
                <color rgb="FF9C0006"/>
              </font>
              <fill>
                <patternFill>
                  <bgColor rgb="FFFFC7CE"/>
                </patternFill>
              </fill>
            </x14:dxf>
          </x14:cfRule>
          <xm:sqref>G34</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2"/>
  <dimension ref="A1:J50"/>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10" ht="18">
      <c r="A1" s="180" t="s">
        <v>576</v>
      </c>
      <c r="B1" s="13" t="s">
        <v>164</v>
      </c>
      <c r="C1" s="44" t="str">
        <f>"15/03/18" &amp; " - " &amp; "21/03/18"</f>
        <v>15/03/18 - 21/03/18</v>
      </c>
      <c r="D1" s="44" t="str">
        <f>TEXT(DATEVALUE(RIGHT(C1,8))+1,"dd/mm/yy")&amp; " - "&amp; TEXT(DATEVALUE(RIGHT(C1,8))+7,"dd/mm/yy")</f>
        <v>22/03/18 - 28/03/18</v>
      </c>
      <c r="E1" s="44" t="str">
        <f>TEXT(DATEVALUE(RIGHT(D1,8))+1,"dd/mm/yy")&amp; " - "&amp; TEXT(DATEVALUE(RIGHT(D1,8))+7,"dd/mm/yy")</f>
        <v>29/03/18 - 04/04/18</v>
      </c>
      <c r="F1" s="44" t="str">
        <f>TEXT(DATEVALUE(RIGHT(E1,8))+1,"dd/mm/yy")&amp; " - "&amp; TEXT(DATEVALUE(RIGHT(E1,8))+7,"dd/mm/yy")</f>
        <v>05/04/18 - 11/04/18</v>
      </c>
      <c r="G1" s="12" t="s">
        <v>10</v>
      </c>
      <c r="H1" s="9"/>
    </row>
    <row r="2" spans="1:10" ht="18">
      <c r="A2" s="13" t="s">
        <v>165</v>
      </c>
      <c r="B2" s="10">
        <f>SUM(B4,B13,B22)</f>
        <v>1993.27</v>
      </c>
      <c r="C2" s="296">
        <f>SUM(C5:C17)</f>
        <v>1374.75</v>
      </c>
      <c r="D2" s="296">
        <f>SUM(D5:D17)</f>
        <v>586.02</v>
      </c>
      <c r="E2" s="296">
        <f>SUM(E5:E17)</f>
        <v>236.06</v>
      </c>
      <c r="F2" s="296">
        <f>SUM(F5:F17)</f>
        <v>372.51000000000005</v>
      </c>
      <c r="G2" s="10"/>
      <c r="H2" s="9"/>
    </row>
    <row r="3" spans="1:10" ht="18">
      <c r="A3" s="250"/>
      <c r="B3" s="10"/>
      <c r="C3" s="296"/>
      <c r="D3" s="296"/>
      <c r="E3" s="296"/>
      <c r="F3" s="296"/>
      <c r="G3" s="10"/>
      <c r="H3" s="9"/>
    </row>
    <row r="4" spans="1:10" ht="18">
      <c r="A4" s="178" t="s">
        <v>166</v>
      </c>
      <c r="B4" s="183">
        <f>SUM(B5:B9)</f>
        <v>420</v>
      </c>
      <c r="C4" s="296"/>
      <c r="D4" s="296"/>
      <c r="E4" s="296"/>
      <c r="F4" s="296"/>
      <c r="G4" s="184" t="str">
        <f>"Remaining: £" &amp; ROUND(SUM(G5:G9),2)</f>
        <v>Remaining: £-15</v>
      </c>
      <c r="H4" s="9"/>
    </row>
    <row r="5" spans="1:10" ht="18" outlineLevel="1">
      <c r="A5" s="31" t="s">
        <v>167</v>
      </c>
      <c r="B5" s="17">
        <v>120</v>
      </c>
      <c r="C5" s="10">
        <v>120</v>
      </c>
      <c r="D5" s="10"/>
      <c r="E5" s="10"/>
      <c r="F5" s="10">
        <v>15</v>
      </c>
      <c r="G5" s="10">
        <f t="shared" ref="G5:G9" si="0">IF(B5&lt;&gt;"",B5-C5-D5-E5-F5,"")</f>
        <v>-15</v>
      </c>
      <c r="H5" s="12" t="str">
        <f>A5</f>
        <v xml:space="preserve">Car Petrol </v>
      </c>
      <c r="I5">
        <f>IF(G5&lt;0,G5*-1,0)</f>
        <v>15</v>
      </c>
    </row>
    <row r="6" spans="1:10" ht="18" hidden="1" outlineLevel="1">
      <c r="A6" s="31" t="s">
        <v>168</v>
      </c>
      <c r="B6" s="17">
        <v>0</v>
      </c>
      <c r="C6" s="10"/>
      <c r="D6" s="10"/>
      <c r="E6" s="10"/>
      <c r="F6" s="10"/>
      <c r="G6" s="10">
        <f t="shared" si="0"/>
        <v>0</v>
      </c>
      <c r="H6" s="12" t="str">
        <f t="shared" ref="H6" si="1">A6</f>
        <v>Bike petrol</v>
      </c>
      <c r="I6">
        <f t="shared" ref="I6:I9" si="2">IF(G6&lt;0,G6*-1,0)</f>
        <v>0</v>
      </c>
    </row>
    <row r="7" spans="1:10" ht="18" outlineLevel="1">
      <c r="A7" s="31" t="s">
        <v>577</v>
      </c>
      <c r="B7" s="10">
        <v>200</v>
      </c>
      <c r="C7" s="10">
        <v>200</v>
      </c>
      <c r="D7" s="10"/>
      <c r="E7" s="10"/>
      <c r="F7" s="10"/>
      <c r="G7" s="10">
        <f t="shared" si="0"/>
        <v>0</v>
      </c>
      <c r="H7" s="12" t="str">
        <f>A7</f>
        <v>Food/Bunnies/Toiletries</v>
      </c>
      <c r="I7">
        <f t="shared" si="2"/>
        <v>0</v>
      </c>
    </row>
    <row r="8" spans="1:10" ht="18" outlineLevel="1">
      <c r="A8" s="31" t="s">
        <v>170</v>
      </c>
      <c r="B8" s="10">
        <v>0</v>
      </c>
      <c r="C8" s="10"/>
      <c r="D8" s="10"/>
      <c r="E8" s="10"/>
      <c r="F8" s="10"/>
      <c r="G8" s="10">
        <f t="shared" si="0"/>
        <v>0</v>
      </c>
      <c r="H8" s="12" t="str">
        <f>A8</f>
        <v>Gift Fund</v>
      </c>
      <c r="I8">
        <f t="shared" si="2"/>
        <v>0</v>
      </c>
    </row>
    <row r="9" spans="1:10" ht="18" outlineLevel="1">
      <c r="A9" s="31" t="s">
        <v>171</v>
      </c>
      <c r="B9" s="10">
        <v>100</v>
      </c>
      <c r="C9" s="10"/>
      <c r="D9" s="10">
        <v>100</v>
      </c>
      <c r="E9" s="10"/>
      <c r="F9" s="10"/>
      <c r="G9" s="10">
        <f t="shared" si="0"/>
        <v>0</v>
      </c>
      <c r="H9" s="12" t="str">
        <f>A9</f>
        <v>Holiday Fund</v>
      </c>
      <c r="I9">
        <f t="shared" si="2"/>
        <v>0</v>
      </c>
    </row>
    <row r="10" spans="1:10" ht="18" outlineLevel="1">
      <c r="A10" s="31" t="s">
        <v>172</v>
      </c>
      <c r="B10" s="10">
        <f>IF(B36 &lt;&gt; 0,B36-B4-B13-B22-I10,0)</f>
        <v>1128.6399999999999</v>
      </c>
      <c r="C10" s="10">
        <f>1.48+1.5+3.75+1.92</f>
        <v>8.65</v>
      </c>
      <c r="D10" s="10">
        <f>1.99+1.49+2.45+3.45+88.37+350+21.47+16.8</f>
        <v>486.02000000000004</v>
      </c>
      <c r="E10" s="10">
        <f>1.45+110+33.77+19.98+3.85+23.44+32.97+2.61</f>
        <v>228.07</v>
      </c>
      <c r="F10" s="10">
        <f>3+17+56.42+4+273.29+3.8</f>
        <v>357.51000000000005</v>
      </c>
      <c r="G10" s="10">
        <f>IF(B10&lt;&gt;"",B10-C10-D10-E10-F10,"")</f>
        <v>48.389999999999759</v>
      </c>
      <c r="H10" s="12" t="s">
        <v>172</v>
      </c>
      <c r="I10" s="11">
        <f>SUM(I5:I9)</f>
        <v>15</v>
      </c>
      <c r="J10" s="11"/>
    </row>
    <row r="11" spans="1:10" ht="18" outlineLevel="1">
      <c r="A11" s="185"/>
      <c r="B11" s="10"/>
      <c r="C11" s="10"/>
      <c r="D11" s="10"/>
      <c r="E11" s="10"/>
      <c r="F11" s="10"/>
      <c r="G11" s="10"/>
      <c r="H11" s="9"/>
    </row>
    <row r="12" spans="1:10" ht="18">
      <c r="A12" s="185"/>
      <c r="B12" s="10"/>
      <c r="C12" s="10"/>
      <c r="D12" s="10"/>
      <c r="E12" s="10"/>
      <c r="F12" s="10"/>
      <c r="G12" s="10"/>
      <c r="H12" s="9"/>
      <c r="J12" s="11"/>
    </row>
    <row r="13" spans="1:10" ht="18">
      <c r="A13" s="177" t="s">
        <v>422</v>
      </c>
      <c r="B13" s="183">
        <f>SUM(B14:B19)</f>
        <v>1073.27</v>
      </c>
      <c r="C13" s="10"/>
      <c r="D13" s="10"/>
      <c r="E13" s="10"/>
      <c r="F13" s="10"/>
      <c r="G13" s="184" t="str">
        <f>"Remaining: £" &amp; ROUND(SUM(G14:G19),2)</f>
        <v>Remaining: £3.99</v>
      </c>
      <c r="H13" s="9"/>
    </row>
    <row r="14" spans="1:10" ht="18">
      <c r="A14" s="31" t="s">
        <v>183</v>
      </c>
      <c r="B14" s="183">
        <v>1000</v>
      </c>
      <c r="C14" s="10">
        <f>500+500</f>
        <v>1000</v>
      </c>
      <c r="D14" s="10"/>
      <c r="E14" s="10"/>
      <c r="F14" s="10"/>
      <c r="G14" s="10">
        <f t="shared" ref="G14:G17" si="3">IF(B14&lt;&gt;"",B14-C14-D14-E14-F14,"")</f>
        <v>0</v>
      </c>
      <c r="H14" s="12" t="str">
        <f t="shared" ref="H14:H17" si="4">A14</f>
        <v>Savings</v>
      </c>
    </row>
    <row r="15" spans="1:10" ht="18" outlineLevel="1">
      <c r="A15" s="31" t="s">
        <v>586</v>
      </c>
      <c r="B15" s="211">
        <v>46.1</v>
      </c>
      <c r="C15" s="211">
        <v>46.1</v>
      </c>
      <c r="D15" s="211"/>
      <c r="E15" s="211"/>
      <c r="F15" s="211"/>
      <c r="G15" s="10">
        <f t="shared" si="3"/>
        <v>0</v>
      </c>
      <c r="H15" s="12" t="str">
        <f t="shared" si="4"/>
        <v>M Phone  (21st)</v>
      </c>
    </row>
    <row r="16" spans="1:10" ht="18" outlineLevel="1">
      <c r="A16" s="31" t="s">
        <v>587</v>
      </c>
      <c r="B16" s="211">
        <v>3.99</v>
      </c>
      <c r="C16" s="211"/>
      <c r="D16" s="211"/>
      <c r="E16" s="211"/>
      <c r="F16" s="211"/>
      <c r="G16" s="10">
        <f t="shared" si="3"/>
        <v>3.99</v>
      </c>
      <c r="H16" s="12" t="str">
        <f t="shared" si="4"/>
        <v>Sky Movies (14th)</v>
      </c>
    </row>
    <row r="17" spans="1:8" ht="18" outlineLevel="1">
      <c r="A17" s="31" t="s">
        <v>582</v>
      </c>
      <c r="B17" s="211">
        <v>7.99</v>
      </c>
      <c r="C17" s="211"/>
      <c r="D17" s="211"/>
      <c r="E17" s="211">
        <v>7.99</v>
      </c>
      <c r="F17" s="211"/>
      <c r="G17" s="10">
        <f t="shared" si="3"/>
        <v>0</v>
      </c>
      <c r="H17" s="12" t="str">
        <f t="shared" si="4"/>
        <v>Onedrive (6th)</v>
      </c>
    </row>
    <row r="18" spans="1:8" ht="18" outlineLevel="1">
      <c r="A18" s="31" t="s">
        <v>588</v>
      </c>
      <c r="B18" s="211">
        <v>15.19</v>
      </c>
      <c r="C18" s="211"/>
      <c r="D18" s="211">
        <v>15.19</v>
      </c>
      <c r="E18" s="211"/>
      <c r="F18" s="211"/>
      <c r="G18" s="10">
        <f t="shared" ref="G18:G19" si="5">IF(B18&lt;&gt;"",B18-C18-D18-E18-F18,"")</f>
        <v>0</v>
      </c>
      <c r="H18" s="12" t="str">
        <f t="shared" ref="H18:H19" si="6">A18</f>
        <v>Gym (15th)</v>
      </c>
    </row>
    <row r="19" spans="1:8" ht="18" outlineLevel="1">
      <c r="A19" s="31" t="s">
        <v>589</v>
      </c>
      <c r="B19" s="211">
        <v>0</v>
      </c>
      <c r="C19" s="211"/>
      <c r="D19" s="211"/>
      <c r="E19" s="211"/>
      <c r="F19" s="211"/>
      <c r="G19" s="10">
        <f t="shared" si="5"/>
        <v>0</v>
      </c>
      <c r="H19" s="12" t="str">
        <f t="shared" si="6"/>
        <v>Music</v>
      </c>
    </row>
    <row r="20" spans="1:8" ht="18">
      <c r="A20" s="185"/>
      <c r="B20" s="10"/>
      <c r="C20" s="10"/>
      <c r="D20" s="10"/>
      <c r="E20" s="10"/>
      <c r="F20" s="10"/>
      <c r="G20" s="10"/>
      <c r="H20" s="9"/>
    </row>
    <row r="21" spans="1:8" ht="18">
      <c r="A21" s="185"/>
      <c r="B21" s="10"/>
      <c r="C21" s="10"/>
      <c r="D21" s="10"/>
      <c r="E21" s="10"/>
      <c r="F21" s="10"/>
      <c r="G21" s="10"/>
      <c r="H21" s="9"/>
    </row>
    <row r="22" spans="1:8" ht="18">
      <c r="A22" s="177" t="s">
        <v>424</v>
      </c>
      <c r="B22" s="183">
        <v>500</v>
      </c>
      <c r="C22" s="10"/>
      <c r="D22" s="10"/>
      <c r="E22" s="10"/>
      <c r="F22" s="10"/>
      <c r="G22" s="184" t="str">
        <f>"Remaining: £" &amp; ROUND(SUM(G23:G25),0)</f>
        <v>Remaining: £0</v>
      </c>
      <c r="H22" s="9"/>
    </row>
    <row r="23" spans="1:8" ht="18" outlineLevel="1">
      <c r="A23" s="31" t="s">
        <v>182</v>
      </c>
      <c r="B23" s="10">
        <v>0</v>
      </c>
      <c r="C23" s="10"/>
      <c r="D23" s="10"/>
      <c r="E23" s="10"/>
      <c r="F23" s="10"/>
      <c r="G23" s="10">
        <f>IF(B23&lt;&gt;"",B23-C23-D23-E23-F23,"")</f>
        <v>0</v>
      </c>
      <c r="H23" s="12" t="str">
        <f>A23</f>
        <v>Amazon Prime</v>
      </c>
    </row>
    <row r="24" spans="1:8" ht="18" outlineLevel="1">
      <c r="A24" s="31" t="s">
        <v>417</v>
      </c>
      <c r="B24" s="10">
        <v>0</v>
      </c>
      <c r="C24" s="10"/>
      <c r="D24" s="10"/>
      <c r="E24" s="10"/>
      <c r="F24" s="10"/>
      <c r="G24" s="10">
        <f t="shared" ref="G24:G28" si="7">IF(B24&lt;&gt;"",B24-C24-D24-E24-F24,"")</f>
        <v>0</v>
      </c>
      <c r="H24" s="12" t="str">
        <f t="shared" ref="H24:H28" si="8">A24</f>
        <v>Travel Ins.</v>
      </c>
    </row>
    <row r="25" spans="1:8" ht="18" outlineLevel="1">
      <c r="A25" s="31" t="s">
        <v>569</v>
      </c>
      <c r="B25" s="10">
        <v>500</v>
      </c>
      <c r="C25" s="10">
        <f>250+250</f>
        <v>500</v>
      </c>
      <c r="D25" s="10"/>
      <c r="E25" s="10"/>
      <c r="F25" s="10"/>
      <c r="G25" s="10">
        <f t="shared" si="7"/>
        <v>0</v>
      </c>
      <c r="H25" s="12" t="str">
        <f t="shared" si="8"/>
        <v>Vehicles</v>
      </c>
    </row>
    <row r="26" spans="1:8" ht="19.5" hidden="1" customHeight="1" outlineLevel="2">
      <c r="A26" s="31" t="s">
        <v>570</v>
      </c>
      <c r="B26" s="10">
        <f>1500/12</f>
        <v>125</v>
      </c>
      <c r="C26" s="10"/>
      <c r="D26" s="10"/>
      <c r="E26" s="10"/>
      <c r="F26" s="10"/>
      <c r="G26" s="10">
        <f t="shared" si="7"/>
        <v>125</v>
      </c>
      <c r="H26" s="12" t="str">
        <f t="shared" si="8"/>
        <v>Car Ins. / tax</v>
      </c>
    </row>
    <row r="27" spans="1:8" ht="19.5" hidden="1" customHeight="1" outlineLevel="2">
      <c r="A27" s="31" t="s">
        <v>571</v>
      </c>
      <c r="B27" s="10">
        <f>335/12</f>
        <v>27.916666666666668</v>
      </c>
      <c r="C27" s="10"/>
      <c r="D27" s="10"/>
      <c r="E27" s="10"/>
      <c r="F27" s="10"/>
      <c r="G27" s="10"/>
      <c r="H27" s="12"/>
    </row>
    <row r="28" spans="1:8" ht="19.5" hidden="1" customHeight="1" outlineLevel="2">
      <c r="A28" s="31" t="s">
        <v>572</v>
      </c>
      <c r="B28" s="10">
        <f>300/12</f>
        <v>25</v>
      </c>
      <c r="C28" s="10"/>
      <c r="D28" s="10"/>
      <c r="E28" s="10"/>
      <c r="F28" s="10"/>
      <c r="G28" s="10">
        <f t="shared" si="7"/>
        <v>25</v>
      </c>
      <c r="H28" s="12" t="str">
        <f t="shared" si="8"/>
        <v>Bike Ins. / tax</v>
      </c>
    </row>
    <row r="29" spans="1:8" ht="19.5" hidden="1" customHeight="1" outlineLevel="2">
      <c r="A29" s="31" t="s">
        <v>573</v>
      </c>
      <c r="B29" s="10">
        <f>100/12</f>
        <v>8.3333333333333339</v>
      </c>
      <c r="C29" s="10"/>
      <c r="D29" s="10"/>
      <c r="E29" s="10"/>
      <c r="F29" s="10"/>
      <c r="G29" s="10"/>
      <c r="H29" s="12"/>
    </row>
    <row r="30" spans="1:8" ht="18" outlineLevel="1" collapsed="1">
      <c r="A30" s="208"/>
      <c r="B30" s="10"/>
      <c r="C30" s="10"/>
      <c r="D30" s="10"/>
      <c r="E30" s="10"/>
      <c r="F30" s="10"/>
      <c r="G30" s="210"/>
      <c r="H30" s="48"/>
    </row>
    <row r="31" spans="1:8" ht="18">
      <c r="A31" s="208"/>
      <c r="B31" s="10"/>
      <c r="C31" s="10"/>
      <c r="D31" s="10"/>
      <c r="E31" s="10"/>
      <c r="F31" s="10"/>
      <c r="G31" s="210"/>
      <c r="H31" s="48"/>
    </row>
    <row r="32" spans="1:8" ht="18">
      <c r="A32" s="177" t="s">
        <v>183</v>
      </c>
      <c r="B32" s="183" t="str">
        <f>"£"&amp; B33 &amp; " / " &amp; "£" &amp;B34</f>
        <v>£4159.92 / £500.01</v>
      </c>
      <c r="C32" s="10"/>
      <c r="D32" s="10"/>
      <c r="E32" s="10"/>
      <c r="F32" s="10"/>
      <c r="G32" s="10"/>
      <c r="H32" s="9"/>
    </row>
    <row r="33" spans="1:8" ht="18" outlineLevel="1">
      <c r="A33" s="31" t="s">
        <v>184</v>
      </c>
      <c r="B33" s="10">
        <f>SUM(C33:F33)</f>
        <v>4159.92</v>
      </c>
      <c r="C33" s="10"/>
      <c r="D33" s="10"/>
      <c r="E33" s="10">
        <f>120+39.92+4000</f>
        <v>4159.92</v>
      </c>
      <c r="F33" s="10"/>
      <c r="G33" s="10"/>
      <c r="H33" s="9"/>
    </row>
    <row r="34" spans="1:8" ht="18" outlineLevel="1">
      <c r="A34" s="31" t="s">
        <v>185</v>
      </c>
      <c r="B34" s="10">
        <f>SUM(C34:F34)</f>
        <v>500.01</v>
      </c>
      <c r="C34" s="10"/>
      <c r="D34" s="10"/>
      <c r="E34" s="10">
        <f>150+273.39+26.62+50</f>
        <v>500.01</v>
      </c>
      <c r="F34" s="10"/>
      <c r="G34" s="10"/>
      <c r="H34" s="9"/>
    </row>
    <row r="35" spans="1:8" ht="18">
      <c r="A35" s="185"/>
      <c r="B35" s="10"/>
      <c r="C35" s="10"/>
      <c r="D35" s="10"/>
      <c r="E35" s="10"/>
      <c r="F35" s="10"/>
      <c r="G35" s="10"/>
      <c r="H35" s="9"/>
    </row>
    <row r="36" spans="1:8" ht="18">
      <c r="A36" s="179" t="s">
        <v>186</v>
      </c>
      <c r="B36" s="296">
        <f>SUM(C36:F36)+B34-B33</f>
        <v>3136.91</v>
      </c>
      <c r="C36" s="26">
        <f>1324.77+0.78+750</f>
        <v>2075.5500000000002</v>
      </c>
      <c r="D36" s="26">
        <f>350+100</f>
        <v>450</v>
      </c>
      <c r="E36" s="27">
        <f>238.15+4003.12</f>
        <v>4241.2699999999995</v>
      </c>
      <c r="F36" s="36">
        <v>30</v>
      </c>
      <c r="G36" s="46" t="str">
        <f>ROUND(SUM(G5:G10)+SUM(G14:G19)+SUM(G23:G25),2)+I10 &amp; " / " &amp; B36</f>
        <v>52.38 / 3136.91</v>
      </c>
      <c r="H36" s="10"/>
    </row>
    <row r="37" spans="1:8" ht="18">
      <c r="A37" s="24"/>
      <c r="B37" s="10"/>
      <c r="C37" s="49"/>
      <c r="D37" s="26"/>
      <c r="E37" s="23"/>
      <c r="F37" s="25"/>
      <c r="G37" s="79" t="str">
        <f>IF(ROUND(SUM(G5:G17),2)&gt;0,IF(ROUND(SUM(G5:G17),2)&lt;ROUND(SUMIF(G5:G17,"&gt;0"),2),"NOT ENOUGH MONEY",""),"NO MONEY")</f>
        <v>NOT ENOUGH MONEY</v>
      </c>
      <c r="H37" s="11"/>
    </row>
    <row r="38" spans="1:8" ht="18">
      <c r="A38" s="17" t="s">
        <v>187</v>
      </c>
      <c r="B38" s="17" t="str">
        <f ca="1">IF(MONTH(TODAY()) = 11, IF(MONTH(DATEVALUE(RIGHT(A1,3)&amp;" 1"))=11, "Bike insurance due",""),"")</f>
        <v/>
      </c>
      <c r="C38" s="59"/>
      <c r="D38" s="16"/>
      <c r="E38" s="16"/>
      <c r="F38" s="16"/>
    </row>
    <row r="39" spans="1:8" ht="18">
      <c r="A39" s="17"/>
      <c r="B39" s="17"/>
      <c r="C39" s="39"/>
      <c r="D39" s="39"/>
      <c r="E39" s="16"/>
      <c r="F39" s="18"/>
    </row>
    <row r="40" spans="1:8" ht="18">
      <c r="A40" s="17"/>
      <c r="B40" s="17"/>
      <c r="D40" s="39"/>
      <c r="E40" s="43"/>
      <c r="F40" s="20"/>
      <c r="G40" s="11"/>
      <c r="H40" s="11"/>
    </row>
    <row r="41" spans="1:8" ht="18">
      <c r="A41" s="20"/>
      <c r="B41" s="11"/>
      <c r="D41" s="42"/>
      <c r="G41" s="11"/>
    </row>
    <row r="42" spans="1:8">
      <c r="B42" s="11"/>
      <c r="G42" s="11"/>
    </row>
    <row r="43" spans="1:8" ht="18">
      <c r="B43" s="10"/>
      <c r="G43" s="11"/>
    </row>
    <row r="44" spans="1:8" ht="18">
      <c r="B44" s="10"/>
      <c r="G44" s="11"/>
    </row>
    <row r="45" spans="1:8" ht="18">
      <c r="B45" s="10"/>
    </row>
    <row r="46" spans="1:8" ht="18">
      <c r="B46" s="10"/>
    </row>
    <row r="47" spans="1:8" ht="18">
      <c r="B47" s="10"/>
    </row>
    <row r="48" spans="1:8" ht="18">
      <c r="B48" s="10"/>
    </row>
    <row r="49" spans="2:2" ht="18">
      <c r="B49" s="10"/>
    </row>
    <row r="50" spans="2:2" ht="18">
      <c r="B50" s="10"/>
    </row>
  </sheetData>
  <dataConsolidate/>
  <conditionalFormatting sqref="G5:G10">
    <cfRule type="cellIs" dxfId="242" priority="14" operator="lessThan">
      <formula>0</formula>
    </cfRule>
    <cfRule type="cellIs" dxfId="241" priority="15" operator="equal">
      <formula>0</formula>
    </cfRule>
    <cfRule type="cellIs" dxfId="240" priority="16" operator="greaterThan">
      <formula>0</formula>
    </cfRule>
  </conditionalFormatting>
  <conditionalFormatting sqref="G14:G19">
    <cfRule type="cellIs" dxfId="239" priority="1" operator="equal">
      <formula>0</formula>
    </cfRule>
    <cfRule type="cellIs" dxfId="238" priority="2" operator="lessThan">
      <formula>0</formula>
    </cfRule>
    <cfRule type="cellIs" dxfId="237" priority="3" operator="greaterThan">
      <formula>0</formula>
    </cfRule>
  </conditionalFormatting>
  <conditionalFormatting sqref="G23:G31">
    <cfRule type="cellIs" dxfId="236" priority="7" operator="equal">
      <formula>0</formula>
    </cfRule>
    <cfRule type="cellIs" dxfId="235" priority="8" operator="lessThan">
      <formula>0</formula>
    </cfRule>
    <cfRule type="cellIs" dxfId="234" priority="9"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13" operator="containsText" id="{F795A89C-B0A9-C14A-ACC1-8C1AE4EA21B9}">
            <xm:f>NOT(ISERROR(SEARCH("-",G36)))</xm:f>
            <xm:f>"-"</xm:f>
            <x14:dxf>
              <font>
                <color rgb="FF9C0006"/>
              </font>
              <fill>
                <patternFill>
                  <bgColor rgb="FFFFC7CE"/>
                </patternFill>
              </fill>
            </x14:dxf>
          </x14:cfRule>
          <xm:sqref>G36</xm:sqref>
        </x14:conditionalFormatting>
      </x14:conditionalFormatting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69D64-5AAC-A842-9369-95BA93507497}">
  <sheetPr codeName="Sheet43"/>
  <dimension ref="A1:J51"/>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10" ht="18">
      <c r="A1" s="180" t="s">
        <v>576</v>
      </c>
      <c r="B1" s="13" t="s">
        <v>164</v>
      </c>
      <c r="C1" s="44" t="str">
        <f>"13/04/18" &amp; " - " &amp; "19/04/18"</f>
        <v>13/04/18 - 19/04/18</v>
      </c>
      <c r="D1" s="44" t="str">
        <f>TEXT(DATEVALUE(RIGHT(C1,8))+1,"dd/mm/yy")&amp; " - "&amp; TEXT(DATEVALUE(RIGHT(C1,8))+7,"dd/mm/yy")</f>
        <v>20/04/18 - 26/04/18</v>
      </c>
      <c r="E1" s="44" t="str">
        <f>TEXT(DATEVALUE(RIGHT(D1,8))+1,"dd/mm/yy")&amp; " - "&amp; TEXT(DATEVALUE(RIGHT(D1,8))+7,"dd/mm/yy")</f>
        <v>27/04/18 - 03/05/18</v>
      </c>
      <c r="F1" s="44" t="str">
        <f>TEXT(DATEVALUE(RIGHT(E1,8))+1,"dd/mm/yy")&amp; " - "&amp; TEXT(DATEVALUE(RIGHT(E1,8))+7,"dd/mm/yy")</f>
        <v>04/05/18 - 10/05/18</v>
      </c>
      <c r="G1" s="12" t="s">
        <v>10</v>
      </c>
      <c r="H1" s="9"/>
    </row>
    <row r="2" spans="1:10" ht="18">
      <c r="A2" s="13" t="s">
        <v>165</v>
      </c>
      <c r="B2" s="10">
        <f>SUM(B4,B13,B25)</f>
        <v>785.16</v>
      </c>
      <c r="C2" s="296">
        <f>SUM(C5:C18)</f>
        <v>1158.73</v>
      </c>
      <c r="D2" s="296">
        <f>SUM(D5:D18)</f>
        <v>583.16</v>
      </c>
      <c r="E2" s="296">
        <f>SUM(E5:E18)</f>
        <v>669.05000000000007</v>
      </c>
      <c r="F2" s="296">
        <f>SUM(F5:F18)</f>
        <v>610</v>
      </c>
      <c r="G2" s="10"/>
      <c r="H2" s="9"/>
    </row>
    <row r="3" spans="1:10" ht="18">
      <c r="A3" s="250"/>
      <c r="B3" s="10"/>
      <c r="C3" s="296"/>
      <c r="D3" s="296"/>
      <c r="E3" s="296"/>
      <c r="F3" s="296"/>
      <c r="G3" s="10"/>
      <c r="H3" s="9"/>
    </row>
    <row r="4" spans="1:10" ht="18">
      <c r="A4" s="178" t="s">
        <v>166</v>
      </c>
      <c r="B4" s="183">
        <f>SUM(B5:B9)</f>
        <v>520</v>
      </c>
      <c r="C4" s="296"/>
      <c r="D4" s="296"/>
      <c r="E4" s="296"/>
      <c r="F4" s="296"/>
      <c r="G4" s="184" t="str">
        <f>"Remaining: £" &amp; ROUND(SUM(G5:G9),2)</f>
        <v>Remaining: £-85</v>
      </c>
      <c r="H4" s="9"/>
    </row>
    <row r="5" spans="1:10" ht="18" outlineLevel="1">
      <c r="A5" s="31" t="s">
        <v>167</v>
      </c>
      <c r="B5" s="17">
        <v>120</v>
      </c>
      <c r="C5" s="10">
        <f>30+90</f>
        <v>120</v>
      </c>
      <c r="D5" s="10"/>
      <c r="E5" s="10">
        <v>30</v>
      </c>
      <c r="F5" s="10">
        <f>30+25</f>
        <v>55</v>
      </c>
      <c r="G5" s="10">
        <f t="shared" ref="G5:G9" si="0">IF(B5&lt;&gt;"",B5-C5-D5-E5-F5,"")</f>
        <v>-85</v>
      </c>
      <c r="H5" s="12" t="str">
        <f>A5</f>
        <v xml:space="preserve">Car Petrol </v>
      </c>
      <c r="I5">
        <f>IF(G5&lt;0,G5*-1,0)</f>
        <v>85</v>
      </c>
    </row>
    <row r="6" spans="1:10" ht="18" hidden="1" outlineLevel="1">
      <c r="A6" s="31" t="s">
        <v>168</v>
      </c>
      <c r="B6" s="17">
        <v>0</v>
      </c>
      <c r="C6" s="10"/>
      <c r="D6" s="10"/>
      <c r="E6" s="10"/>
      <c r="F6" s="10"/>
      <c r="G6" s="10">
        <f t="shared" si="0"/>
        <v>0</v>
      </c>
      <c r="H6" s="12" t="str">
        <f t="shared" ref="H6" si="1">A6</f>
        <v>Bike petrol</v>
      </c>
      <c r="I6">
        <f t="shared" ref="I6:I28" si="2">IF(G6&lt;0,G6*-1,0)</f>
        <v>0</v>
      </c>
    </row>
    <row r="7" spans="1:10" ht="18" outlineLevel="1">
      <c r="A7" s="31" t="s">
        <v>577</v>
      </c>
      <c r="B7" s="10">
        <v>200</v>
      </c>
      <c r="C7" s="10">
        <v>200</v>
      </c>
      <c r="D7" s="10"/>
      <c r="E7" s="10"/>
      <c r="F7" s="10"/>
      <c r="G7" s="10">
        <f t="shared" si="0"/>
        <v>0</v>
      </c>
      <c r="H7" s="12" t="str">
        <f>A7</f>
        <v>Food/Bunnies/Toiletries</v>
      </c>
      <c r="I7">
        <f t="shared" si="2"/>
        <v>0</v>
      </c>
    </row>
    <row r="8" spans="1:10" ht="18" outlineLevel="1">
      <c r="A8" s="31" t="s">
        <v>170</v>
      </c>
      <c r="B8" s="10">
        <v>100</v>
      </c>
      <c r="C8" s="10">
        <v>100</v>
      </c>
      <c r="D8" s="10"/>
      <c r="E8" s="10"/>
      <c r="F8" s="10"/>
      <c r="G8" s="10">
        <f t="shared" si="0"/>
        <v>0</v>
      </c>
      <c r="H8" s="12" t="str">
        <f>A8</f>
        <v>Gift Fund</v>
      </c>
      <c r="I8">
        <f t="shared" si="2"/>
        <v>0</v>
      </c>
    </row>
    <row r="9" spans="1:10" ht="18" outlineLevel="1">
      <c r="A9" s="31" t="s">
        <v>171</v>
      </c>
      <c r="B9" s="10">
        <v>100</v>
      </c>
      <c r="C9" s="10">
        <v>100</v>
      </c>
      <c r="D9" s="10"/>
      <c r="E9" s="10"/>
      <c r="F9" s="10"/>
      <c r="G9" s="10">
        <f t="shared" si="0"/>
        <v>0</v>
      </c>
      <c r="H9" s="12" t="str">
        <f>A9</f>
        <v>Holiday Fund</v>
      </c>
      <c r="I9">
        <f t="shared" si="2"/>
        <v>0</v>
      </c>
    </row>
    <row r="10" spans="1:10" ht="18" outlineLevel="1">
      <c r="A10" s="31" t="s">
        <v>172</v>
      </c>
      <c r="B10" s="10">
        <f>IF(B37 &lt;&gt; 0,B37-B4-B13-B25-I31,0)</f>
        <v>2366.4800000000005</v>
      </c>
      <c r="C10" s="10">
        <f>123.99+10+10+2.1+1.77+234.99+7+8+30+55.99+149.4+1.5</f>
        <v>634.74</v>
      </c>
      <c r="D10" s="10">
        <f>2.4+85.99+12.6+5.2+12.99+20.99+45+360</f>
        <v>545.16999999999996</v>
      </c>
      <c r="E10" s="10">
        <f>2.95+6.24+6+263.2+16.97+5.1+24.69+263.2+10+38+2.7</f>
        <v>639.05000000000007</v>
      </c>
      <c r="F10" s="10">
        <f>30+21.39+3.1+17.99+44.5+143.78+4.08+14.97+195+35.19+45</f>
        <v>555</v>
      </c>
      <c r="G10" s="10">
        <f>IF(B10&lt;&gt;"",B10-C10-D10-E10-F10,"")</f>
        <v>-7.4799999999994498</v>
      </c>
      <c r="H10" s="12" t="s">
        <v>172</v>
      </c>
      <c r="J10" s="11"/>
    </row>
    <row r="11" spans="1:10" ht="18" outlineLevel="1">
      <c r="A11" s="185"/>
      <c r="B11" s="10"/>
      <c r="C11" s="10"/>
      <c r="D11" s="10"/>
      <c r="E11" s="10"/>
      <c r="F11" s="10"/>
      <c r="G11" s="10"/>
      <c r="H11" s="9"/>
      <c r="I11">
        <f t="shared" si="2"/>
        <v>0</v>
      </c>
    </row>
    <row r="12" spans="1:10" ht="18">
      <c r="A12" s="185"/>
      <c r="B12" s="10"/>
      <c r="C12" s="10"/>
      <c r="D12" s="10"/>
      <c r="E12" s="10"/>
      <c r="F12" s="10"/>
      <c r="G12" s="10"/>
      <c r="H12" s="9"/>
      <c r="I12">
        <f t="shared" si="2"/>
        <v>0</v>
      </c>
      <c r="J12" s="11"/>
    </row>
    <row r="13" spans="1:10" ht="18">
      <c r="A13" s="177" t="s">
        <v>422</v>
      </c>
      <c r="B13" s="183">
        <f>SUM(B14:B23)</f>
        <v>65.160000000000011</v>
      </c>
      <c r="C13" s="10"/>
      <c r="D13" s="10"/>
      <c r="E13" s="10"/>
      <c r="F13" s="10"/>
      <c r="G13" s="184" t="str">
        <f>"Remaining: £" &amp; ROUND(SUM(G14:G23),2)</f>
        <v>Remaining: £7.99</v>
      </c>
      <c r="H13" s="9"/>
      <c r="I13">
        <f t="shared" si="2"/>
        <v>0</v>
      </c>
    </row>
    <row r="14" spans="1:10" ht="18" outlineLevel="1">
      <c r="A14" s="31" t="s">
        <v>580</v>
      </c>
      <c r="B14" s="211">
        <v>37.99</v>
      </c>
      <c r="C14" s="211"/>
      <c r="D14" s="211">
        <v>37.99</v>
      </c>
      <c r="E14" s="211"/>
      <c r="F14" s="211"/>
      <c r="G14" s="10">
        <f t="shared" ref="G14:G23" si="3">IF(B14&lt;&gt;"",B14-C14-D14-E14-F14,"")</f>
        <v>0</v>
      </c>
      <c r="H14" s="12" t="str">
        <f t="shared" ref="H14:H23" si="4">A14</f>
        <v>Phone  (21st)</v>
      </c>
      <c r="I14">
        <f t="shared" si="2"/>
        <v>0</v>
      </c>
    </row>
    <row r="15" spans="1:10" ht="18" outlineLevel="1">
      <c r="A15" s="31" t="s">
        <v>590</v>
      </c>
      <c r="B15" s="211">
        <v>0</v>
      </c>
      <c r="C15" s="211"/>
      <c r="D15" s="211"/>
      <c r="E15" s="211"/>
      <c r="F15" s="211"/>
      <c r="G15" s="10">
        <f t="shared" si="3"/>
        <v>0</v>
      </c>
      <c r="H15" s="12" t="str">
        <f t="shared" si="4"/>
        <v>Contingency</v>
      </c>
      <c r="I15">
        <f t="shared" si="2"/>
        <v>0</v>
      </c>
    </row>
    <row r="16" spans="1:10" ht="18" outlineLevel="1">
      <c r="A16" s="31" t="s">
        <v>591</v>
      </c>
      <c r="B16" s="211">
        <v>0</v>
      </c>
      <c r="C16" s="211"/>
      <c r="D16" s="211"/>
      <c r="E16" s="211"/>
      <c r="F16" s="211"/>
      <c r="G16" s="10">
        <f t="shared" si="3"/>
        <v>0</v>
      </c>
      <c r="H16" s="12" t="str">
        <f t="shared" si="4"/>
        <v>HTB</v>
      </c>
      <c r="I16">
        <f t="shared" si="2"/>
        <v>0</v>
      </c>
    </row>
    <row r="17" spans="1:9" ht="18" outlineLevel="1">
      <c r="A17" s="31" t="s">
        <v>587</v>
      </c>
      <c r="B17" s="211">
        <v>3.99</v>
      </c>
      <c r="C17" s="211">
        <v>3.99</v>
      </c>
      <c r="D17" s="211"/>
      <c r="E17" s="211"/>
      <c r="F17" s="211"/>
      <c r="G17" s="10">
        <f t="shared" si="3"/>
        <v>0</v>
      </c>
      <c r="H17" s="12" t="str">
        <f t="shared" si="4"/>
        <v>Sky Movies (14th)</v>
      </c>
      <c r="I17">
        <f t="shared" si="2"/>
        <v>0</v>
      </c>
    </row>
    <row r="18" spans="1:9" ht="18" outlineLevel="1">
      <c r="A18" s="31" t="s">
        <v>582</v>
      </c>
      <c r="B18" s="211">
        <v>7.99</v>
      </c>
      <c r="C18" s="211"/>
      <c r="D18" s="211"/>
      <c r="E18" s="211"/>
      <c r="F18" s="211"/>
      <c r="G18" s="10">
        <f t="shared" si="3"/>
        <v>7.99</v>
      </c>
      <c r="H18" s="12" t="str">
        <f t="shared" si="4"/>
        <v>Onedrive (6th)</v>
      </c>
      <c r="I18">
        <f t="shared" si="2"/>
        <v>0</v>
      </c>
    </row>
    <row r="19" spans="1:9" ht="18" outlineLevel="1">
      <c r="A19" s="31" t="s">
        <v>588</v>
      </c>
      <c r="B19" s="211">
        <v>15.19</v>
      </c>
      <c r="C19" s="211"/>
      <c r="D19" s="211">
        <v>15.19</v>
      </c>
      <c r="E19" s="211"/>
      <c r="F19" s="211"/>
      <c r="G19" s="10">
        <f t="shared" si="3"/>
        <v>0</v>
      </c>
      <c r="H19" s="12" t="str">
        <f t="shared" si="4"/>
        <v>Gym (15th)</v>
      </c>
      <c r="I19">
        <f t="shared" si="2"/>
        <v>0</v>
      </c>
    </row>
    <row r="20" spans="1:9" ht="18" outlineLevel="1">
      <c r="A20" s="31" t="s">
        <v>589</v>
      </c>
      <c r="B20" s="211">
        <v>0</v>
      </c>
      <c r="C20" s="211"/>
      <c r="D20" s="211"/>
      <c r="E20" s="211"/>
      <c r="F20" s="211"/>
      <c r="G20" s="10">
        <f t="shared" si="3"/>
        <v>0</v>
      </c>
      <c r="H20" s="12" t="str">
        <f t="shared" si="4"/>
        <v>Music</v>
      </c>
      <c r="I20">
        <f t="shared" si="2"/>
        <v>0</v>
      </c>
    </row>
    <row r="21" spans="1:9" ht="18" outlineLevel="1">
      <c r="A21" s="31" t="s">
        <v>380</v>
      </c>
      <c r="B21" s="211">
        <v>0</v>
      </c>
      <c r="C21" s="211"/>
      <c r="D21" s="211"/>
      <c r="E21" s="211"/>
      <c r="F21" s="211"/>
      <c r="G21" s="10">
        <f t="shared" si="3"/>
        <v>0</v>
      </c>
      <c r="H21" s="12" t="str">
        <f t="shared" si="4"/>
        <v>K Phone</v>
      </c>
      <c r="I21">
        <f t="shared" si="2"/>
        <v>0</v>
      </c>
    </row>
    <row r="22" spans="1:9" ht="18" outlineLevel="1">
      <c r="A22" s="31" t="s">
        <v>592</v>
      </c>
      <c r="B22" s="211">
        <v>0</v>
      </c>
      <c r="C22" s="211"/>
      <c r="D22" s="211"/>
      <c r="E22" s="211"/>
      <c r="F22" s="211"/>
      <c r="G22" s="10">
        <f t="shared" si="3"/>
        <v>0</v>
      </c>
      <c r="H22" s="12" t="str">
        <f t="shared" si="4"/>
        <v>K Lashes</v>
      </c>
      <c r="I22">
        <f t="shared" si="2"/>
        <v>0</v>
      </c>
    </row>
    <row r="23" spans="1:9" ht="18" outlineLevel="1">
      <c r="A23" s="31" t="s">
        <v>593</v>
      </c>
      <c r="B23" s="211">
        <v>0</v>
      </c>
      <c r="C23" s="211"/>
      <c r="D23" s="211"/>
      <c r="E23" s="211"/>
      <c r="F23" s="211"/>
      <c r="G23" s="10">
        <f t="shared" si="3"/>
        <v>0</v>
      </c>
      <c r="H23" s="12" t="str">
        <f t="shared" si="4"/>
        <v>K Gym</v>
      </c>
      <c r="I23">
        <f t="shared" si="2"/>
        <v>0</v>
      </c>
    </row>
    <row r="24" spans="1:9" ht="18">
      <c r="A24" s="185"/>
      <c r="B24" s="10"/>
      <c r="C24" s="10"/>
      <c r="D24" s="10"/>
      <c r="E24" s="10"/>
      <c r="F24" s="10"/>
      <c r="G24" s="10"/>
      <c r="H24" s="9"/>
      <c r="I24">
        <f t="shared" si="2"/>
        <v>0</v>
      </c>
    </row>
    <row r="25" spans="1:9" ht="18">
      <c r="A25" s="177" t="s">
        <v>424</v>
      </c>
      <c r="B25" s="183">
        <v>200</v>
      </c>
      <c r="C25" s="10"/>
      <c r="D25" s="10"/>
      <c r="E25" s="10"/>
      <c r="F25" s="10"/>
      <c r="G25" s="184" t="str">
        <f>"Remaining: £" &amp; ROUND(SUM(G26:G28),0)</f>
        <v>Remaining: £-40</v>
      </c>
      <c r="H25" s="9"/>
      <c r="I25">
        <f t="shared" si="2"/>
        <v>0</v>
      </c>
    </row>
    <row r="26" spans="1:9" ht="18" outlineLevel="1">
      <c r="A26" s="31" t="s">
        <v>182</v>
      </c>
      <c r="B26" s="10">
        <v>0</v>
      </c>
      <c r="C26" s="10"/>
      <c r="D26" s="10"/>
      <c r="E26" s="10"/>
      <c r="F26" s="10"/>
      <c r="G26" s="10">
        <f>IF(B26&lt;&gt;"",B26-C26-D26-E26-F26,"")</f>
        <v>0</v>
      </c>
      <c r="H26" s="12" t="str">
        <f>A26</f>
        <v>Amazon Prime</v>
      </c>
      <c r="I26">
        <f t="shared" si="2"/>
        <v>0</v>
      </c>
    </row>
    <row r="27" spans="1:9" ht="18" outlineLevel="1">
      <c r="A27" s="31" t="s">
        <v>417</v>
      </c>
      <c r="B27" s="10">
        <v>0</v>
      </c>
      <c r="C27" s="10"/>
      <c r="D27" s="10"/>
      <c r="E27" s="10"/>
      <c r="F27" s="10"/>
      <c r="G27" s="10">
        <f t="shared" ref="G27:G29" si="5">IF(B27&lt;&gt;"",B27-C27-D27-E27-F27,"")</f>
        <v>0</v>
      </c>
      <c r="H27" s="12" t="str">
        <f t="shared" ref="H27:H29" si="6">A27</f>
        <v>Travel Ins.</v>
      </c>
      <c r="I27">
        <f t="shared" si="2"/>
        <v>0</v>
      </c>
    </row>
    <row r="28" spans="1:9" ht="18" outlineLevel="1">
      <c r="A28" s="31" t="s">
        <v>569</v>
      </c>
      <c r="B28" s="10">
        <v>200</v>
      </c>
      <c r="C28" s="10">
        <f>200+40</f>
        <v>240</v>
      </c>
      <c r="D28" s="10"/>
      <c r="E28" s="10"/>
      <c r="F28" s="10"/>
      <c r="G28" s="10">
        <f t="shared" si="5"/>
        <v>-40</v>
      </c>
      <c r="H28" s="12" t="str">
        <f t="shared" si="6"/>
        <v>Vehicles</v>
      </c>
      <c r="I28">
        <f t="shared" si="2"/>
        <v>40</v>
      </c>
    </row>
    <row r="29" spans="1:9" ht="19.5" hidden="1" customHeight="1" outlineLevel="2">
      <c r="A29" s="31" t="s">
        <v>570</v>
      </c>
      <c r="B29" s="10">
        <f>1500/12</f>
        <v>125</v>
      </c>
      <c r="C29" s="10"/>
      <c r="D29" s="10"/>
      <c r="E29" s="10"/>
      <c r="F29" s="10"/>
      <c r="G29" s="10">
        <f t="shared" si="5"/>
        <v>125</v>
      </c>
      <c r="H29" s="12" t="str">
        <f t="shared" si="6"/>
        <v>Car Ins. / tax</v>
      </c>
    </row>
    <row r="30" spans="1:9" ht="19.5" hidden="1" customHeight="1" outlineLevel="2">
      <c r="A30" s="31" t="s">
        <v>571</v>
      </c>
      <c r="B30" s="10">
        <f>335/12</f>
        <v>27.916666666666668</v>
      </c>
      <c r="C30" s="10"/>
      <c r="D30" s="10"/>
      <c r="E30" s="10"/>
      <c r="F30" s="10"/>
      <c r="G30" s="10"/>
      <c r="H30" s="12"/>
    </row>
    <row r="31" spans="1:9" ht="18" outlineLevel="1" collapsed="1">
      <c r="A31" s="208"/>
      <c r="B31" s="10"/>
      <c r="C31" s="10"/>
      <c r="D31" s="10"/>
      <c r="E31" s="10"/>
      <c r="F31" s="10"/>
      <c r="G31" s="210"/>
      <c r="H31" s="48"/>
      <c r="I31">
        <f>SUM(I5:I28)</f>
        <v>125</v>
      </c>
    </row>
    <row r="32" spans="1:9" ht="18">
      <c r="A32" s="208"/>
      <c r="B32" s="10"/>
      <c r="C32" s="10"/>
      <c r="D32" s="10"/>
      <c r="E32" s="10"/>
      <c r="F32" s="10"/>
      <c r="G32" s="210"/>
      <c r="H32" s="48"/>
    </row>
    <row r="33" spans="1:8" ht="18">
      <c r="A33" s="177" t="s">
        <v>183</v>
      </c>
      <c r="B33" s="183" t="str">
        <f>"£"&amp; B34 &amp; " / " &amp; "£" &amp;B35</f>
        <v>£989.45 / £1743.98</v>
      </c>
      <c r="C33" s="10"/>
      <c r="D33" s="10"/>
      <c r="E33" s="10"/>
      <c r="F33" s="10"/>
      <c r="G33" s="10"/>
      <c r="H33" s="9"/>
    </row>
    <row r="34" spans="1:8" ht="18" outlineLevel="1">
      <c r="A34" s="31" t="s">
        <v>184</v>
      </c>
      <c r="B34" s="10">
        <f>SUM(C34:F34)</f>
        <v>989.45</v>
      </c>
      <c r="C34" s="10">
        <v>500</v>
      </c>
      <c r="D34" s="10"/>
      <c r="E34" s="10">
        <f>117.12+30</f>
        <v>147.12</v>
      </c>
      <c r="F34" s="10">
        <v>342.33</v>
      </c>
      <c r="G34" s="10"/>
      <c r="H34" s="9"/>
    </row>
    <row r="35" spans="1:8" ht="18" outlineLevel="1">
      <c r="A35" s="31" t="s">
        <v>185</v>
      </c>
      <c r="B35" s="10">
        <f>SUM(C35:F35)</f>
        <v>1743.9800000000002</v>
      </c>
      <c r="C35" s="10">
        <f>234.99+20.99+55+38</f>
        <v>348.98</v>
      </c>
      <c r="D35" s="10">
        <f>20.99+85.99+360</f>
        <v>466.98</v>
      </c>
      <c r="E35" s="10">
        <f>263.2+24.69+30+10+16.97+38</f>
        <v>382.86</v>
      </c>
      <c r="F35" s="10">
        <f>21.39+16.25+4.08+14.97+143.78+44.5+195+45+35.19+25</f>
        <v>545.16000000000008</v>
      </c>
      <c r="G35" s="10"/>
      <c r="H35" s="9"/>
    </row>
    <row r="36" spans="1:8" ht="18">
      <c r="A36" s="185"/>
      <c r="B36" s="10"/>
      <c r="C36" s="10"/>
      <c r="D36" s="10"/>
      <c r="E36" s="10"/>
      <c r="F36" s="10"/>
      <c r="G36" s="10"/>
      <c r="H36" s="9"/>
    </row>
    <row r="37" spans="1:8" ht="18">
      <c r="A37" s="179" t="s">
        <v>186</v>
      </c>
      <c r="B37" s="296">
        <f>SUM(C37:F37)+B35-B34</f>
        <v>3276.6400000000003</v>
      </c>
      <c r="C37" s="26">
        <f>305.69+1335.06</f>
        <v>1640.75</v>
      </c>
      <c r="D37" s="26">
        <f>75+106.05</f>
        <v>181.05</v>
      </c>
      <c r="E37" s="27">
        <f>6.43+8.35+80+263.2</f>
        <v>357.98</v>
      </c>
      <c r="F37" s="36">
        <v>342.33</v>
      </c>
      <c r="G37" s="46" t="str">
        <f>ROUND(SUM(G5:G10)+SUM(G14:G23)+SUM(G26:G28),2)+I31 &amp; " / " &amp; B37</f>
        <v>0.510000000000005 / 3276.64</v>
      </c>
      <c r="H37" s="10"/>
    </row>
    <row r="38" spans="1:8" ht="18">
      <c r="A38" s="24"/>
      <c r="B38" s="10"/>
      <c r="C38" s="49"/>
      <c r="D38" s="26"/>
      <c r="E38" s="23"/>
      <c r="F38" s="25"/>
      <c r="G38" s="79" t="str">
        <f>IF(ROUND(SUM(G5:G18),2)&gt;0,IF(ROUND(SUM(G5:G18),2)&lt;ROUND(SUMIF(G5:G18,"&gt;0"),2),"NOT ENOUGH MONEY",""),"NO MONEY")</f>
        <v>NO MONEY</v>
      </c>
      <c r="H38" s="11"/>
    </row>
    <row r="39" spans="1:8" ht="18">
      <c r="A39" s="17"/>
      <c r="B39" s="17"/>
      <c r="C39" s="59"/>
      <c r="D39" s="16"/>
      <c r="E39" s="16"/>
      <c r="F39" s="16"/>
    </row>
    <row r="40" spans="1:8" ht="18">
      <c r="A40" s="17"/>
      <c r="B40" s="17"/>
      <c r="C40" s="39"/>
      <c r="D40" s="39"/>
      <c r="E40" s="16"/>
      <c r="F40" s="18"/>
    </row>
    <row r="41" spans="1:8" ht="18">
      <c r="A41" s="17"/>
      <c r="B41" s="17"/>
      <c r="C41" s="10"/>
      <c r="D41" s="16"/>
      <c r="E41" s="21"/>
      <c r="F41" s="18"/>
      <c r="G41" s="11"/>
      <c r="H41" s="11"/>
    </row>
    <row r="42" spans="1:8" ht="18">
      <c r="A42" s="20"/>
      <c r="B42" s="11"/>
      <c r="D42" s="42"/>
      <c r="G42" s="11"/>
    </row>
    <row r="43" spans="1:8">
      <c r="B43" s="11"/>
      <c r="E43" s="11"/>
      <c r="G43" s="11"/>
    </row>
    <row r="44" spans="1:8" ht="18">
      <c r="B44" s="10"/>
      <c r="E44" s="11"/>
      <c r="G44" s="11"/>
    </row>
    <row r="45" spans="1:8" ht="18">
      <c r="B45" s="10"/>
      <c r="E45" s="11"/>
      <c r="G45" s="11"/>
    </row>
    <row r="46" spans="1:8" ht="18">
      <c r="B46" s="10"/>
    </row>
    <row r="47" spans="1:8" ht="18">
      <c r="B47" s="10"/>
    </row>
    <row r="48" spans="1:8" ht="18">
      <c r="B48" s="10"/>
    </row>
    <row r="49" spans="2:2" ht="18">
      <c r="B49" s="10"/>
    </row>
    <row r="50" spans="2:2" ht="18">
      <c r="B50" s="10"/>
    </row>
    <row r="51" spans="2:2" ht="18">
      <c r="B51" s="10"/>
    </row>
  </sheetData>
  <dataConsolidate/>
  <conditionalFormatting sqref="G5:G10">
    <cfRule type="cellIs" dxfId="232" priority="14" operator="lessThan">
      <formula>0</formula>
    </cfRule>
    <cfRule type="cellIs" dxfId="231" priority="15" operator="equal">
      <formula>0</formula>
    </cfRule>
    <cfRule type="cellIs" dxfId="230" priority="16" operator="greaterThan">
      <formula>0</formula>
    </cfRule>
  </conditionalFormatting>
  <conditionalFormatting sqref="G14:G23">
    <cfRule type="cellIs" dxfId="229" priority="4" operator="equal">
      <formula>0</formula>
    </cfRule>
    <cfRule type="cellIs" dxfId="228" priority="5" operator="lessThan">
      <formula>0</formula>
    </cfRule>
    <cfRule type="cellIs" dxfId="227" priority="6" operator="greaterThan">
      <formula>0</formula>
    </cfRule>
  </conditionalFormatting>
  <conditionalFormatting sqref="G26:G32">
    <cfRule type="cellIs" dxfId="226" priority="7" operator="equal">
      <formula>0</formula>
    </cfRule>
    <cfRule type="cellIs" dxfId="225" priority="8" operator="lessThan">
      <formula>0</formula>
    </cfRule>
    <cfRule type="cellIs" dxfId="224" priority="9" operator="greaterThan">
      <formula>0</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13" operator="containsText" id="{86E22564-1968-BE4F-B787-CC29A2E30712}">
            <xm:f>NOT(ISERROR(SEARCH("-",G37)))</xm:f>
            <xm:f>"-"</xm:f>
            <x14:dxf>
              <font>
                <color rgb="FF9C0006"/>
              </font>
              <fill>
                <patternFill>
                  <bgColor rgb="FFFFC7CE"/>
                </patternFill>
              </fill>
            </x14:dxf>
          </x14:cfRule>
          <xm:sqref>G37</xm:sqref>
        </x14:conditionalFormatting>
      </x14:conditionalFormatting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91A5-FB7B-0742-9988-B018EAC71F3D}">
  <sheetPr codeName="Sheet44"/>
  <dimension ref="A1:J64"/>
  <sheetViews>
    <sheetView workbookViewId="0"/>
  </sheetViews>
  <sheetFormatPr defaultColWidth="11.33203125" defaultRowHeight="14.4" outlineLevelRow="3"/>
  <cols>
    <col min="1" max="1" width="23.109375" customWidth="1"/>
    <col min="2" max="2" width="28.109375" customWidth="1"/>
    <col min="3" max="6" width="25" customWidth="1"/>
    <col min="7" max="7" width="19.44140625" customWidth="1"/>
    <col min="8" max="8" width="15.44140625" customWidth="1"/>
  </cols>
  <sheetData>
    <row r="1" spans="1:10" ht="18">
      <c r="A1" s="180" t="s">
        <v>576</v>
      </c>
      <c r="B1" s="13" t="s">
        <v>164</v>
      </c>
      <c r="C1" s="44" t="str">
        <f>"15/05/18" &amp; " - " &amp; "21/05/18"</f>
        <v>15/05/18 - 21/05/18</v>
      </c>
      <c r="D1" s="44" t="str">
        <f>TEXT(DATEVALUE(RIGHT(C1,8))+1,"dd/mm/yy")&amp; " - "&amp; TEXT(DATEVALUE(RIGHT(C1,8))+7,"dd/mm/yy")</f>
        <v>22/05/18 - 28/05/18</v>
      </c>
      <c r="E1" s="44" t="str">
        <f>TEXT(DATEVALUE(RIGHT(D1,8))+1,"dd/mm/yy")&amp; " - "&amp; TEXT(DATEVALUE(RIGHT(D1,8))+7,"dd/mm/yy")</f>
        <v>29/05/18 - 04/06/18</v>
      </c>
      <c r="F1" s="44" t="str">
        <f>TEXT(DATEVALUE(RIGHT(E1,8))+1,"dd/mm/yy")&amp; " - "&amp; TEXT(DATEVALUE(RIGHT(E1,8))+7,"dd/mm/yy")</f>
        <v>05/06/18 - 11/06/18</v>
      </c>
      <c r="G1" s="12" t="s">
        <v>10</v>
      </c>
      <c r="H1" s="9"/>
    </row>
    <row r="2" spans="1:10" ht="18">
      <c r="A2" s="13" t="s">
        <v>165</v>
      </c>
      <c r="B2" s="10">
        <f>SUM(B4,B12,B42)</f>
        <v>1843.7599999999998</v>
      </c>
      <c r="C2" s="296">
        <f>SUM(C5:C24)</f>
        <v>3582.33</v>
      </c>
      <c r="D2" s="296">
        <f>SUM(D5:D24)</f>
        <v>684.42</v>
      </c>
      <c r="E2" s="296">
        <f>SUM(E5:E24)</f>
        <v>995.0200000000001</v>
      </c>
      <c r="F2" s="296">
        <f>SUM(F5:F24)</f>
        <v>3.5</v>
      </c>
      <c r="G2" s="10"/>
      <c r="H2" s="9"/>
    </row>
    <row r="3" spans="1:10" ht="18">
      <c r="A3" s="250"/>
      <c r="B3" s="10"/>
      <c r="C3" s="296"/>
      <c r="D3" s="296"/>
      <c r="E3" s="296"/>
      <c r="F3" s="296"/>
      <c r="G3" s="10"/>
      <c r="H3" s="9"/>
    </row>
    <row r="4" spans="1:10" ht="18">
      <c r="A4" s="178" t="s">
        <v>166</v>
      </c>
      <c r="B4" s="183">
        <f>SUM(B5:B8)</f>
        <v>825</v>
      </c>
      <c r="C4" s="296"/>
      <c r="D4" s="296"/>
      <c r="E4" s="296"/>
      <c r="F4" s="296"/>
      <c r="G4" s="184">
        <f>ROUND(SUM(G5:G8),2)</f>
        <v>125</v>
      </c>
      <c r="H4" s="9" t="s">
        <v>10</v>
      </c>
    </row>
    <row r="5" spans="1:10" ht="18" outlineLevel="1">
      <c r="A5" s="105" t="s">
        <v>167</v>
      </c>
      <c r="B5" s="17">
        <v>250</v>
      </c>
      <c r="C5" s="10">
        <v>150</v>
      </c>
      <c r="D5" s="10"/>
      <c r="E5" s="10">
        <v>100</v>
      </c>
      <c r="F5" s="10"/>
      <c r="G5" s="10">
        <f t="shared" ref="G5:G8" si="0">IF(B5&lt;&gt;"",B5-C5-D5-E5-F5,"")</f>
        <v>0</v>
      </c>
      <c r="H5" s="12" t="str">
        <f>A5</f>
        <v xml:space="preserve">Car Petrol </v>
      </c>
    </row>
    <row r="6" spans="1:10" ht="18" outlineLevel="1">
      <c r="A6" s="105" t="s">
        <v>577</v>
      </c>
      <c r="B6" s="10">
        <v>250</v>
      </c>
      <c r="C6" s="10">
        <v>250</v>
      </c>
      <c r="D6" s="10"/>
      <c r="E6" s="10"/>
      <c r="F6" s="10"/>
      <c r="G6" s="10">
        <f t="shared" si="0"/>
        <v>0</v>
      </c>
      <c r="H6" s="12" t="str">
        <f>A6</f>
        <v>Food/Bunnies/Toiletries</v>
      </c>
    </row>
    <row r="7" spans="1:10" ht="18" outlineLevel="1">
      <c r="A7" s="105" t="s">
        <v>170</v>
      </c>
      <c r="B7" s="10">
        <v>125</v>
      </c>
      <c r="C7" s="10"/>
      <c r="D7" s="10"/>
      <c r="E7" s="10"/>
      <c r="F7" s="10"/>
      <c r="G7" s="10">
        <f t="shared" si="0"/>
        <v>125</v>
      </c>
      <c r="H7" s="12" t="str">
        <f>A7</f>
        <v>Gift Fund</v>
      </c>
    </row>
    <row r="8" spans="1:10" ht="18" outlineLevel="1">
      <c r="A8" s="105" t="s">
        <v>171</v>
      </c>
      <c r="B8" s="10">
        <v>200</v>
      </c>
      <c r="C8" s="10">
        <v>200</v>
      </c>
      <c r="D8" s="10"/>
      <c r="E8" s="10"/>
      <c r="F8" s="10"/>
      <c r="G8" s="10">
        <f t="shared" si="0"/>
        <v>0</v>
      </c>
      <c r="H8" s="12" t="str">
        <f>A8</f>
        <v>Holiday Fund</v>
      </c>
    </row>
    <row r="9" spans="1:10" ht="18" outlineLevel="1">
      <c r="A9" s="105" t="s">
        <v>172</v>
      </c>
      <c r="B9" s="10">
        <f>IF(B50 &lt;&gt; 0,B50-B4-B12-B42,0)</f>
        <v>3424.3299999999995</v>
      </c>
      <c r="C9" s="10">
        <f>100+0.5+1000+500+150+200</f>
        <v>1950.5</v>
      </c>
      <c r="D9" s="10">
        <f>413+200+24.68+0.76</f>
        <v>638.43999999999994</v>
      </c>
      <c r="E9" s="10">
        <f>106.25+100+261.25+30+65+59.97+29.99+3+3.3+66.98+123.18+7.1+39</f>
        <v>895.0200000000001</v>
      </c>
      <c r="F9" s="10">
        <v>3.5</v>
      </c>
      <c r="G9" s="10">
        <f>IF(B9&lt;&gt;"",B9-C9-D9-E9-F9,"")</f>
        <v>-63.130000000000564</v>
      </c>
      <c r="H9" s="12" t="s">
        <v>172</v>
      </c>
      <c r="I9" s="11"/>
      <c r="J9" s="11"/>
    </row>
    <row r="10" spans="1:10" ht="18" outlineLevel="1">
      <c r="A10" s="185"/>
      <c r="B10" s="10"/>
      <c r="C10" s="10"/>
      <c r="D10" s="10"/>
      <c r="E10" s="10"/>
      <c r="F10" s="10"/>
      <c r="G10" s="10"/>
      <c r="H10" s="9"/>
    </row>
    <row r="11" spans="1:10" ht="18">
      <c r="A11" s="185"/>
      <c r="B11" s="10"/>
      <c r="C11" s="10"/>
      <c r="D11" s="10"/>
      <c r="E11" s="10"/>
      <c r="F11" s="10"/>
      <c r="G11" s="10"/>
      <c r="H11" s="9"/>
      <c r="J11" s="11"/>
    </row>
    <row r="12" spans="1:10" ht="18">
      <c r="A12" s="177" t="s">
        <v>422</v>
      </c>
      <c r="B12" s="183">
        <f>B13+B21+B29+B33+B37</f>
        <v>845.87</v>
      </c>
      <c r="C12" s="10"/>
      <c r="D12" s="10"/>
      <c r="E12" s="10"/>
      <c r="F12" s="10"/>
      <c r="G12" s="234">
        <f>ROUND(SUM(G13,G21,G29,G33,G37),2)</f>
        <v>281.98</v>
      </c>
      <c r="H12" s="237" t="s">
        <v>10</v>
      </c>
      <c r="I12" s="11">
        <f>G12-G29-G37</f>
        <v>281.98</v>
      </c>
    </row>
    <row r="13" spans="1:10" ht="18">
      <c r="A13" s="105" t="s">
        <v>594</v>
      </c>
      <c r="B13" s="183">
        <f>SUM(B14:B19)</f>
        <v>777.92</v>
      </c>
      <c r="C13" s="10">
        <f>SUM(C14:C19)</f>
        <v>513.91999999999996</v>
      </c>
      <c r="D13" s="10"/>
      <c r="E13" s="10"/>
      <c r="F13" s="10"/>
      <c r="G13" s="235">
        <f>IF(B13&lt;&gt;"",SUM(G14:G19),0)</f>
        <v>264</v>
      </c>
      <c r="H13" s="236" t="str">
        <f t="shared" ref="H13:H33" si="1">A13</f>
        <v>House Outgoings</v>
      </c>
      <c r="I13" s="11">
        <f>I12+G42</f>
        <v>370.89</v>
      </c>
    </row>
    <row r="14" spans="1:10" ht="18" outlineLevel="2">
      <c r="A14" s="13" t="s">
        <v>595</v>
      </c>
      <c r="B14" s="184">
        <v>452.64</v>
      </c>
      <c r="C14" s="10">
        <v>452.64</v>
      </c>
      <c r="D14" s="10"/>
      <c r="E14" s="10"/>
      <c r="F14" s="10"/>
      <c r="G14" s="10">
        <f t="shared" ref="G14:G37" si="2">IF(B14&lt;&gt;"",B14-C14-D14-E14-F14,"")</f>
        <v>0</v>
      </c>
      <c r="H14" s="12" t="str">
        <f t="shared" si="1"/>
        <v>Mortgage</v>
      </c>
    </row>
    <row r="15" spans="1:10" ht="18" outlineLevel="2">
      <c r="A15" s="13" t="s">
        <v>596</v>
      </c>
      <c r="B15" s="184">
        <v>130</v>
      </c>
      <c r="C15" s="10"/>
      <c r="D15" s="10"/>
      <c r="E15" s="10"/>
      <c r="F15" s="10"/>
      <c r="G15" s="10">
        <f t="shared" si="2"/>
        <v>130</v>
      </c>
      <c r="H15" s="12" t="str">
        <f t="shared" si="1"/>
        <v>Council tax</v>
      </c>
    </row>
    <row r="16" spans="1:10" ht="18" outlineLevel="2">
      <c r="A16" s="13" t="s">
        <v>597</v>
      </c>
      <c r="B16" s="184">
        <v>34</v>
      </c>
      <c r="C16" s="10"/>
      <c r="D16" s="10"/>
      <c r="E16" s="10"/>
      <c r="F16" s="10"/>
      <c r="G16" s="10">
        <f t="shared" si="2"/>
        <v>34</v>
      </c>
      <c r="H16" s="12" t="str">
        <f t="shared" si="1"/>
        <v>Water</v>
      </c>
    </row>
    <row r="17" spans="1:9" ht="18" outlineLevel="2">
      <c r="A17" s="13" t="s">
        <v>598</v>
      </c>
      <c r="B17" s="184">
        <v>55</v>
      </c>
      <c r="C17" s="10"/>
      <c r="D17" s="10"/>
      <c r="E17" s="10"/>
      <c r="F17" s="10"/>
      <c r="G17" s="10">
        <f t="shared" si="2"/>
        <v>55</v>
      </c>
      <c r="H17" s="12" t="str">
        <f t="shared" si="1"/>
        <v>Electricity</v>
      </c>
    </row>
    <row r="18" spans="1:9" ht="18" outlineLevel="2">
      <c r="A18" s="13" t="s">
        <v>599</v>
      </c>
      <c r="B18" s="184">
        <v>45</v>
      </c>
      <c r="C18" s="10"/>
      <c r="D18" s="10"/>
      <c r="E18" s="10"/>
      <c r="F18" s="10"/>
      <c r="G18" s="10">
        <f t="shared" si="2"/>
        <v>45</v>
      </c>
      <c r="H18" s="12" t="str">
        <f t="shared" si="1"/>
        <v>Gas</v>
      </c>
    </row>
    <row r="19" spans="1:9" ht="18" outlineLevel="2">
      <c r="A19" s="13" t="s">
        <v>600</v>
      </c>
      <c r="B19" s="184">
        <f>4.52+15.97+8.56+16.1+16.13</f>
        <v>61.28</v>
      </c>
      <c r="C19" s="10">
        <f>8.56+15.97+4.52+16.13+16.1</f>
        <v>61.28</v>
      </c>
      <c r="D19" s="10"/>
      <c r="E19" s="10"/>
      <c r="F19" s="10"/>
      <c r="G19" s="10">
        <f t="shared" si="2"/>
        <v>0</v>
      </c>
      <c r="H19" s="12" t="str">
        <f t="shared" si="1"/>
        <v>Insurance</v>
      </c>
    </row>
    <row r="20" spans="1:9" s="747" customFormat="1" ht="18" outlineLevel="2">
      <c r="A20" s="747" t="str">
        <f>IF(B20&lt;&gt;"",B20-C20-D20-E20-F20,"")</f>
        <v/>
      </c>
    </row>
    <row r="21" spans="1:9" ht="18" outlineLevel="1">
      <c r="A21" s="105" t="s">
        <v>601</v>
      </c>
      <c r="B21" s="296">
        <f>SUM(B22:B27)</f>
        <v>67.95</v>
      </c>
      <c r="C21" s="10"/>
      <c r="D21" s="10"/>
      <c r="E21" s="10"/>
      <c r="F21" s="10"/>
      <c r="G21" s="235">
        <f>IF(B21&lt;&gt;"",SUM(G22:G27),0)</f>
        <v>17.980000000000008</v>
      </c>
      <c r="H21" s="236" t="str">
        <f t="shared" si="1"/>
        <v>Tech</v>
      </c>
      <c r="I21" s="11">
        <f>I13-394.76</f>
        <v>-23.870000000000005</v>
      </c>
    </row>
    <row r="22" spans="1:9" ht="18" outlineLevel="2">
      <c r="A22" s="13" t="s">
        <v>602</v>
      </c>
      <c r="B22" s="33">
        <f>35.99+9.99</f>
        <v>45.980000000000004</v>
      </c>
      <c r="C22" s="10"/>
      <c r="D22" s="10">
        <v>45.98</v>
      </c>
      <c r="E22" s="10"/>
      <c r="F22" s="10"/>
      <c r="G22" s="10">
        <f t="shared" si="2"/>
        <v>7.1054273576010019E-15</v>
      </c>
      <c r="H22" s="12" t="str">
        <f t="shared" si="1"/>
        <v>Broadband / TV</v>
      </c>
    </row>
    <row r="23" spans="1:9" ht="18" outlineLevel="2">
      <c r="A23" s="13" t="s">
        <v>587</v>
      </c>
      <c r="B23" s="33">
        <v>3.99</v>
      </c>
      <c r="C23" s="10">
        <v>3.99</v>
      </c>
      <c r="D23" s="10"/>
      <c r="E23" s="10"/>
      <c r="F23" s="10"/>
      <c r="G23" s="10">
        <f t="shared" si="2"/>
        <v>0</v>
      </c>
      <c r="H23" s="12" t="str">
        <f t="shared" si="1"/>
        <v>Sky Movies (14th)</v>
      </c>
    </row>
    <row r="24" spans="1:9" ht="18" outlineLevel="2">
      <c r="A24" s="13" t="s">
        <v>582</v>
      </c>
      <c r="B24" s="33">
        <v>7.99</v>
      </c>
      <c r="C24" s="10"/>
      <c r="D24" s="10"/>
      <c r="E24" s="10"/>
      <c r="F24" s="10"/>
      <c r="G24" s="10">
        <f t="shared" si="2"/>
        <v>7.99</v>
      </c>
      <c r="H24" s="12" t="str">
        <f t="shared" si="1"/>
        <v>Onedrive (6th)</v>
      </c>
    </row>
    <row r="25" spans="1:9" ht="18" outlineLevel="2">
      <c r="A25" s="13" t="s">
        <v>589</v>
      </c>
      <c r="B25" s="33">
        <v>9.99</v>
      </c>
      <c r="C25" s="10"/>
      <c r="D25" s="10"/>
      <c r="E25" s="10"/>
      <c r="F25" s="10"/>
      <c r="G25" s="10">
        <f t="shared" si="2"/>
        <v>9.99</v>
      </c>
      <c r="H25" s="12" t="str">
        <f>A25</f>
        <v>Music</v>
      </c>
    </row>
    <row r="26" spans="1:9" ht="18" outlineLevel="2" collapsed="1">
      <c r="A26" s="13" t="s">
        <v>603</v>
      </c>
      <c r="B26" s="33">
        <v>0</v>
      </c>
      <c r="C26" s="10"/>
      <c r="D26" s="10"/>
      <c r="E26" s="10"/>
      <c r="F26" s="10"/>
      <c r="G26" s="10">
        <f t="shared" si="2"/>
        <v>0</v>
      </c>
      <c r="H26" s="12" t="str">
        <f>A26</f>
        <v>Matt Phone  (21st)</v>
      </c>
    </row>
    <row r="27" spans="1:9" ht="18" outlineLevel="2">
      <c r="A27" s="13" t="s">
        <v>380</v>
      </c>
      <c r="B27" s="33">
        <v>0</v>
      </c>
      <c r="C27" s="10"/>
      <c r="D27" s="10"/>
      <c r="E27" s="10"/>
      <c r="F27" s="10"/>
      <c r="G27" s="10">
        <f t="shared" si="2"/>
        <v>0</v>
      </c>
      <c r="H27" s="12" t="str">
        <f>A27</f>
        <v>K Phone</v>
      </c>
    </row>
    <row r="28" spans="1:9" s="747" customFormat="1" ht="18" outlineLevel="2">
      <c r="A28" s="747" t="str">
        <f>IF(B28&lt;&gt;"",B28-C28-D28-E28-F28,"")</f>
        <v/>
      </c>
    </row>
    <row r="29" spans="1:9" ht="18" outlineLevel="1">
      <c r="A29" s="105" t="s">
        <v>604</v>
      </c>
      <c r="B29" s="296">
        <f>SUM(B30:B31)</f>
        <v>0</v>
      </c>
      <c r="C29" s="10"/>
      <c r="D29" s="10"/>
      <c r="E29" s="10"/>
      <c r="F29" s="10"/>
      <c r="G29" s="235">
        <f>IF(B29&lt;&gt;"",SUM(G30:G31),0)</f>
        <v>0</v>
      </c>
      <c r="H29" s="236" t="str">
        <f t="shared" si="1"/>
        <v>Health</v>
      </c>
    </row>
    <row r="30" spans="1:9" ht="18" hidden="1" outlineLevel="2" collapsed="1">
      <c r="A30" s="13" t="s">
        <v>588</v>
      </c>
      <c r="B30" s="33">
        <v>0</v>
      </c>
      <c r="C30" s="10"/>
      <c r="D30" s="10"/>
      <c r="E30" s="10"/>
      <c r="F30" s="10"/>
      <c r="G30" s="10">
        <f t="shared" si="2"/>
        <v>0</v>
      </c>
      <c r="H30" s="12" t="str">
        <f>A30</f>
        <v>Gym (15th)</v>
      </c>
    </row>
    <row r="31" spans="1:9" ht="18" hidden="1" outlineLevel="2">
      <c r="A31" s="13" t="s">
        <v>593</v>
      </c>
      <c r="B31" s="33">
        <v>0</v>
      </c>
      <c r="C31" s="10"/>
      <c r="D31" s="10"/>
      <c r="E31" s="10"/>
      <c r="F31" s="10"/>
      <c r="G31" s="10">
        <f t="shared" si="2"/>
        <v>0</v>
      </c>
      <c r="H31" s="12" t="str">
        <f t="shared" si="1"/>
        <v>K Gym</v>
      </c>
    </row>
    <row r="32" spans="1:9" s="747" customFormat="1" ht="18" hidden="1" outlineLevel="2">
      <c r="A32" s="747" t="str">
        <f>IF(B32&lt;&gt;"",B32-C32-D32-E32-F32,"")</f>
        <v/>
      </c>
    </row>
    <row r="33" spans="1:8" ht="18" outlineLevel="1" collapsed="1">
      <c r="A33" s="105" t="s">
        <v>183</v>
      </c>
      <c r="B33" s="296">
        <f>SUM(B34:B35)</f>
        <v>0</v>
      </c>
      <c r="C33" s="10"/>
      <c r="D33" s="10"/>
      <c r="E33" s="10"/>
      <c r="F33" s="10"/>
      <c r="G33" s="235">
        <f>IF(B33&lt;&gt;"",SUM(G34:G35),0)</f>
        <v>0</v>
      </c>
      <c r="H33" s="236" t="str">
        <f t="shared" si="1"/>
        <v>Savings</v>
      </c>
    </row>
    <row r="34" spans="1:8" ht="18" hidden="1" outlineLevel="2">
      <c r="A34" s="13" t="s">
        <v>590</v>
      </c>
      <c r="B34" s="33">
        <v>0</v>
      </c>
      <c r="C34" s="10"/>
      <c r="D34" s="10"/>
      <c r="E34" s="10"/>
      <c r="F34" s="10"/>
      <c r="G34" s="10">
        <f t="shared" si="2"/>
        <v>0</v>
      </c>
      <c r="H34" s="12" t="str">
        <f>A34</f>
        <v>Contingency</v>
      </c>
    </row>
    <row r="35" spans="1:8" ht="18" hidden="1" outlineLevel="2">
      <c r="A35" s="13" t="s">
        <v>591</v>
      </c>
      <c r="B35" s="33">
        <v>0</v>
      </c>
      <c r="C35" s="10"/>
      <c r="D35" s="10"/>
      <c r="E35" s="10"/>
      <c r="F35" s="10"/>
      <c r="G35" s="10">
        <f t="shared" si="2"/>
        <v>0</v>
      </c>
      <c r="H35" s="12" t="str">
        <f>A35</f>
        <v>HTB</v>
      </c>
    </row>
    <row r="36" spans="1:8" s="748" customFormat="1" ht="18" hidden="1" outlineLevel="2"/>
    <row r="37" spans="1:8" ht="18" outlineLevel="1" collapsed="1">
      <c r="A37" s="105" t="s">
        <v>130</v>
      </c>
      <c r="B37" s="296">
        <v>0</v>
      </c>
      <c r="C37" s="10"/>
      <c r="D37" s="10"/>
      <c r="E37" s="10"/>
      <c r="F37" s="10"/>
      <c r="G37" s="235">
        <f t="shared" si="2"/>
        <v>0</v>
      </c>
      <c r="H37" s="236" t="str">
        <f>A37</f>
        <v>Other</v>
      </c>
    </row>
    <row r="38" spans="1:8" ht="18" hidden="1" outlineLevel="3">
      <c r="A38" s="31" t="s">
        <v>592</v>
      </c>
      <c r="B38" s="211">
        <v>0</v>
      </c>
      <c r="C38" s="211"/>
      <c r="D38" s="211"/>
      <c r="E38" s="211"/>
      <c r="F38" s="211"/>
      <c r="G38" s="10">
        <f>IF(B38&lt;&gt;"",B38-C38-D38-E38-F38,"")</f>
        <v>0</v>
      </c>
      <c r="H38" s="12" t="str">
        <f>A38</f>
        <v>K Lashes</v>
      </c>
    </row>
    <row r="39" spans="1:8" ht="18" hidden="1" outlineLevel="3">
      <c r="A39" s="31"/>
      <c r="B39" s="211"/>
      <c r="C39" s="211"/>
      <c r="D39" s="211"/>
      <c r="E39" s="211"/>
      <c r="F39" s="211"/>
      <c r="G39" s="10"/>
      <c r="H39" s="12"/>
    </row>
    <row r="40" spans="1:8" ht="18" outlineLevel="1" collapsed="1">
      <c r="A40" s="185"/>
      <c r="B40" s="10"/>
      <c r="C40" s="10"/>
      <c r="D40" s="10"/>
      <c r="E40" s="10"/>
      <c r="F40" s="10"/>
      <c r="G40" s="10"/>
      <c r="H40" s="9"/>
    </row>
    <row r="41" spans="1:8" ht="18" outlineLevel="1">
      <c r="A41" s="185"/>
      <c r="B41" s="10"/>
      <c r="C41" s="10"/>
      <c r="D41" s="10"/>
      <c r="E41" s="10"/>
      <c r="F41" s="10"/>
      <c r="G41" s="10"/>
      <c r="H41" s="9"/>
    </row>
    <row r="42" spans="1:8" ht="18">
      <c r="A42" s="177" t="s">
        <v>424</v>
      </c>
      <c r="B42" s="183">
        <f>SUM(B43,B45,B44)</f>
        <v>172.89</v>
      </c>
      <c r="C42" s="10"/>
      <c r="D42" s="10"/>
      <c r="E42" s="10"/>
      <c r="F42" s="10"/>
      <c r="G42" s="183">
        <f>SUM(G43,G45,G44)</f>
        <v>88.91</v>
      </c>
      <c r="H42" s="9" t="s">
        <v>10</v>
      </c>
    </row>
    <row r="43" spans="1:8" ht="18" outlineLevel="1">
      <c r="A43" s="105" t="s">
        <v>359</v>
      </c>
      <c r="B43" s="183">
        <v>38.89</v>
      </c>
      <c r="C43" s="10">
        <v>38.89</v>
      </c>
      <c r="D43" s="10"/>
      <c r="E43" s="10"/>
      <c r="F43" s="10"/>
      <c r="G43" s="10">
        <f>IF(B43&lt;&gt;"",B43-C43-D43-E43-F43,"")</f>
        <v>0</v>
      </c>
      <c r="H43" s="12" t="str">
        <f>A43</f>
        <v>TV License</v>
      </c>
    </row>
    <row r="44" spans="1:8" ht="18" outlineLevel="1">
      <c r="A44" s="105" t="s">
        <v>605</v>
      </c>
      <c r="B44" s="183">
        <v>0</v>
      </c>
      <c r="C44" s="10"/>
      <c r="D44" s="10"/>
      <c r="E44" s="10"/>
      <c r="F44" s="10"/>
      <c r="G44" s="10">
        <f>IF(B44&lt;&gt;"",B44-C44-D44-E44-F44,"")</f>
        <v>0</v>
      </c>
      <c r="H44" s="12" t="str">
        <f>A44</f>
        <v>Landscaping</v>
      </c>
    </row>
    <row r="45" spans="1:8" ht="18" outlineLevel="1">
      <c r="A45" s="105" t="s">
        <v>606</v>
      </c>
      <c r="B45" s="33">
        <f>ROUND(SUM(B46:B47),0)</f>
        <v>134</v>
      </c>
      <c r="C45" s="10">
        <v>17.5</v>
      </c>
      <c r="D45" s="10"/>
      <c r="E45" s="10">
        <f>27.59</f>
        <v>27.59</v>
      </c>
      <c r="F45" s="10"/>
      <c r="G45" s="10">
        <f t="shared" ref="G45:G46" si="3">IF(B45&lt;&gt;"",B45-C45-D45-E45-F45,"")</f>
        <v>88.91</v>
      </c>
      <c r="H45" s="12" t="str">
        <f t="shared" ref="H45:H46" si="4">A45</f>
        <v>Car</v>
      </c>
    </row>
    <row r="46" spans="1:8" ht="19.5" customHeight="1" outlineLevel="2">
      <c r="A46" s="31" t="s">
        <v>570</v>
      </c>
      <c r="B46" s="10">
        <f>89.09+27.56</f>
        <v>116.65</v>
      </c>
      <c r="C46" s="10"/>
      <c r="D46" s="10"/>
      <c r="E46" s="10"/>
      <c r="F46" s="10"/>
      <c r="G46" s="10">
        <f t="shared" si="3"/>
        <v>116.65</v>
      </c>
      <c r="H46" s="12" t="str">
        <f t="shared" si="4"/>
        <v>Car Ins. / tax</v>
      </c>
    </row>
    <row r="47" spans="1:8" ht="19.5" customHeight="1" outlineLevel="2">
      <c r="A47" s="31" t="s">
        <v>571</v>
      </c>
      <c r="B47" s="10">
        <f>210/12</f>
        <v>17.5</v>
      </c>
      <c r="C47" s="10"/>
      <c r="D47" s="10"/>
      <c r="E47" s="10"/>
      <c r="F47" s="10"/>
      <c r="G47" s="10"/>
      <c r="H47" s="12"/>
    </row>
    <row r="48" spans="1:8" ht="18" outlineLevel="1">
      <c r="A48" s="208"/>
      <c r="B48" s="10"/>
      <c r="C48" s="10"/>
      <c r="D48" s="10"/>
      <c r="E48" s="10"/>
      <c r="F48" s="10"/>
      <c r="G48" s="10"/>
      <c r="H48" s="48"/>
    </row>
    <row r="49" spans="1:8" ht="18">
      <c r="A49" s="208"/>
      <c r="B49" s="10"/>
      <c r="C49" s="10"/>
      <c r="D49" s="10"/>
      <c r="E49" s="10"/>
      <c r="F49" s="10"/>
      <c r="G49" s="10"/>
      <c r="H49" s="48"/>
    </row>
    <row r="50" spans="1:8" ht="18">
      <c r="A50" s="179" t="s">
        <v>186</v>
      </c>
      <c r="B50" s="296">
        <f>SUM(C50:F50)</f>
        <v>5268.0899999999992</v>
      </c>
      <c r="C50" s="26">
        <f>1335.06+984.5+1000+400+413</f>
        <v>4132.5599999999995</v>
      </c>
      <c r="D50" s="26">
        <f>200+20+160</f>
        <v>380</v>
      </c>
      <c r="E50" s="27">
        <f>206.25+261.25+120+12.99+147.53+7.51</f>
        <v>755.53</v>
      </c>
      <c r="F50" s="36"/>
      <c r="G50" s="46" t="str">
        <f>SUM(G4,G9,G12,G42) &amp; " / " &amp; B50</f>
        <v>432.759999999999 / 5268.09</v>
      </c>
      <c r="H50" s="10"/>
    </row>
    <row r="51" spans="1:8" ht="18">
      <c r="A51" s="24"/>
      <c r="B51" s="10"/>
      <c r="C51" s="49"/>
      <c r="D51" s="26"/>
      <c r="E51" s="23" t="s">
        <v>607</v>
      </c>
      <c r="F51" s="25"/>
      <c r="G51" s="79" t="str">
        <f>IF(ROUND(SUM(G5:G24),2)&gt;0,IF(ROUND(SUM(G5:G24),2)&lt;ROUND(SUMIF(G5:G24,"&gt;0"),2),"NOT ENOUGH MONEY",""),"NO MONEY")</f>
        <v>NOT ENOUGH MONEY</v>
      </c>
      <c r="H51" s="11"/>
    </row>
    <row r="52" spans="1:8" ht="18">
      <c r="A52" s="17" t="s">
        <v>187</v>
      </c>
      <c r="B52" s="17" t="str">
        <f ca="1">IF(MONTH(TODAY()) = 11, IF(MONTH(DATEVALUE(RIGHT(A1,3)&amp;" 1"))=11, "Bike insurance due",""),"")</f>
        <v/>
      </c>
      <c r="C52" s="59"/>
      <c r="D52" s="16"/>
      <c r="E52" s="16"/>
      <c r="F52" s="16"/>
    </row>
    <row r="53" spans="1:8" ht="18">
      <c r="A53" s="17"/>
      <c r="B53" s="17"/>
      <c r="C53" s="39"/>
      <c r="D53" s="39"/>
      <c r="E53" s="16"/>
      <c r="F53" s="18"/>
    </row>
    <row r="54" spans="1:8" ht="18">
      <c r="A54" s="17"/>
      <c r="B54" s="17"/>
      <c r="D54" s="39"/>
      <c r="E54" s="43"/>
      <c r="F54" s="20"/>
      <c r="G54" s="11"/>
      <c r="H54" s="11"/>
    </row>
    <row r="55" spans="1:8" ht="18">
      <c r="A55" s="20"/>
      <c r="B55" s="11"/>
      <c r="D55" s="42"/>
      <c r="G55" s="11"/>
    </row>
    <row r="56" spans="1:8">
      <c r="B56" s="11"/>
      <c r="G56" s="11"/>
    </row>
    <row r="57" spans="1:8" ht="18">
      <c r="B57" s="10"/>
      <c r="G57" s="11"/>
    </row>
    <row r="58" spans="1:8" ht="18">
      <c r="B58" s="10"/>
      <c r="G58" s="11"/>
    </row>
    <row r="59" spans="1:8" ht="18">
      <c r="B59" s="10"/>
    </row>
    <row r="60" spans="1:8" ht="18">
      <c r="B60" s="10"/>
    </row>
    <row r="61" spans="1:8" ht="18">
      <c r="B61" s="10"/>
    </row>
    <row r="62" spans="1:8" ht="18">
      <c r="B62" s="10"/>
    </row>
    <row r="63" spans="1:8" ht="18">
      <c r="B63" s="10"/>
    </row>
    <row r="64" spans="1:8" ht="18">
      <c r="B64" s="10"/>
    </row>
  </sheetData>
  <dataConsolidate/>
  <mergeCells count="4">
    <mergeCell ref="A20:XFD20"/>
    <mergeCell ref="A28:XFD28"/>
    <mergeCell ref="A32:XFD32"/>
    <mergeCell ref="A36:XFD36"/>
  </mergeCells>
  <conditionalFormatting sqref="G5:G9">
    <cfRule type="cellIs" dxfId="222" priority="17" operator="lessThan">
      <formula>0</formula>
    </cfRule>
    <cfRule type="cellIs" dxfId="221" priority="18" operator="equal">
      <formula>0</formula>
    </cfRule>
    <cfRule type="cellIs" dxfId="220" priority="19" operator="greaterThan">
      <formula>0</formula>
    </cfRule>
  </conditionalFormatting>
  <conditionalFormatting sqref="G13:G19">
    <cfRule type="cellIs" dxfId="219" priority="7" operator="equal">
      <formula>0</formula>
    </cfRule>
    <cfRule type="cellIs" dxfId="218" priority="8" operator="lessThan">
      <formula>0</formula>
    </cfRule>
    <cfRule type="cellIs" dxfId="217" priority="9" operator="greaterThan">
      <formula>0</formula>
    </cfRule>
  </conditionalFormatting>
  <conditionalFormatting sqref="G21:G27 G29:G31 G33:G35 G37:G39">
    <cfRule type="cellIs" dxfId="216" priority="20" operator="equal">
      <formula>0</formula>
    </cfRule>
    <cfRule type="cellIs" dxfId="215" priority="21" operator="lessThan">
      <formula>0</formula>
    </cfRule>
    <cfRule type="cellIs" dxfId="214" priority="22" operator="greaterThan">
      <formula>0</formula>
    </cfRule>
  </conditionalFormatting>
  <conditionalFormatting sqref="G43:G47">
    <cfRule type="cellIs" dxfId="213" priority="1" operator="equal">
      <formula>0</formula>
    </cfRule>
    <cfRule type="cellIs" dxfId="212" priority="2" operator="lessThan">
      <formula>0</formula>
    </cfRule>
    <cfRule type="cellIs" dxfId="211" priority="3"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16" operator="containsText" id="{CF0B7EE4-214D-2F41-89A2-1DBCD8C2A22D}">
            <xm:f>NOT(ISERROR(SEARCH("-",G50)))</xm:f>
            <xm:f>"-"</xm:f>
            <x14:dxf>
              <font>
                <color rgb="FF9C0006"/>
              </font>
              <fill>
                <patternFill>
                  <bgColor rgb="FFFFC7CE"/>
                </patternFill>
              </fill>
            </x14:dxf>
          </x14:cfRule>
          <xm:sqref>G50</xm:sqref>
        </x14:conditionalFormatting>
      </x14:conditionalFormatting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7CE2D-1706-764B-9D9C-F7C2D218BC3E}">
  <sheetPr codeName="Sheet45"/>
  <dimension ref="A1:K63"/>
  <sheetViews>
    <sheetView workbookViewId="0"/>
  </sheetViews>
  <sheetFormatPr defaultColWidth="11.33203125" defaultRowHeight="14.4" outlineLevelRow="3"/>
  <cols>
    <col min="1" max="1" width="23.109375" customWidth="1"/>
    <col min="2" max="2" width="28.109375" customWidth="1"/>
    <col min="3" max="6" width="25" customWidth="1"/>
    <col min="7" max="7" width="19.44140625" customWidth="1"/>
    <col min="8" max="8" width="15.44140625" customWidth="1"/>
  </cols>
  <sheetData>
    <row r="1" spans="1:11" ht="18">
      <c r="A1" s="180" t="s">
        <v>576</v>
      </c>
      <c r="B1" s="13" t="s">
        <v>164</v>
      </c>
      <c r="C1" s="44" t="str">
        <f>"15/06/18" &amp; " - " &amp; "21/06/18"</f>
        <v>15/06/18 - 21/06/18</v>
      </c>
      <c r="D1" s="44" t="str">
        <f>TEXT(DATEVALUE(RIGHT(C1,8))+1,"dd/mm/yy")&amp; " - "&amp; TEXT(DATEVALUE(RIGHT(C1,8))+7,"dd/mm/yy")</f>
        <v>22/06/18 - 28/06/18</v>
      </c>
      <c r="E1" s="44" t="str">
        <f>TEXT(DATEVALUE(RIGHT(D1,8))+1,"dd/mm/yy")&amp; " - "&amp; TEXT(DATEVALUE(RIGHT(D1,8))+7,"dd/mm/yy")</f>
        <v>29/06/18 - 05/07/18</v>
      </c>
      <c r="F1" s="44" t="str">
        <f>TEXT(DATEVALUE(RIGHT(E1,8))+1,"dd/mm/yy")&amp; " - "&amp; TEXT(DATEVALUE(RIGHT(E1,8))+7,"dd/mm/yy")</f>
        <v>06/07/18 - 12/07/18</v>
      </c>
      <c r="G1" s="12" t="s">
        <v>10</v>
      </c>
      <c r="H1" s="9"/>
    </row>
    <row r="2" spans="1:11" ht="18">
      <c r="A2" s="13" t="s">
        <v>165</v>
      </c>
      <c r="B2" s="10">
        <f>SUM(B4,B12,B41)</f>
        <v>2442.4100000000003</v>
      </c>
      <c r="C2" s="296">
        <f>SUM(C5:C24)</f>
        <v>1017.65</v>
      </c>
      <c r="D2" s="296">
        <f>SUM(D5:D24)</f>
        <v>35.99</v>
      </c>
      <c r="E2" s="296">
        <f>SUM(E5:E24)</f>
        <v>0</v>
      </c>
      <c r="F2" s="296">
        <f>SUM(F5:F24)</f>
        <v>0</v>
      </c>
      <c r="G2" s="10"/>
      <c r="H2" s="9"/>
    </row>
    <row r="3" spans="1:11" ht="18">
      <c r="A3" s="250"/>
      <c r="B3" s="10"/>
      <c r="C3" s="296"/>
      <c r="D3" s="296"/>
      <c r="E3" s="296"/>
      <c r="F3" s="296"/>
      <c r="G3" s="10"/>
      <c r="H3" s="9"/>
    </row>
    <row r="4" spans="1:11" ht="18">
      <c r="A4" s="178" t="s">
        <v>166</v>
      </c>
      <c r="B4" s="183">
        <f>SUM(B5:B8)</f>
        <v>805</v>
      </c>
      <c r="C4" s="296"/>
      <c r="D4" s="296"/>
      <c r="E4" s="296"/>
      <c r="F4" s="296"/>
      <c r="G4" s="184">
        <f>ROUND(SUM(G5:G8),2)</f>
        <v>530.59</v>
      </c>
      <c r="H4" s="9" t="s">
        <v>10</v>
      </c>
    </row>
    <row r="5" spans="1:11" ht="18" outlineLevel="1">
      <c r="A5" s="105" t="s">
        <v>167</v>
      </c>
      <c r="B5" s="17">
        <v>200</v>
      </c>
      <c r="C5" s="10">
        <v>200</v>
      </c>
      <c r="D5" s="10"/>
      <c r="E5" s="10"/>
      <c r="F5" s="10"/>
      <c r="G5" s="10">
        <f t="shared" ref="G5:G8" si="0">IF(B5&lt;&gt;"",B5-C5-D5-E5-F5,"")</f>
        <v>0</v>
      </c>
      <c r="H5" s="12" t="str">
        <f>A5</f>
        <v xml:space="preserve">Car Petrol </v>
      </c>
    </row>
    <row r="6" spans="1:11" ht="18" outlineLevel="1">
      <c r="A6" s="105" t="s">
        <v>577</v>
      </c>
      <c r="B6" s="10">
        <v>240</v>
      </c>
      <c r="C6" s="10">
        <v>42.53</v>
      </c>
      <c r="D6" s="10"/>
      <c r="E6" s="10"/>
      <c r="F6" s="10"/>
      <c r="G6" s="10">
        <f t="shared" si="0"/>
        <v>197.47</v>
      </c>
      <c r="H6" s="12" t="str">
        <f>A6</f>
        <v>Food/Bunnies/Toiletries</v>
      </c>
    </row>
    <row r="7" spans="1:11" ht="18" outlineLevel="1">
      <c r="A7" s="105" t="s">
        <v>170</v>
      </c>
      <c r="B7" s="10">
        <v>125</v>
      </c>
      <c r="C7" s="10">
        <v>31.88</v>
      </c>
      <c r="D7" s="10"/>
      <c r="E7" s="10"/>
      <c r="F7" s="10"/>
      <c r="G7" s="10">
        <f t="shared" si="0"/>
        <v>93.12</v>
      </c>
      <c r="H7" s="12" t="str">
        <f>A7</f>
        <v>Gift Fund</v>
      </c>
    </row>
    <row r="8" spans="1:11" ht="18" outlineLevel="1">
      <c r="A8" s="105" t="s">
        <v>171</v>
      </c>
      <c r="B8" s="10">
        <v>240</v>
      </c>
      <c r="C8" s="10"/>
      <c r="D8" s="10"/>
      <c r="E8" s="10"/>
      <c r="F8" s="10"/>
      <c r="G8" s="10">
        <f t="shared" si="0"/>
        <v>240</v>
      </c>
      <c r="H8" s="12" t="str">
        <f>A8</f>
        <v>Holiday Fund</v>
      </c>
      <c r="J8" s="11"/>
    </row>
    <row r="9" spans="1:11" ht="18" outlineLevel="1">
      <c r="A9" s="105" t="s">
        <v>172</v>
      </c>
      <c r="B9" s="10">
        <f>IF(B49 &lt;&gt; 0,B49-B4-B12-B41,0)</f>
        <v>539.86999999999978</v>
      </c>
      <c r="C9" s="10">
        <f>80+29.99+4.09+17+4.5+8.7+6.97+40+2.5+3.5+2.22+35.99</f>
        <v>235.45999999999998</v>
      </c>
      <c r="D9" s="10"/>
      <c r="E9" s="10"/>
      <c r="F9" s="10"/>
      <c r="G9" s="10">
        <f>IF(B9&lt;&gt;"",B9-C9-D9-E9-F9,"")</f>
        <v>304.4099999999998</v>
      </c>
      <c r="H9" s="12" t="s">
        <v>172</v>
      </c>
      <c r="I9" s="11"/>
      <c r="J9" s="11">
        <f>613-100-200-25-30</f>
        <v>258</v>
      </c>
    </row>
    <row r="10" spans="1:11" ht="18" outlineLevel="1">
      <c r="A10" s="185"/>
      <c r="B10" s="10"/>
      <c r="C10" s="10"/>
      <c r="D10" s="10"/>
      <c r="E10" s="10"/>
      <c r="F10" s="10"/>
      <c r="G10" s="10"/>
      <c r="H10" s="9"/>
    </row>
    <row r="11" spans="1:11" ht="18">
      <c r="A11" s="185"/>
      <c r="B11" s="10"/>
      <c r="C11" s="10"/>
      <c r="D11" s="10"/>
      <c r="E11" s="10"/>
      <c r="F11" s="10"/>
      <c r="G11" s="10"/>
      <c r="H11" s="9"/>
      <c r="J11" s="11"/>
      <c r="K11" s="11" t="e">
        <f>G8+G13+G21-#REF!+G41</f>
        <v>#REF!</v>
      </c>
    </row>
    <row r="12" spans="1:11" ht="18">
      <c r="A12" s="177" t="s">
        <v>422</v>
      </c>
      <c r="B12" s="183">
        <f>B13+B21+B28+B32+B36</f>
        <v>1507.8</v>
      </c>
      <c r="C12" s="10"/>
      <c r="D12" s="10"/>
      <c r="E12" s="10"/>
      <c r="F12" s="10"/>
      <c r="G12" s="234">
        <f>ROUND(SUM(G13,G21,G28,G32,G36),2)</f>
        <v>562.97</v>
      </c>
      <c r="H12" s="237" t="s">
        <v>10</v>
      </c>
      <c r="I12" s="11"/>
    </row>
    <row r="13" spans="1:11" ht="18">
      <c r="A13" s="105" t="s">
        <v>594</v>
      </c>
      <c r="B13" s="183">
        <f>SUM(B14:B19)</f>
        <v>1025.79</v>
      </c>
      <c r="C13" s="10"/>
      <c r="D13" s="10"/>
      <c r="E13" s="10"/>
      <c r="F13" s="10"/>
      <c r="G13" s="235">
        <f>IF(B13&lt;&gt;"",SUM(G14:G19),0)</f>
        <v>528</v>
      </c>
      <c r="H13" s="236" t="str">
        <f t="shared" ref="H13:H32" si="1">A13</f>
        <v>House Outgoings</v>
      </c>
      <c r="I13" s="11"/>
    </row>
    <row r="14" spans="1:11" ht="18" outlineLevel="2">
      <c r="A14" s="13" t="s">
        <v>595</v>
      </c>
      <c r="B14" s="184">
        <v>452.64</v>
      </c>
      <c r="C14" s="10">
        <v>452.64</v>
      </c>
      <c r="D14" s="10"/>
      <c r="E14" s="10"/>
      <c r="F14" s="10"/>
      <c r="G14" s="10">
        <f t="shared" ref="G14:G36" si="2">IF(B14&lt;&gt;"",B14-C14-D14-E14-F14,"")</f>
        <v>0</v>
      </c>
      <c r="H14" s="12" t="str">
        <f t="shared" si="1"/>
        <v>Mortgage</v>
      </c>
      <c r="J14" s="11"/>
    </row>
    <row r="15" spans="1:11" ht="18" outlineLevel="2">
      <c r="A15" s="13" t="s">
        <v>596</v>
      </c>
      <c r="B15" s="184">
        <v>260</v>
      </c>
      <c r="C15" s="10"/>
      <c r="D15" s="10"/>
      <c r="E15" s="10"/>
      <c r="F15" s="10"/>
      <c r="G15" s="10">
        <f t="shared" si="2"/>
        <v>260</v>
      </c>
      <c r="H15" s="12" t="str">
        <f t="shared" si="1"/>
        <v>Council tax</v>
      </c>
      <c r="J15" s="11"/>
    </row>
    <row r="16" spans="1:11" ht="18" outlineLevel="2">
      <c r="A16" s="13" t="s">
        <v>597</v>
      </c>
      <c r="B16" s="184">
        <v>68</v>
      </c>
      <c r="C16" s="10"/>
      <c r="D16" s="10"/>
      <c r="E16" s="10"/>
      <c r="F16" s="10"/>
      <c r="G16" s="10">
        <f t="shared" si="2"/>
        <v>68</v>
      </c>
      <c r="H16" s="12" t="str">
        <f t="shared" si="1"/>
        <v>Water</v>
      </c>
      <c r="J16" s="11">
        <f>528+17.98+50+G41</f>
        <v>636.5</v>
      </c>
    </row>
    <row r="17" spans="1:10" ht="18" outlineLevel="2">
      <c r="A17" s="13" t="s">
        <v>598</v>
      </c>
      <c r="B17" s="184">
        <v>110</v>
      </c>
      <c r="C17" s="10"/>
      <c r="D17" s="10"/>
      <c r="E17" s="10"/>
      <c r="F17" s="10"/>
      <c r="G17" s="10">
        <f t="shared" si="2"/>
        <v>110</v>
      </c>
      <c r="H17" s="12" t="str">
        <f t="shared" si="1"/>
        <v>Electricity</v>
      </c>
      <c r="J17" s="11">
        <f>J16-546.33</f>
        <v>90.169999999999959</v>
      </c>
    </row>
    <row r="18" spans="1:10" ht="18" outlineLevel="2">
      <c r="A18" s="13" t="s">
        <v>599</v>
      </c>
      <c r="B18" s="184">
        <v>90</v>
      </c>
      <c r="C18" s="10"/>
      <c r="D18" s="10"/>
      <c r="E18" s="10"/>
      <c r="F18" s="10"/>
      <c r="G18" s="10">
        <f t="shared" si="2"/>
        <v>90</v>
      </c>
      <c r="H18" s="12" t="str">
        <f t="shared" si="1"/>
        <v>Gas</v>
      </c>
    </row>
    <row r="19" spans="1:10" ht="18" outlineLevel="2">
      <c r="A19" s="13" t="s">
        <v>600</v>
      </c>
      <c r="B19" s="184">
        <f>4.52+15.97+8.56+16.1</f>
        <v>45.150000000000006</v>
      </c>
      <c r="C19" s="10">
        <f>8.56+15.97+4.52+16.1</f>
        <v>45.150000000000006</v>
      </c>
      <c r="D19" s="10"/>
      <c r="E19" s="10"/>
      <c r="F19" s="10"/>
      <c r="G19" s="10">
        <f t="shared" si="2"/>
        <v>0</v>
      </c>
      <c r="H19" s="12" t="str">
        <f t="shared" si="1"/>
        <v>Insurance</v>
      </c>
    </row>
    <row r="20" spans="1:10" s="747" customFormat="1" ht="18" outlineLevel="2">
      <c r="A20" s="747" t="str">
        <f>IF(B20&lt;&gt;"",B20-C20-D20-E20-F20,"")</f>
        <v/>
      </c>
    </row>
    <row r="21" spans="1:10" ht="18" outlineLevel="1">
      <c r="A21" s="105" t="s">
        <v>601</v>
      </c>
      <c r="B21" s="296">
        <f>SUM(B22:B26)</f>
        <v>65.02000000000001</v>
      </c>
      <c r="C21" s="10"/>
      <c r="D21" s="10"/>
      <c r="E21" s="10"/>
      <c r="F21" s="10"/>
      <c r="G21" s="235">
        <f>IF(B21&lt;&gt;"",SUM(G22:G26),0)</f>
        <v>17.98</v>
      </c>
      <c r="H21" s="236" t="str">
        <f t="shared" si="1"/>
        <v>Tech</v>
      </c>
      <c r="I21" s="11"/>
    </row>
    <row r="22" spans="1:10" ht="18" outlineLevel="2">
      <c r="A22" s="13" t="s">
        <v>602</v>
      </c>
      <c r="B22" s="33">
        <v>35.99</v>
      </c>
      <c r="C22" s="10"/>
      <c r="D22" s="10">
        <v>35.99</v>
      </c>
      <c r="E22" s="10"/>
      <c r="F22" s="10"/>
      <c r="G22" s="10">
        <f t="shared" si="2"/>
        <v>0</v>
      </c>
      <c r="H22" s="12" t="str">
        <f t="shared" si="1"/>
        <v>Broadband / TV</v>
      </c>
    </row>
    <row r="23" spans="1:10" ht="18" outlineLevel="2">
      <c r="A23" s="13" t="s">
        <v>587</v>
      </c>
      <c r="B23" s="33">
        <v>9.99</v>
      </c>
      <c r="C23" s="10">
        <v>9.99</v>
      </c>
      <c r="D23" s="10"/>
      <c r="E23" s="10"/>
      <c r="F23" s="10"/>
      <c r="G23" s="10">
        <f t="shared" si="2"/>
        <v>0</v>
      </c>
      <c r="H23" s="12" t="str">
        <f t="shared" si="1"/>
        <v>Sky Movies (14th)</v>
      </c>
    </row>
    <row r="24" spans="1:10" ht="18" outlineLevel="2">
      <c r="A24" s="13" t="s">
        <v>582</v>
      </c>
      <c r="B24" s="33">
        <v>7.99</v>
      </c>
      <c r="C24" s="10"/>
      <c r="D24" s="10"/>
      <c r="E24" s="10"/>
      <c r="F24" s="10"/>
      <c r="G24" s="10">
        <f t="shared" si="2"/>
        <v>7.99</v>
      </c>
      <c r="H24" s="12" t="str">
        <f t="shared" si="1"/>
        <v>Onedrive (6th)</v>
      </c>
    </row>
    <row r="25" spans="1:10" ht="18" outlineLevel="2">
      <c r="A25" s="13" t="s">
        <v>589</v>
      </c>
      <c r="B25" s="33">
        <v>9.99</v>
      </c>
      <c r="C25" s="10"/>
      <c r="D25" s="10"/>
      <c r="E25" s="10"/>
      <c r="F25" s="10"/>
      <c r="G25" s="10">
        <f t="shared" si="2"/>
        <v>9.99</v>
      </c>
      <c r="H25" s="12" t="str">
        <f>A25</f>
        <v>Music</v>
      </c>
    </row>
    <row r="26" spans="1:10" ht="18" outlineLevel="2" collapsed="1">
      <c r="A26" s="13" t="s">
        <v>603</v>
      </c>
      <c r="B26" s="33">
        <v>1.06</v>
      </c>
      <c r="C26" s="10">
        <v>1.06</v>
      </c>
      <c r="D26" s="10"/>
      <c r="E26" s="10"/>
      <c r="F26" s="10"/>
      <c r="G26" s="10">
        <f t="shared" si="2"/>
        <v>0</v>
      </c>
      <c r="H26" s="12" t="str">
        <f>A26</f>
        <v>Matt Phone  (21st)</v>
      </c>
    </row>
    <row r="27" spans="1:10" s="747" customFormat="1" ht="18" outlineLevel="2">
      <c r="A27" s="747" t="str">
        <f>IF(B27&lt;&gt;"",B27-C27-D27-E27-F27,"")</f>
        <v/>
      </c>
    </row>
    <row r="28" spans="1:10" ht="18" outlineLevel="1">
      <c r="A28" s="105" t="s">
        <v>604</v>
      </c>
      <c r="B28" s="296">
        <f>SUM(B29:B30)</f>
        <v>16.989999999999998</v>
      </c>
      <c r="C28" s="10"/>
      <c r="D28" s="10"/>
      <c r="E28" s="10"/>
      <c r="F28" s="10"/>
      <c r="G28" s="235">
        <f>IF(B28&lt;&gt;"",SUM(G29:G30),0)</f>
        <v>16.989999999999998</v>
      </c>
      <c r="H28" s="236" t="str">
        <f t="shared" si="1"/>
        <v>Health</v>
      </c>
    </row>
    <row r="29" spans="1:10" ht="18" hidden="1" outlineLevel="2" collapsed="1">
      <c r="A29" s="13" t="s">
        <v>588</v>
      </c>
      <c r="B29" s="33">
        <v>0</v>
      </c>
      <c r="C29" s="10"/>
      <c r="D29" s="10"/>
      <c r="E29" s="10"/>
      <c r="F29" s="10"/>
      <c r="G29" s="10">
        <f t="shared" si="2"/>
        <v>0</v>
      </c>
      <c r="H29" s="12" t="str">
        <f>A29</f>
        <v>Gym (15th)</v>
      </c>
    </row>
    <row r="30" spans="1:10" ht="18" hidden="1" outlineLevel="2">
      <c r="A30" s="13" t="s">
        <v>593</v>
      </c>
      <c r="B30" s="33">
        <v>16.989999999999998</v>
      </c>
      <c r="C30" s="10"/>
      <c r="D30" s="10"/>
      <c r="E30" s="10"/>
      <c r="F30" s="10"/>
      <c r="G30" s="10">
        <f t="shared" si="2"/>
        <v>16.989999999999998</v>
      </c>
      <c r="H30" s="12" t="str">
        <f t="shared" si="1"/>
        <v>K Gym</v>
      </c>
    </row>
    <row r="31" spans="1:10" s="747" customFormat="1" ht="18" hidden="1" outlineLevel="2">
      <c r="A31" s="747" t="str">
        <f>IF(B31&lt;&gt;"",B31-C31-D31-E31-F31,"")</f>
        <v/>
      </c>
    </row>
    <row r="32" spans="1:10" ht="18" outlineLevel="1" collapsed="1">
      <c r="A32" s="105" t="s">
        <v>183</v>
      </c>
      <c r="B32" s="296">
        <f>SUM(B33:B34)</f>
        <v>300</v>
      </c>
      <c r="C32" s="10"/>
      <c r="D32" s="10"/>
      <c r="E32" s="10"/>
      <c r="F32" s="10"/>
      <c r="G32" s="235">
        <f>IF(B32&lt;&gt;"",SUM(G33:G34),0)</f>
        <v>-100</v>
      </c>
      <c r="H32" s="236" t="str">
        <f t="shared" si="1"/>
        <v>Savings</v>
      </c>
    </row>
    <row r="33" spans="1:8" ht="18" outlineLevel="2">
      <c r="A33" s="13" t="s">
        <v>590</v>
      </c>
      <c r="B33" s="33">
        <v>100</v>
      </c>
      <c r="C33" s="10">
        <f>100+100</f>
        <v>200</v>
      </c>
      <c r="D33" s="10"/>
      <c r="E33" s="10"/>
      <c r="F33" s="10"/>
      <c r="G33" s="10">
        <f t="shared" si="2"/>
        <v>-100</v>
      </c>
      <c r="H33" s="12" t="str">
        <f>A33</f>
        <v>Contingency</v>
      </c>
    </row>
    <row r="34" spans="1:8" ht="18" outlineLevel="2">
      <c r="A34" s="13" t="s">
        <v>591</v>
      </c>
      <c r="B34" s="33">
        <v>200</v>
      </c>
      <c r="C34" s="10">
        <v>200</v>
      </c>
      <c r="D34" s="10"/>
      <c r="E34" s="10"/>
      <c r="F34" s="10"/>
      <c r="G34" s="10">
        <f t="shared" si="2"/>
        <v>0</v>
      </c>
      <c r="H34" s="12" t="str">
        <f>A34</f>
        <v>HTB</v>
      </c>
    </row>
    <row r="35" spans="1:8" s="748" customFormat="1" ht="18" outlineLevel="2"/>
    <row r="36" spans="1:8" ht="18" outlineLevel="1">
      <c r="A36" s="105" t="s">
        <v>130</v>
      </c>
      <c r="B36" s="296">
        <f>SUM(B37:B38)</f>
        <v>100</v>
      </c>
      <c r="C36" s="10"/>
      <c r="D36" s="10"/>
      <c r="E36" s="10"/>
      <c r="F36" s="10"/>
      <c r="G36" s="235">
        <f t="shared" si="2"/>
        <v>100</v>
      </c>
      <c r="H36" s="236" t="str">
        <f>A36</f>
        <v>Other</v>
      </c>
    </row>
    <row r="37" spans="1:8" ht="18" outlineLevel="3">
      <c r="A37" s="31" t="s">
        <v>608</v>
      </c>
      <c r="B37" s="211">
        <v>100</v>
      </c>
      <c r="C37" s="211"/>
      <c r="D37" s="211"/>
      <c r="E37" s="211"/>
      <c r="F37" s="211"/>
      <c r="G37" s="10">
        <f>IF(B37&lt;&gt;"",B37-C37-D37-E37-F37,"")</f>
        <v>100</v>
      </c>
      <c r="H37" s="12" t="str">
        <f>A37</f>
        <v>K</v>
      </c>
    </row>
    <row r="38" spans="1:8" ht="18" outlineLevel="3">
      <c r="A38" s="31"/>
      <c r="B38" s="211"/>
      <c r="C38" s="211"/>
      <c r="D38" s="211"/>
      <c r="E38" s="211"/>
      <c r="F38" s="211"/>
      <c r="G38" s="10"/>
      <c r="H38" s="12"/>
    </row>
    <row r="39" spans="1:8" ht="18" outlineLevel="1">
      <c r="A39" s="185"/>
      <c r="B39" s="10"/>
      <c r="C39" s="10"/>
      <c r="D39" s="10"/>
      <c r="E39" s="10"/>
      <c r="F39" s="10"/>
      <c r="G39" s="10"/>
      <c r="H39" s="9"/>
    </row>
    <row r="40" spans="1:8" ht="18" outlineLevel="1">
      <c r="A40" s="185"/>
      <c r="B40" s="10"/>
      <c r="C40" s="10"/>
      <c r="D40" s="10"/>
      <c r="E40" s="10"/>
      <c r="F40" s="10"/>
      <c r="G40" s="10"/>
      <c r="H40" s="9"/>
    </row>
    <row r="41" spans="1:8" ht="18">
      <c r="A41" s="177" t="s">
        <v>424</v>
      </c>
      <c r="B41" s="183">
        <f>SUM(B42,B44,B43)</f>
        <v>129.61000000000001</v>
      </c>
      <c r="C41" s="10"/>
      <c r="D41" s="10"/>
      <c r="E41" s="10"/>
      <c r="F41" s="10"/>
      <c r="G41" s="183">
        <f>SUM(G42,G44,G43)</f>
        <v>40.520000000000003</v>
      </c>
      <c r="H41" s="9" t="s">
        <v>10</v>
      </c>
    </row>
    <row r="42" spans="1:8" ht="18" outlineLevel="1">
      <c r="A42" s="105" t="s">
        <v>359</v>
      </c>
      <c r="B42" s="183">
        <v>12.96</v>
      </c>
      <c r="C42" s="10"/>
      <c r="D42" s="10"/>
      <c r="E42" s="10"/>
      <c r="F42" s="10"/>
      <c r="G42" s="10">
        <f>IF(B42&lt;&gt;"",B42-C42-D42-E42-F42,"")</f>
        <v>12.96</v>
      </c>
      <c r="H42" s="12" t="str">
        <f>A42</f>
        <v>TV License</v>
      </c>
    </row>
    <row r="43" spans="1:8" ht="18" outlineLevel="1">
      <c r="A43" s="105" t="s">
        <v>605</v>
      </c>
      <c r="B43" s="183">
        <v>0</v>
      </c>
      <c r="C43" s="10"/>
      <c r="D43" s="10"/>
      <c r="E43" s="10"/>
      <c r="F43" s="10"/>
      <c r="G43" s="10">
        <f>IF(B43&lt;&gt;"",B43-C43-D43-E43-F43,"")</f>
        <v>0</v>
      </c>
      <c r="H43" s="12" t="str">
        <f>A43</f>
        <v>Landscaping</v>
      </c>
    </row>
    <row r="44" spans="1:8" ht="18" outlineLevel="1">
      <c r="A44" s="105" t="s">
        <v>606</v>
      </c>
      <c r="B44" s="33">
        <f>SUM(B45:B46)</f>
        <v>116.65</v>
      </c>
      <c r="C44" s="10">
        <v>89.09</v>
      </c>
      <c r="D44" s="10"/>
      <c r="E44" s="10"/>
      <c r="F44" s="10"/>
      <c r="G44" s="10">
        <f t="shared" ref="G44:G45" si="3">IF(B44&lt;&gt;"",B44-C44-D44-E44-F44,"")</f>
        <v>27.560000000000002</v>
      </c>
      <c r="H44" s="12" t="str">
        <f t="shared" ref="H44:H45" si="4">A44</f>
        <v>Car</v>
      </c>
    </row>
    <row r="45" spans="1:8" ht="19.5" customHeight="1" outlineLevel="2">
      <c r="A45" s="31" t="s">
        <v>570</v>
      </c>
      <c r="B45" s="10">
        <f>89.09+27.56</f>
        <v>116.65</v>
      </c>
      <c r="C45" s="10"/>
      <c r="D45" s="10"/>
      <c r="E45" s="10"/>
      <c r="F45" s="10"/>
      <c r="G45" s="10">
        <f t="shared" si="3"/>
        <v>116.65</v>
      </c>
      <c r="H45" s="12" t="str">
        <f t="shared" si="4"/>
        <v>Car Ins. / tax</v>
      </c>
    </row>
    <row r="46" spans="1:8" ht="19.5" customHeight="1" outlineLevel="2">
      <c r="A46" s="31" t="s">
        <v>571</v>
      </c>
      <c r="B46" s="10">
        <v>0</v>
      </c>
      <c r="C46" s="10"/>
      <c r="D46" s="10"/>
      <c r="E46" s="10"/>
      <c r="F46" s="10"/>
      <c r="G46" s="10"/>
      <c r="H46" s="12"/>
    </row>
    <row r="47" spans="1:8" ht="18" outlineLevel="1">
      <c r="A47" s="208"/>
      <c r="B47" s="10"/>
      <c r="C47" s="10"/>
      <c r="D47" s="10"/>
      <c r="E47" s="10"/>
      <c r="F47" s="10"/>
      <c r="G47" s="10"/>
      <c r="H47" s="48"/>
    </row>
    <row r="48" spans="1:8" ht="18">
      <c r="A48" s="208"/>
      <c r="B48" s="10"/>
      <c r="C48" s="10"/>
      <c r="D48" s="10"/>
      <c r="E48" s="10"/>
      <c r="F48" s="10"/>
      <c r="G48" s="10"/>
      <c r="H48" s="48"/>
    </row>
    <row r="49" spans="1:8" ht="18">
      <c r="A49" s="179" t="s">
        <v>186</v>
      </c>
      <c r="B49" s="296">
        <f>SUM(C49:F49)</f>
        <v>2982.2799999999997</v>
      </c>
      <c r="C49" s="26">
        <f>1334.86+276.4+136.02+79+1156</f>
        <v>2982.2799999999997</v>
      </c>
      <c r="D49" s="26"/>
      <c r="E49" s="27"/>
      <c r="F49" s="36"/>
      <c r="G49" s="46" t="str">
        <f>SUM(G4,G9,G12,G41) &amp; " / " &amp; B49</f>
        <v>1438.49 / 2982.28</v>
      </c>
      <c r="H49" s="10"/>
    </row>
    <row r="50" spans="1:8" ht="18">
      <c r="A50" s="24"/>
      <c r="B50" s="10"/>
      <c r="C50" s="49"/>
      <c r="D50" s="26"/>
      <c r="E50" s="23"/>
      <c r="F50" s="25"/>
      <c r="G50" s="79" t="str">
        <f>IF(ROUND(SUM(G5:G24),2)&gt;0,IF(ROUND(SUM(G5:G24),2)&lt;ROUND(SUMIF(G5:G24,"&gt;0"),2),"NOT ENOUGH MONEY",""),"NO MONEY")</f>
        <v/>
      </c>
      <c r="H50" s="11"/>
    </row>
    <row r="51" spans="1:8" ht="18">
      <c r="A51" s="17" t="s">
        <v>187</v>
      </c>
      <c r="B51" s="17" t="str">
        <f ca="1">IF(MONTH(TODAY()) = 11, IF(MONTH(DATEVALUE(RIGHT(A1,3)&amp;" 1"))=11, "Bike insurance due",""),"")</f>
        <v/>
      </c>
      <c r="C51" s="59"/>
      <c r="D51" s="16"/>
      <c r="E51" s="16"/>
      <c r="F51" s="16"/>
    </row>
    <row r="52" spans="1:8" ht="18">
      <c r="A52" s="17"/>
      <c r="B52" s="17"/>
      <c r="C52" s="39"/>
      <c r="D52" s="39"/>
      <c r="E52" s="16"/>
      <c r="F52" s="18"/>
    </row>
    <row r="53" spans="1:8" ht="18">
      <c r="A53" s="17"/>
      <c r="B53" s="17"/>
      <c r="D53" s="39"/>
      <c r="E53" s="43"/>
      <c r="F53" s="20"/>
      <c r="G53" s="11"/>
      <c r="H53" s="11"/>
    </row>
    <row r="54" spans="1:8" ht="18">
      <c r="A54" s="20"/>
      <c r="B54" s="11"/>
      <c r="D54" s="42"/>
      <c r="G54" s="11"/>
    </row>
    <row r="55" spans="1:8">
      <c r="B55" s="11"/>
      <c r="G55" s="11"/>
    </row>
    <row r="56" spans="1:8" ht="18">
      <c r="B56" s="10"/>
      <c r="G56" s="11"/>
    </row>
    <row r="57" spans="1:8" ht="18">
      <c r="B57" s="10"/>
      <c r="G57" s="11"/>
    </row>
    <row r="58" spans="1:8" ht="18">
      <c r="B58" s="10"/>
      <c r="G58" s="11"/>
    </row>
    <row r="59" spans="1:8" ht="18">
      <c r="B59" s="10"/>
      <c r="G59" s="11"/>
    </row>
    <row r="60" spans="1:8" ht="18">
      <c r="B60" s="10"/>
      <c r="G60" s="11"/>
    </row>
    <row r="61" spans="1:8" ht="18">
      <c r="B61" s="10"/>
    </row>
    <row r="62" spans="1:8" ht="18">
      <c r="B62" s="10"/>
    </row>
    <row r="63" spans="1:8" ht="18">
      <c r="B63" s="10"/>
    </row>
  </sheetData>
  <dataConsolidate/>
  <mergeCells count="4">
    <mergeCell ref="A20:XFD20"/>
    <mergeCell ref="A27:XFD27"/>
    <mergeCell ref="A31:XFD31"/>
    <mergeCell ref="A35:XFD35"/>
  </mergeCells>
  <conditionalFormatting sqref="G5:G9">
    <cfRule type="cellIs" dxfId="209" priority="11" operator="lessThan">
      <formula>0</formula>
    </cfRule>
    <cfRule type="cellIs" dxfId="208" priority="12" operator="equal">
      <formula>0</formula>
    </cfRule>
    <cfRule type="cellIs" dxfId="207" priority="13" operator="greaterThan">
      <formula>0</formula>
    </cfRule>
  </conditionalFormatting>
  <conditionalFormatting sqref="G13:G19">
    <cfRule type="cellIs" dxfId="206" priority="7" operator="equal">
      <formula>0</formula>
    </cfRule>
    <cfRule type="cellIs" dxfId="205" priority="8" operator="lessThan">
      <formula>0</formula>
    </cfRule>
    <cfRule type="cellIs" dxfId="204" priority="9" operator="greaterThan">
      <formula>0</formula>
    </cfRule>
  </conditionalFormatting>
  <conditionalFormatting sqref="G21:G26 G28:G30 G32:G34 G36:G38">
    <cfRule type="cellIs" dxfId="203" priority="14" operator="equal">
      <formula>0</formula>
    </cfRule>
    <cfRule type="cellIs" dxfId="202" priority="15" operator="lessThan">
      <formula>0</formula>
    </cfRule>
    <cfRule type="cellIs" dxfId="201" priority="16" operator="greaterThan">
      <formula>0</formula>
    </cfRule>
  </conditionalFormatting>
  <conditionalFormatting sqref="G42:G46">
    <cfRule type="cellIs" dxfId="200" priority="1" operator="equal">
      <formula>0</formula>
    </cfRule>
    <cfRule type="cellIs" dxfId="199" priority="2" operator="lessThan">
      <formula>0</formula>
    </cfRule>
    <cfRule type="cellIs" dxfId="198" priority="3"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10" operator="containsText" id="{1697331D-1ADB-0442-B76D-E39D6B7C84A2}">
            <xm:f>NOT(ISERROR(SEARCH("-",G49)))</xm:f>
            <xm:f>"-"</xm:f>
            <x14:dxf>
              <font>
                <color rgb="FF9C0006"/>
              </font>
              <fill>
                <patternFill>
                  <bgColor rgb="FFFFC7CE"/>
                </patternFill>
              </fill>
            </x14:dxf>
          </x14:cfRule>
          <xm:sqref>G49</xm:sqref>
        </x14:conditionalFormatting>
      </x14:conditionalFormatting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6D985-AE01-0342-BE41-0E4BF767DA8A}">
  <sheetPr codeName="Sheet46"/>
  <dimension ref="A1:K59"/>
  <sheetViews>
    <sheetView workbookViewId="0"/>
  </sheetViews>
  <sheetFormatPr defaultColWidth="11.33203125" defaultRowHeight="14.4" outlineLevelRow="3"/>
  <cols>
    <col min="1" max="1" width="23.109375" customWidth="1"/>
    <col min="2" max="2" width="28.109375" customWidth="1"/>
    <col min="3" max="6" width="25" customWidth="1"/>
    <col min="7" max="7" width="19.44140625" customWidth="1"/>
    <col min="8" max="8" width="15.44140625" customWidth="1"/>
  </cols>
  <sheetData>
    <row r="1" spans="1:11" ht="18">
      <c r="A1" s="180" t="s">
        <v>576</v>
      </c>
      <c r="B1" s="13" t="s">
        <v>164</v>
      </c>
      <c r="C1" s="44" t="str">
        <f>"13/07/18" &amp; " - " &amp; "20/07/18"</f>
        <v>13/07/18 - 20/07/18</v>
      </c>
      <c r="D1" s="44" t="str">
        <f>TEXT(DATEVALUE(RIGHT(C1,8))+1,"dd/mm/yy")&amp; " - "&amp; TEXT(DATEVALUE(RIGHT(C1,8))+7,"dd/mm/yy")</f>
        <v>21/07/18 - 27/07/18</v>
      </c>
      <c r="E1" s="44" t="str">
        <f>TEXT(DATEVALUE(RIGHT(D1,8))+1,"dd/mm/yy")&amp; " - "&amp; TEXT(DATEVALUE(RIGHT(D1,8))+7,"dd/mm/yy")</f>
        <v>28/07/18 - 03/08/18</v>
      </c>
      <c r="F1" s="44" t="str">
        <f>TEXT(DATEVALUE(RIGHT(E1,8))+1,"dd/mm/yy")&amp; " - "&amp; TEXT(DATEVALUE(RIGHT(E1,8))+7,"dd/mm/yy")</f>
        <v>04/08/18 - 10/08/18</v>
      </c>
      <c r="G1" s="12" t="s">
        <v>10</v>
      </c>
      <c r="H1" s="9"/>
    </row>
    <row r="2" spans="1:11" ht="18">
      <c r="A2" s="13" t="s">
        <v>165</v>
      </c>
      <c r="B2" s="10">
        <f>SUM(B4,B12,B37)</f>
        <v>2067.54</v>
      </c>
      <c r="C2" s="296">
        <f>SUM(C5:C24)</f>
        <v>2261.89</v>
      </c>
      <c r="D2" s="296">
        <f>SUM(D5:D24)</f>
        <v>17.97</v>
      </c>
      <c r="E2" s="296">
        <f>SUM(E5:E24)</f>
        <v>82.490000000000009</v>
      </c>
      <c r="F2" s="296">
        <f>SUM(F5:F24)</f>
        <v>0</v>
      </c>
      <c r="G2" s="10"/>
      <c r="H2" s="9"/>
    </row>
    <row r="3" spans="1:11" ht="18">
      <c r="A3" s="250"/>
      <c r="B3" s="10"/>
      <c r="C3" s="296"/>
      <c r="D3" s="296"/>
      <c r="E3" s="296"/>
      <c r="F3" s="296"/>
      <c r="G3" s="10"/>
      <c r="H3" s="9"/>
    </row>
    <row r="4" spans="1:11" ht="18">
      <c r="A4" s="178" t="s">
        <v>166</v>
      </c>
      <c r="B4" s="183">
        <f>SUM(B5:B8)</f>
        <v>767.82999999999993</v>
      </c>
      <c r="C4" s="296"/>
      <c r="D4" s="296"/>
      <c r="E4" s="296"/>
      <c r="F4" s="296"/>
      <c r="G4" s="184">
        <f>ROUND(SUM(G5:G8),2)</f>
        <v>-6.33</v>
      </c>
      <c r="H4" s="9" t="s">
        <v>10</v>
      </c>
      <c r="I4">
        <f>SUM(I5:I8)+SUM(I14:I19)+SUM(I22:I26)+SUM(I29:I30)+SUM(I38:I40)</f>
        <v>455.25999999999993</v>
      </c>
    </row>
    <row r="5" spans="1:11" ht="18" outlineLevel="1">
      <c r="A5" s="105" t="s">
        <v>167</v>
      </c>
      <c r="B5" s="17">
        <v>120</v>
      </c>
      <c r="C5" s="10">
        <v>40</v>
      </c>
      <c r="D5" s="10"/>
      <c r="E5" s="10">
        <v>40</v>
      </c>
      <c r="F5" s="10"/>
      <c r="G5" s="10">
        <f t="shared" ref="G5:G8" si="0">IF(B5&lt;&gt;"",B5-C5-D5-E5-F5,"")</f>
        <v>40</v>
      </c>
      <c r="H5" s="12" t="str">
        <f>A5</f>
        <v xml:space="preserve">Car Petrol </v>
      </c>
      <c r="I5">
        <f>IF(G5&lt;0,G5*-1,0)</f>
        <v>0</v>
      </c>
    </row>
    <row r="6" spans="1:11" ht="18" outlineLevel="1">
      <c r="A6" s="105" t="s">
        <v>577</v>
      </c>
      <c r="B6" s="10">
        <v>42.83</v>
      </c>
      <c r="C6" s="10">
        <f>29.32+1.51+0.95+11.05</f>
        <v>42.83</v>
      </c>
      <c r="D6" s="10"/>
      <c r="E6" s="10"/>
      <c r="F6" s="10"/>
      <c r="G6" s="10">
        <f t="shared" si="0"/>
        <v>0</v>
      </c>
      <c r="H6" s="12" t="str">
        <f>A6</f>
        <v>Food/Bunnies/Toiletries</v>
      </c>
      <c r="I6">
        <f>IF(G6&lt;0,G6*-1,0)</f>
        <v>0</v>
      </c>
    </row>
    <row r="7" spans="1:11" ht="18" outlineLevel="1">
      <c r="A7" s="105" t="s">
        <v>170</v>
      </c>
      <c r="B7" s="10">
        <v>125</v>
      </c>
      <c r="C7" s="10">
        <f>1.5+1+26.83+125</f>
        <v>154.32999999999998</v>
      </c>
      <c r="D7" s="10"/>
      <c r="E7" s="10"/>
      <c r="F7" s="10"/>
      <c r="G7" s="10">
        <f t="shared" si="0"/>
        <v>-29.329999999999984</v>
      </c>
      <c r="H7" s="12" t="str">
        <f>A7</f>
        <v>Gift Fund</v>
      </c>
      <c r="I7">
        <f>IF(G7&lt;0,G7*-1,0)</f>
        <v>29.329999999999984</v>
      </c>
    </row>
    <row r="8" spans="1:11" ht="18" outlineLevel="1">
      <c r="A8" s="105" t="s">
        <v>171</v>
      </c>
      <c r="B8" s="10">
        <v>480</v>
      </c>
      <c r="C8" s="10">
        <f>250+240</f>
        <v>490</v>
      </c>
      <c r="D8" s="10">
        <v>7</v>
      </c>
      <c r="E8" s="10"/>
      <c r="F8" s="10"/>
      <c r="G8" s="10">
        <f t="shared" si="0"/>
        <v>-17</v>
      </c>
      <c r="H8" s="12" t="str">
        <f>A8</f>
        <v>Holiday Fund</v>
      </c>
      <c r="I8">
        <f>IF(G8&lt;0,G8*-1,0)</f>
        <v>17</v>
      </c>
    </row>
    <row r="9" spans="1:11" ht="18" outlineLevel="1">
      <c r="A9" s="105" t="s">
        <v>172</v>
      </c>
      <c r="B9" s="10">
        <f>IF(B45 &lt;&gt; 0,B45-B4-B12-B37,0)</f>
        <v>948.50999999999976</v>
      </c>
      <c r="C9" s="10">
        <f>80+25.95+35+57.98+38.96+11.05+4.99+8.99+27+57.92+3.49+11.99+53.16+1.7</f>
        <v>418.18</v>
      </c>
      <c r="D9" s="10">
        <f>4.58+6.39</f>
        <v>10.969999999999999</v>
      </c>
      <c r="E9" s="10">
        <f>3.49+9+30</f>
        <v>42.49</v>
      </c>
      <c r="F9" s="10"/>
      <c r="G9" s="10">
        <f>IF(B9&lt;&gt;"",B9-C9-D9-E9-F9-I4,"")</f>
        <v>21.609999999999729</v>
      </c>
      <c r="H9" s="12" t="s">
        <v>172</v>
      </c>
      <c r="I9" s="11"/>
      <c r="J9" s="11"/>
    </row>
    <row r="10" spans="1:11" ht="18" outlineLevel="1">
      <c r="A10" s="185"/>
      <c r="B10" s="10"/>
      <c r="C10" s="10"/>
      <c r="D10" s="10"/>
      <c r="E10" s="10"/>
      <c r="F10" s="10"/>
      <c r="G10" s="10"/>
      <c r="H10" s="9"/>
      <c r="J10" s="11"/>
    </row>
    <row r="11" spans="1:11" ht="18">
      <c r="A11" s="185"/>
      <c r="B11" s="10"/>
      <c r="C11" s="10"/>
      <c r="D11" s="10"/>
      <c r="E11" s="10"/>
      <c r="F11" s="10"/>
      <c r="G11" s="10"/>
      <c r="H11" s="9"/>
      <c r="J11" s="11"/>
    </row>
    <row r="12" spans="1:11" ht="18">
      <c r="A12" s="177" t="s">
        <v>422</v>
      </c>
      <c r="B12" s="183">
        <f>B13+B21+B28+B32</f>
        <v>1146.76</v>
      </c>
      <c r="C12" s="10"/>
      <c r="D12" s="10"/>
      <c r="E12" s="10"/>
      <c r="F12" s="10"/>
      <c r="G12" s="234">
        <f>ROUND(SUM(G13,G21,G28,G32),2)</f>
        <v>-400.79</v>
      </c>
      <c r="H12" s="237" t="s">
        <v>10</v>
      </c>
      <c r="I12" s="11"/>
    </row>
    <row r="13" spans="1:11" ht="18">
      <c r="A13" s="105" t="s">
        <v>594</v>
      </c>
      <c r="B13" s="183">
        <f>SUM(B14:B19)</f>
        <v>661.79</v>
      </c>
      <c r="C13" s="10"/>
      <c r="D13" s="10"/>
      <c r="E13" s="10"/>
      <c r="F13" s="10"/>
      <c r="G13" s="235">
        <f>IF(B13&lt;&gt;"",SUM(G14:G19),0)</f>
        <v>-408.78</v>
      </c>
      <c r="H13" s="236" t="str">
        <f t="shared" ref="H13:H28" si="1">A13</f>
        <v>House Outgoings</v>
      </c>
    </row>
    <row r="14" spans="1:11" ht="18" outlineLevel="2">
      <c r="A14" s="13" t="s">
        <v>595</v>
      </c>
      <c r="B14" s="184">
        <v>452.64</v>
      </c>
      <c r="C14" s="10">
        <v>452.64</v>
      </c>
      <c r="D14" s="10"/>
      <c r="E14" s="10"/>
      <c r="F14" s="10"/>
      <c r="G14" s="10">
        <f t="shared" ref="G14:G32" si="2">IF(B14&lt;&gt;"",B14-C14-D14-E14-F14,"")</f>
        <v>0</v>
      </c>
      <c r="H14" s="12" t="str">
        <f t="shared" si="1"/>
        <v>Mortgage</v>
      </c>
      <c r="I14">
        <f t="shared" ref="I14:I19" si="3">IF(G14&lt;0,G14*-1,0)</f>
        <v>0</v>
      </c>
    </row>
    <row r="15" spans="1:11" ht="18" outlineLevel="2">
      <c r="A15" s="13" t="s">
        <v>596</v>
      </c>
      <c r="B15" s="184">
        <v>130</v>
      </c>
      <c r="C15" s="10">
        <f>277+261.78</f>
        <v>538.78</v>
      </c>
      <c r="D15" s="10"/>
      <c r="E15" s="10"/>
      <c r="F15" s="10"/>
      <c r="G15" s="10">
        <f t="shared" si="2"/>
        <v>-408.78</v>
      </c>
      <c r="H15" s="12" t="str">
        <f t="shared" si="1"/>
        <v>Council tax</v>
      </c>
      <c r="I15">
        <f t="shared" si="3"/>
        <v>408.78</v>
      </c>
      <c r="J15" s="11"/>
      <c r="K15" s="238"/>
    </row>
    <row r="16" spans="1:11" ht="18" outlineLevel="2">
      <c r="A16" s="13" t="s">
        <v>597</v>
      </c>
      <c r="B16" s="184">
        <v>34</v>
      </c>
      <c r="C16" s="10">
        <v>34</v>
      </c>
      <c r="D16" s="10"/>
      <c r="E16" s="10"/>
      <c r="F16" s="10"/>
      <c r="G16" s="10">
        <f t="shared" si="2"/>
        <v>0</v>
      </c>
      <c r="H16" s="12" t="str">
        <f t="shared" si="1"/>
        <v>Water</v>
      </c>
      <c r="I16">
        <f t="shared" si="3"/>
        <v>0</v>
      </c>
    </row>
    <row r="17" spans="1:9" ht="18" outlineLevel="2">
      <c r="A17" s="13" t="s">
        <v>598</v>
      </c>
      <c r="B17" s="184">
        <v>0</v>
      </c>
      <c r="C17" s="10"/>
      <c r="D17" s="10"/>
      <c r="E17" s="10"/>
      <c r="F17" s="10"/>
      <c r="G17" s="10">
        <f t="shared" si="2"/>
        <v>0</v>
      </c>
      <c r="H17" s="12" t="str">
        <f t="shared" si="1"/>
        <v>Electricity</v>
      </c>
      <c r="I17">
        <f t="shared" si="3"/>
        <v>0</v>
      </c>
    </row>
    <row r="18" spans="1:9" ht="18" outlineLevel="2">
      <c r="A18" s="13" t="s">
        <v>599</v>
      </c>
      <c r="B18" s="184">
        <v>0</v>
      </c>
      <c r="C18" s="10"/>
      <c r="D18" s="10"/>
      <c r="E18" s="10"/>
      <c r="F18" s="10"/>
      <c r="G18" s="10">
        <f t="shared" si="2"/>
        <v>0</v>
      </c>
      <c r="H18" s="12" t="str">
        <f t="shared" si="1"/>
        <v>Gas</v>
      </c>
      <c r="I18">
        <f t="shared" si="3"/>
        <v>0</v>
      </c>
    </row>
    <row r="19" spans="1:9" ht="18" outlineLevel="2">
      <c r="A19" s="13" t="s">
        <v>600</v>
      </c>
      <c r="B19" s="184">
        <f>4.52+15.97+8.56+16.1</f>
        <v>45.150000000000006</v>
      </c>
      <c r="C19" s="10">
        <v>45.15</v>
      </c>
      <c r="D19" s="10"/>
      <c r="E19" s="10"/>
      <c r="F19" s="10"/>
      <c r="G19" s="10">
        <f t="shared" si="2"/>
        <v>7.1054273576010019E-15</v>
      </c>
      <c r="H19" s="12" t="str">
        <f t="shared" si="1"/>
        <v>Insurance</v>
      </c>
      <c r="I19">
        <f t="shared" si="3"/>
        <v>0</v>
      </c>
    </row>
    <row r="20" spans="1:9" s="747" customFormat="1" ht="18" outlineLevel="2">
      <c r="A20" s="747" t="str">
        <f>IF(B20&lt;&gt;"",B20-C20-D20-E20-F20,"")</f>
        <v/>
      </c>
    </row>
    <row r="21" spans="1:9" ht="18" outlineLevel="1">
      <c r="A21" s="105" t="s">
        <v>601</v>
      </c>
      <c r="B21" s="296">
        <f>SUM(B22:B26)</f>
        <v>84.970000000000013</v>
      </c>
      <c r="C21" s="10"/>
      <c r="D21" s="10"/>
      <c r="E21" s="10"/>
      <c r="F21" s="10"/>
      <c r="G21" s="235">
        <f>IF(B21&lt;&gt;"",SUM(G22:G26),0)</f>
        <v>7.99</v>
      </c>
      <c r="H21" s="236" t="str">
        <f t="shared" si="1"/>
        <v>Tech</v>
      </c>
      <c r="I21" s="11"/>
    </row>
    <row r="22" spans="1:9" ht="18" outlineLevel="2">
      <c r="A22" s="13" t="s">
        <v>602</v>
      </c>
      <c r="B22" s="33">
        <v>35.99</v>
      </c>
      <c r="C22" s="10">
        <v>35.99</v>
      </c>
      <c r="D22" s="10"/>
      <c r="E22" s="10"/>
      <c r="F22" s="10"/>
      <c r="G22" s="10">
        <f t="shared" si="2"/>
        <v>0</v>
      </c>
      <c r="H22" s="12" t="str">
        <f t="shared" si="1"/>
        <v>Broadband / TV</v>
      </c>
      <c r="I22">
        <f>IF(G22&lt;0,G22*-1,0)</f>
        <v>0</v>
      </c>
    </row>
    <row r="23" spans="1:9" ht="18" outlineLevel="2">
      <c r="A23" s="13" t="s">
        <v>587</v>
      </c>
      <c r="B23" s="33">
        <v>9.99</v>
      </c>
      <c r="C23" s="10">
        <v>9.99</v>
      </c>
      <c r="D23" s="10"/>
      <c r="E23" s="10"/>
      <c r="F23" s="10"/>
      <c r="G23" s="10">
        <f t="shared" si="2"/>
        <v>0</v>
      </c>
      <c r="H23" s="12" t="str">
        <f t="shared" si="1"/>
        <v>Sky Movies (14th)</v>
      </c>
      <c r="I23">
        <f>IF(G23&lt;0,G23*-1,0)</f>
        <v>0</v>
      </c>
    </row>
    <row r="24" spans="1:9" ht="18" outlineLevel="2">
      <c r="A24" s="13" t="s">
        <v>582</v>
      </c>
      <c r="B24" s="33">
        <v>7.99</v>
      </c>
      <c r="C24" s="10"/>
      <c r="D24" s="10"/>
      <c r="E24" s="10"/>
      <c r="F24" s="10"/>
      <c r="G24" s="10">
        <f t="shared" si="2"/>
        <v>7.99</v>
      </c>
      <c r="H24" s="12" t="str">
        <f t="shared" si="1"/>
        <v>Onedrive (6th)</v>
      </c>
      <c r="I24">
        <f>IF(G24&lt;0,G24*-1,0)</f>
        <v>0</v>
      </c>
    </row>
    <row r="25" spans="1:9" ht="18" outlineLevel="2">
      <c r="A25" s="13" t="s">
        <v>589</v>
      </c>
      <c r="B25" s="33">
        <v>14.99</v>
      </c>
      <c r="C25" s="10">
        <v>14.99</v>
      </c>
      <c r="D25" s="10"/>
      <c r="E25" s="10"/>
      <c r="F25" s="10"/>
      <c r="G25" s="10">
        <f>IF(B25&lt;&gt;"",B25-C25-D25-E25-F25,"")</f>
        <v>0</v>
      </c>
      <c r="H25" s="12" t="str">
        <f>A25</f>
        <v>Music</v>
      </c>
      <c r="I25">
        <f>IF(G25&lt;0,G25*-1,0)</f>
        <v>0</v>
      </c>
    </row>
    <row r="26" spans="1:9" ht="18" outlineLevel="2" collapsed="1">
      <c r="A26" s="13" t="s">
        <v>603</v>
      </c>
      <c r="B26" s="33">
        <v>16.010000000000002</v>
      </c>
      <c r="C26" s="10">
        <v>16.010000000000002</v>
      </c>
      <c r="D26" s="10"/>
      <c r="E26" s="10"/>
      <c r="F26" s="10"/>
      <c r="G26" s="10">
        <f>IF(B26&lt;&gt;"",B26-C26-D26-E26-F26,"")</f>
        <v>0</v>
      </c>
      <c r="H26" s="12" t="str">
        <f>A26</f>
        <v>Matt Phone  (21st)</v>
      </c>
      <c r="I26">
        <f>IF(G26&lt;0,G26*-1,0)</f>
        <v>0</v>
      </c>
    </row>
    <row r="27" spans="1:9" s="747" customFormat="1" ht="18" outlineLevel="2">
      <c r="A27" s="747" t="str">
        <f>IF(B27&lt;&gt;"",B27-C27-D27-E27-F27,"")</f>
        <v/>
      </c>
    </row>
    <row r="28" spans="1:9" ht="18" outlineLevel="1">
      <c r="A28" s="105" t="s">
        <v>183</v>
      </c>
      <c r="B28" s="296">
        <f>SUM(B29:B30)</f>
        <v>400</v>
      </c>
      <c r="C28" s="10"/>
      <c r="D28" s="10"/>
      <c r="E28" s="10"/>
      <c r="F28" s="10"/>
      <c r="G28" s="235">
        <f>IF(B28&lt;&gt;"",SUM(G29:G30),0)</f>
        <v>0</v>
      </c>
      <c r="H28" s="236" t="str">
        <f t="shared" si="1"/>
        <v>Savings</v>
      </c>
    </row>
    <row r="29" spans="1:9" ht="18" outlineLevel="2">
      <c r="A29" s="13" t="s">
        <v>590</v>
      </c>
      <c r="B29" s="33">
        <v>200</v>
      </c>
      <c r="C29" s="10">
        <f>100+100</f>
        <v>200</v>
      </c>
      <c r="D29" s="10"/>
      <c r="E29" s="10"/>
      <c r="F29" s="10"/>
      <c r="G29" s="10">
        <f t="shared" si="2"/>
        <v>0</v>
      </c>
      <c r="H29" s="12" t="str">
        <f>A29</f>
        <v>Contingency</v>
      </c>
      <c r="I29">
        <f>IF(G29&lt;0,G29*-1,0)</f>
        <v>0</v>
      </c>
    </row>
    <row r="30" spans="1:9" ht="18" outlineLevel="2">
      <c r="A30" s="13" t="s">
        <v>591</v>
      </c>
      <c r="B30" s="33">
        <v>200</v>
      </c>
      <c r="C30" s="10">
        <v>200</v>
      </c>
      <c r="D30" s="10"/>
      <c r="E30" s="10"/>
      <c r="F30" s="10"/>
      <c r="G30" s="10">
        <f t="shared" si="2"/>
        <v>0</v>
      </c>
      <c r="H30" s="12" t="str">
        <f>A30</f>
        <v>HTB</v>
      </c>
      <c r="I30">
        <f>IF(G30&lt;0,G30*-1,0)</f>
        <v>0</v>
      </c>
    </row>
    <row r="31" spans="1:9" s="748" customFormat="1" ht="18" outlineLevel="2"/>
    <row r="32" spans="1:9" ht="18" outlineLevel="1">
      <c r="A32" s="105" t="s">
        <v>130</v>
      </c>
      <c r="B32" s="296">
        <f>SUM(B33:B34)</f>
        <v>0</v>
      </c>
      <c r="C32" s="10"/>
      <c r="D32" s="10"/>
      <c r="E32" s="10"/>
      <c r="F32" s="10"/>
      <c r="G32" s="235">
        <f t="shared" si="2"/>
        <v>0</v>
      </c>
      <c r="H32" s="236" t="str">
        <f>A32</f>
        <v>Other</v>
      </c>
    </row>
    <row r="33" spans="1:9" ht="18" outlineLevel="3">
      <c r="A33" s="31" t="s">
        <v>609</v>
      </c>
      <c r="B33" s="211">
        <v>0</v>
      </c>
      <c r="C33" s="211"/>
      <c r="D33" s="211"/>
      <c r="E33" s="211"/>
      <c r="F33" s="211"/>
      <c r="G33" s="10">
        <f>IF(B33&lt;&gt;"",B33-C33-D33-E33-F33,"")</f>
        <v>0</v>
      </c>
      <c r="H33" s="12" t="str">
        <f>A33</f>
        <v>K stuff</v>
      </c>
    </row>
    <row r="34" spans="1:9" ht="18" outlineLevel="3">
      <c r="A34" s="31"/>
      <c r="B34" s="211"/>
      <c r="C34" s="211"/>
      <c r="D34" s="211"/>
      <c r="E34" s="211"/>
      <c r="F34" s="211"/>
      <c r="G34" s="10"/>
      <c r="H34" s="12"/>
    </row>
    <row r="35" spans="1:9" ht="18" outlineLevel="1">
      <c r="A35" s="185"/>
      <c r="B35" s="10"/>
      <c r="C35" s="10"/>
      <c r="D35" s="10"/>
      <c r="E35" s="10"/>
      <c r="F35" s="10"/>
      <c r="G35" s="10"/>
      <c r="H35" s="9"/>
    </row>
    <row r="36" spans="1:9" ht="18" outlineLevel="1">
      <c r="A36" s="185"/>
      <c r="B36" s="10"/>
      <c r="C36" s="10"/>
      <c r="D36" s="10"/>
      <c r="E36" s="10"/>
      <c r="F36" s="10"/>
      <c r="G36" s="10"/>
      <c r="H36" s="9"/>
    </row>
    <row r="37" spans="1:9" ht="18">
      <c r="A37" s="177" t="s">
        <v>424</v>
      </c>
      <c r="B37" s="183">
        <f>SUM(B38,B40,B39)</f>
        <v>152.95000000000002</v>
      </c>
      <c r="C37" s="10"/>
      <c r="D37" s="10"/>
      <c r="E37" s="10"/>
      <c r="F37" s="10"/>
      <c r="G37" s="183">
        <f>SUM(G38,G40,G39)</f>
        <v>12.810000000000013</v>
      </c>
      <c r="H37" s="9" t="s">
        <v>10</v>
      </c>
    </row>
    <row r="38" spans="1:9" ht="18" outlineLevel="1">
      <c r="A38" s="105" t="s">
        <v>359</v>
      </c>
      <c r="B38" s="183">
        <v>12.96</v>
      </c>
      <c r="C38" s="10"/>
      <c r="D38" s="10"/>
      <c r="E38" s="10"/>
      <c r="F38" s="10"/>
      <c r="G38" s="10">
        <f>IF(B38&lt;&gt;"",B38-C38-D38-E38-F38,"")</f>
        <v>12.96</v>
      </c>
      <c r="H38" s="12" t="str">
        <f>A38</f>
        <v>TV License</v>
      </c>
      <c r="I38">
        <f>IF(G38&lt;0,G38*-1,0)</f>
        <v>0</v>
      </c>
    </row>
    <row r="39" spans="1:9" ht="18" outlineLevel="1">
      <c r="A39" s="105" t="s">
        <v>605</v>
      </c>
      <c r="B39" s="183">
        <v>0</v>
      </c>
      <c r="C39" s="10"/>
      <c r="D39" s="10"/>
      <c r="E39" s="10"/>
      <c r="F39" s="10"/>
      <c r="G39" s="10">
        <f>IF(B39&lt;&gt;"",B39-C39-D39-E39-F39,"")</f>
        <v>0</v>
      </c>
      <c r="H39" s="12" t="str">
        <f>A39</f>
        <v>Landscaping</v>
      </c>
      <c r="I39">
        <f>IF(G39&lt;0,G39*-1,0)</f>
        <v>0</v>
      </c>
    </row>
    <row r="40" spans="1:9" ht="18" outlineLevel="1">
      <c r="A40" s="105" t="s">
        <v>606</v>
      </c>
      <c r="B40" s="33">
        <f>ROUND(SUM(B41:B42),0)+5.99</f>
        <v>139.99</v>
      </c>
      <c r="C40" s="10">
        <f>17.5+89.09+5.99</f>
        <v>112.58</v>
      </c>
      <c r="D40" s="10"/>
      <c r="E40" s="10">
        <v>27.56</v>
      </c>
      <c r="F40" s="10"/>
      <c r="G40" s="10">
        <f t="shared" ref="G40:G42" si="4">IF(B40&lt;&gt;"",B40-C40-D40-E40-F40,"")</f>
        <v>-0.14999999999998792</v>
      </c>
      <c r="H40" s="12" t="str">
        <f t="shared" ref="H40:H42" si="5">A40</f>
        <v>Car</v>
      </c>
      <c r="I40">
        <f>IF(G40&lt;0,G40*-1,0)</f>
        <v>0.14999999999998792</v>
      </c>
    </row>
    <row r="41" spans="1:9" ht="19.5" hidden="1" customHeight="1" outlineLevel="2">
      <c r="A41" s="31" t="s">
        <v>570</v>
      </c>
      <c r="B41" s="10">
        <f>89.09+27.56</f>
        <v>116.65</v>
      </c>
      <c r="C41" s="10"/>
      <c r="D41" s="10"/>
      <c r="E41" s="10"/>
      <c r="F41" s="10"/>
      <c r="G41" s="10">
        <f t="shared" si="4"/>
        <v>116.65</v>
      </c>
      <c r="H41" s="12" t="str">
        <f t="shared" si="5"/>
        <v>Car Ins. / tax</v>
      </c>
    </row>
    <row r="42" spans="1:9" ht="19.5" hidden="1" customHeight="1" outlineLevel="2">
      <c r="A42" s="31" t="s">
        <v>571</v>
      </c>
      <c r="B42" s="10">
        <f>210/12</f>
        <v>17.5</v>
      </c>
      <c r="C42" s="10"/>
      <c r="D42" s="10"/>
      <c r="E42" s="10"/>
      <c r="F42" s="10"/>
      <c r="G42" s="10">
        <f t="shared" si="4"/>
        <v>17.5</v>
      </c>
      <c r="H42" s="12" t="str">
        <f t="shared" si="5"/>
        <v>Car Service</v>
      </c>
    </row>
    <row r="43" spans="1:9" ht="18" outlineLevel="1" collapsed="1">
      <c r="A43" s="208"/>
      <c r="B43" s="10"/>
      <c r="C43" s="10"/>
      <c r="D43" s="10"/>
      <c r="E43" s="10"/>
      <c r="F43" s="10"/>
      <c r="G43" s="10"/>
      <c r="H43" s="48"/>
    </row>
    <row r="44" spans="1:9" ht="18">
      <c r="A44" s="208"/>
      <c r="B44" s="10"/>
      <c r="C44" s="10"/>
      <c r="D44" s="10"/>
      <c r="E44" s="10"/>
      <c r="F44" s="10"/>
      <c r="G44" s="10"/>
      <c r="H44" s="48"/>
    </row>
    <row r="45" spans="1:9" ht="18">
      <c r="A45" s="179" t="s">
        <v>186</v>
      </c>
      <c r="B45" s="296">
        <f>SUM(C45:F45)</f>
        <v>3016.0499999999997</v>
      </c>
      <c r="C45" s="26">
        <f>41.94+1331.09+34+26+240+100+5.99+16.64+18.22+181.78+34+11+936</f>
        <v>2976.66</v>
      </c>
      <c r="D45" s="26">
        <f>7+29.33</f>
        <v>36.33</v>
      </c>
      <c r="E45" s="27">
        <v>3.06</v>
      </c>
      <c r="F45" s="36"/>
      <c r="G45" s="46" t="str">
        <f>ROUND(SUM(G4,G9,G12,G37) + I4,2) &amp; " / " &amp; B45</f>
        <v>82.56 / 3016.05</v>
      </c>
      <c r="H45" s="10"/>
    </row>
    <row r="46" spans="1:9" ht="18">
      <c r="A46" s="24"/>
      <c r="B46" s="10"/>
      <c r="C46" s="49"/>
      <c r="D46" s="26"/>
      <c r="E46" s="23"/>
      <c r="F46" s="25"/>
      <c r="G46" s="79"/>
      <c r="H46" s="11"/>
    </row>
    <row r="47" spans="1:9" ht="18">
      <c r="A47" s="17" t="s">
        <v>187</v>
      </c>
      <c r="B47" s="17" t="str">
        <f ca="1">IF(MONTH(TODAY()) = 11, IF(MONTH(DATEVALUE(RIGHT(A1,3)&amp;" 1"))=11, "Bike insurance due",""),"")</f>
        <v/>
      </c>
      <c r="C47" s="59"/>
      <c r="D47" s="16"/>
      <c r="E47" s="16"/>
      <c r="F47" s="16"/>
    </row>
    <row r="48" spans="1:9" ht="18">
      <c r="A48" s="17"/>
      <c r="B48" s="17"/>
      <c r="C48" s="39"/>
      <c r="D48" s="39"/>
      <c r="E48" s="16"/>
      <c r="F48" s="18"/>
    </row>
    <row r="49" spans="1:9" ht="18">
      <c r="A49" s="17"/>
      <c r="B49" s="17"/>
      <c r="D49" s="39"/>
      <c r="E49" s="43"/>
      <c r="F49" s="18"/>
      <c r="G49" s="11"/>
      <c r="H49" s="11"/>
    </row>
    <row r="50" spans="1:9" ht="18">
      <c r="A50" s="20"/>
      <c r="B50" s="11"/>
      <c r="D50" s="11">
        <f>3*130+114</f>
        <v>504</v>
      </c>
      <c r="E50" s="11"/>
      <c r="F50" s="11"/>
      <c r="G50">
        <v>114</v>
      </c>
      <c r="H50" s="11">
        <v>1</v>
      </c>
      <c r="I50" s="11">
        <f>G50*H50</f>
        <v>114</v>
      </c>
    </row>
    <row r="51" spans="1:9" ht="18">
      <c r="B51" s="11"/>
      <c r="C51">
        <v>186.96</v>
      </c>
      <c r="D51" s="11">
        <f>C51-E$51</f>
        <v>114.96000000000001</v>
      </c>
      <c r="E51" s="11">
        <f>D50/7</f>
        <v>72</v>
      </c>
      <c r="F51" s="11"/>
      <c r="G51" s="184">
        <v>130</v>
      </c>
      <c r="H51" s="11">
        <v>2</v>
      </c>
      <c r="I51" s="11">
        <f t="shared" ref="I51:I55" si="6">G51*H51</f>
        <v>260</v>
      </c>
    </row>
    <row r="52" spans="1:9" ht="18">
      <c r="B52" s="10"/>
      <c r="C52" s="11">
        <v>187</v>
      </c>
      <c r="D52" s="11">
        <f t="shared" ref="D52:D57" si="7">C52-E$51</f>
        <v>115</v>
      </c>
      <c r="F52" s="11"/>
      <c r="G52" s="184">
        <v>34</v>
      </c>
      <c r="H52" s="11">
        <v>2</v>
      </c>
      <c r="I52" s="11">
        <f t="shared" si="6"/>
        <v>68</v>
      </c>
    </row>
    <row r="53" spans="1:9" ht="18">
      <c r="B53" s="10"/>
      <c r="C53">
        <v>187</v>
      </c>
      <c r="D53" s="11">
        <f t="shared" si="7"/>
        <v>115</v>
      </c>
      <c r="F53" s="11"/>
      <c r="G53" s="184">
        <v>55</v>
      </c>
      <c r="H53">
        <v>3</v>
      </c>
      <c r="I53" s="11">
        <f t="shared" si="6"/>
        <v>165</v>
      </c>
    </row>
    <row r="54" spans="1:9" ht="18">
      <c r="B54" s="10"/>
      <c r="C54">
        <v>187</v>
      </c>
      <c r="D54" s="11">
        <f t="shared" si="7"/>
        <v>115</v>
      </c>
      <c r="F54" s="11"/>
      <c r="G54" s="184">
        <v>45</v>
      </c>
      <c r="H54">
        <v>3</v>
      </c>
      <c r="I54" s="11">
        <f t="shared" si="6"/>
        <v>135</v>
      </c>
    </row>
    <row r="55" spans="1:9" ht="18">
      <c r="B55" s="10"/>
      <c r="C55">
        <v>187</v>
      </c>
      <c r="D55" s="11">
        <f t="shared" si="7"/>
        <v>115</v>
      </c>
      <c r="F55" s="11"/>
      <c r="G55" s="11">
        <v>12.96</v>
      </c>
      <c r="H55">
        <v>1</v>
      </c>
      <c r="I55" s="11">
        <f t="shared" si="6"/>
        <v>12.96</v>
      </c>
    </row>
    <row r="56" spans="1:9" ht="18">
      <c r="B56" s="10"/>
      <c r="C56">
        <v>187</v>
      </c>
      <c r="D56" s="11">
        <f t="shared" si="7"/>
        <v>115</v>
      </c>
      <c r="F56" s="11"/>
      <c r="G56" s="11"/>
      <c r="I56" s="11">
        <f>SUM(I50:I55)</f>
        <v>754.96</v>
      </c>
    </row>
    <row r="57" spans="1:9" ht="18">
      <c r="B57" s="10"/>
      <c r="C57">
        <v>187</v>
      </c>
      <c r="D57" s="11">
        <f t="shared" si="7"/>
        <v>115</v>
      </c>
      <c r="F57" s="11"/>
      <c r="G57" s="11"/>
      <c r="I57" s="11">
        <f>767.92-I56</f>
        <v>12.959999999999923</v>
      </c>
    </row>
    <row r="58" spans="1:9" ht="18">
      <c r="B58" s="10"/>
      <c r="G58" s="11"/>
    </row>
    <row r="59" spans="1:9" ht="18">
      <c r="B59" s="10"/>
      <c r="G59" s="11"/>
    </row>
  </sheetData>
  <dataConsolidate/>
  <mergeCells count="3">
    <mergeCell ref="A20:XFD20"/>
    <mergeCell ref="A27:XFD27"/>
    <mergeCell ref="A31:XFD31"/>
  </mergeCells>
  <conditionalFormatting sqref="G5:G9">
    <cfRule type="cellIs" dxfId="196" priority="11" operator="lessThan">
      <formula>0</formula>
    </cfRule>
    <cfRule type="cellIs" dxfId="195" priority="12" operator="equal">
      <formula>0</formula>
    </cfRule>
    <cfRule type="cellIs" dxfId="194" priority="13" operator="greaterThan">
      <formula>0</formula>
    </cfRule>
  </conditionalFormatting>
  <conditionalFormatting sqref="G13:G19">
    <cfRule type="cellIs" dxfId="193" priority="7" operator="equal">
      <formula>0</formula>
    </cfRule>
    <cfRule type="cellIs" dxfId="192" priority="8" operator="lessThan">
      <formula>0</formula>
    </cfRule>
    <cfRule type="cellIs" dxfId="191" priority="9" operator="greaterThan">
      <formula>0</formula>
    </cfRule>
  </conditionalFormatting>
  <conditionalFormatting sqref="G21:G26 G28:G30 G32:G34">
    <cfRule type="cellIs" dxfId="190" priority="14" operator="equal">
      <formula>0</formula>
    </cfRule>
    <cfRule type="cellIs" dxfId="189" priority="15" operator="lessThan">
      <formula>0</formula>
    </cfRule>
    <cfRule type="cellIs" dxfId="188" priority="16" operator="greaterThan">
      <formula>0</formula>
    </cfRule>
  </conditionalFormatting>
  <conditionalFormatting sqref="G38:G42">
    <cfRule type="cellIs" dxfId="187" priority="1" operator="equal">
      <formula>0</formula>
    </cfRule>
    <cfRule type="cellIs" dxfId="186" priority="2" operator="lessThan">
      <formula>0</formula>
    </cfRule>
    <cfRule type="cellIs" dxfId="185" priority="3"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10" operator="containsText" id="{E4FB6D4F-258D-F147-81A9-946AD965D0DA}">
            <xm:f>NOT(ISERROR(SEARCH("-",G45)))</xm:f>
            <xm:f>"-"</xm:f>
            <x14:dxf>
              <font>
                <color rgb="FF9C0006"/>
              </font>
              <fill>
                <patternFill>
                  <bgColor rgb="FFFFC7CE"/>
                </patternFill>
              </fill>
            </x14:dxf>
          </x14:cfRule>
          <xm:sqref>G45</xm:sqref>
        </x14:conditionalFormatting>
      </x14:conditionalFormatting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6E079-D3F2-7841-965D-7FDBC6063C17}">
  <sheetPr codeName="Sheet47"/>
  <dimension ref="A1:K59"/>
  <sheetViews>
    <sheetView workbookViewId="0"/>
  </sheetViews>
  <sheetFormatPr defaultColWidth="11.33203125" defaultRowHeight="14.4" outlineLevelRow="3"/>
  <cols>
    <col min="1" max="1" width="23.109375" customWidth="1"/>
    <col min="2" max="2" width="28.109375" customWidth="1"/>
    <col min="3" max="6" width="25" customWidth="1"/>
    <col min="7" max="7" width="19.44140625" customWidth="1"/>
    <col min="8" max="8" width="15.44140625" customWidth="1"/>
  </cols>
  <sheetData>
    <row r="1" spans="1:11" ht="18">
      <c r="A1" s="180" t="s">
        <v>576</v>
      </c>
      <c r="B1" s="13" t="s">
        <v>164</v>
      </c>
      <c r="C1" s="44" t="str">
        <f>"15/08/18" &amp; " - " &amp; "22/08/18"</f>
        <v>15/08/18 - 22/08/18</v>
      </c>
      <c r="D1" s="44" t="str">
        <f>TEXT(DATEVALUE(RIGHT(C1,8))+1,"dd/mm/yy")&amp; " - "&amp; TEXT(DATEVALUE(RIGHT(C1,8))+7,"dd/mm/yy")</f>
        <v>23/08/18 - 29/08/18</v>
      </c>
      <c r="E1" s="44" t="str">
        <f>TEXT(DATEVALUE(RIGHT(D1,8))+1,"dd/mm/yy")&amp; " - "&amp; TEXT(DATEVALUE(RIGHT(D1,8))+7,"dd/mm/yy")</f>
        <v>30/08/18 - 05/09/18</v>
      </c>
      <c r="F1" s="44" t="str">
        <f>TEXT(DATEVALUE(RIGHT(E1,8))+1,"dd/mm/yy")&amp; " - "&amp; TEXT(DATEVALUE(RIGHT(E1,8))+7,"dd/mm/yy")</f>
        <v>06/09/18 - 12/09/18</v>
      </c>
      <c r="G1" s="12" t="s">
        <v>10</v>
      </c>
      <c r="H1" s="9"/>
    </row>
    <row r="2" spans="1:11" ht="18">
      <c r="A2" s="13" t="s">
        <v>165</v>
      </c>
      <c r="B2" s="10">
        <f>SUM(B4,B12,B37)</f>
        <v>1910.62</v>
      </c>
      <c r="C2" s="296">
        <f>SUM(C5:C24)</f>
        <v>1692.0500000000002</v>
      </c>
      <c r="D2" s="296">
        <f>SUM(D5:D24)</f>
        <v>0</v>
      </c>
      <c r="E2" s="296">
        <f>SUM(E5:E24)</f>
        <v>0</v>
      </c>
      <c r="F2" s="296">
        <f>SUM(F5:F24)</f>
        <v>0</v>
      </c>
      <c r="G2" s="10"/>
      <c r="H2" s="9"/>
    </row>
    <row r="3" spans="1:11" ht="18">
      <c r="A3" s="250"/>
      <c r="B3" s="10"/>
      <c r="C3" s="296"/>
      <c r="D3" s="296"/>
      <c r="E3" s="296"/>
      <c r="F3" s="296"/>
      <c r="G3" s="10"/>
      <c r="H3" s="9"/>
    </row>
    <row r="4" spans="1:11" ht="18">
      <c r="A4" s="178" t="s">
        <v>166</v>
      </c>
      <c r="B4" s="183">
        <f>SUM(B5:B8)</f>
        <v>625</v>
      </c>
      <c r="C4" s="296"/>
      <c r="D4" s="296"/>
      <c r="E4" s="296"/>
      <c r="F4" s="296"/>
      <c r="G4" s="184">
        <f>ROUND(SUM(G5:G8),2)</f>
        <v>58</v>
      </c>
      <c r="H4" s="9" t="s">
        <v>10</v>
      </c>
      <c r="I4">
        <f>SUM(I5:I8)+SUM(I14:I19)+SUM(I22:I26)+SUM(I29:I30)+SUM(I38:I40)</f>
        <v>0</v>
      </c>
    </row>
    <row r="5" spans="1:11" ht="18" outlineLevel="1">
      <c r="A5" s="105" t="s">
        <v>167</v>
      </c>
      <c r="B5" s="17">
        <v>100</v>
      </c>
      <c r="C5" s="10">
        <v>42</v>
      </c>
      <c r="D5" s="10"/>
      <c r="E5" s="10"/>
      <c r="F5" s="10"/>
      <c r="G5" s="10">
        <f t="shared" ref="G5:G8" si="0">IF(B5&lt;&gt;"",B5-C5-D5-E5-F5,"")</f>
        <v>58</v>
      </c>
      <c r="H5" s="12" t="str">
        <f>A5</f>
        <v xml:space="preserve">Car Petrol </v>
      </c>
      <c r="I5">
        <f>IF(G5&lt;0,G5*-1,0)</f>
        <v>0</v>
      </c>
    </row>
    <row r="6" spans="1:11" ht="18" outlineLevel="1">
      <c r="A6" s="105" t="s">
        <v>577</v>
      </c>
      <c r="B6" s="10">
        <v>60</v>
      </c>
      <c r="C6" s="10">
        <v>60</v>
      </c>
      <c r="D6" s="10"/>
      <c r="E6" s="10"/>
      <c r="F6" s="10"/>
      <c r="G6" s="10">
        <f t="shared" si="0"/>
        <v>0</v>
      </c>
      <c r="H6" s="12" t="str">
        <f>A6</f>
        <v>Food/Bunnies/Toiletries</v>
      </c>
      <c r="I6">
        <f>IF(G6&lt;0,G6*-1,0)</f>
        <v>0</v>
      </c>
    </row>
    <row r="7" spans="1:11" ht="18" outlineLevel="1">
      <c r="A7" s="105" t="s">
        <v>170</v>
      </c>
      <c r="B7" s="10">
        <v>100</v>
      </c>
      <c r="C7" s="10">
        <v>100</v>
      </c>
      <c r="D7" s="10"/>
      <c r="E7" s="10"/>
      <c r="F7" s="10"/>
      <c r="G7" s="10">
        <f t="shared" si="0"/>
        <v>0</v>
      </c>
      <c r="H7" s="12" t="str">
        <f>A7</f>
        <v>Gift Fund</v>
      </c>
      <c r="I7">
        <f>IF(G7&lt;0,G7*-1,0)</f>
        <v>0</v>
      </c>
    </row>
    <row r="8" spans="1:11" ht="18" outlineLevel="1">
      <c r="A8" s="105" t="s">
        <v>171</v>
      </c>
      <c r="B8" s="10">
        <v>365</v>
      </c>
      <c r="C8" s="10">
        <v>365</v>
      </c>
      <c r="D8" s="10"/>
      <c r="E8" s="10"/>
      <c r="F8" s="10"/>
      <c r="G8" s="10">
        <f t="shared" si="0"/>
        <v>0</v>
      </c>
      <c r="H8" s="12" t="str">
        <f>A8</f>
        <v>Holiday Fund</v>
      </c>
      <c r="I8">
        <f>IF(G8&lt;0,G8*-1,0)</f>
        <v>0</v>
      </c>
    </row>
    <row r="9" spans="1:11" ht="18" outlineLevel="1">
      <c r="A9" s="105" t="s">
        <v>172</v>
      </c>
      <c r="B9" s="10">
        <f>IF(B45 &lt;&gt; 0,B45-B4-B12-B37,0)</f>
        <v>314.89000000000021</v>
      </c>
      <c r="C9" s="10">
        <f>6.29+110+16.75+2.62+8.18+50+79.95+3.49+40</f>
        <v>317.28000000000003</v>
      </c>
      <c r="D9" s="10"/>
      <c r="E9" s="10"/>
      <c r="F9" s="10"/>
      <c r="G9" s="10">
        <f>IF(B9&lt;&gt;"",B9-C9-D9-E9-F9-I4,"")</f>
        <v>-2.3899999999998158</v>
      </c>
      <c r="H9" s="12" t="s">
        <v>172</v>
      </c>
      <c r="I9" s="11"/>
      <c r="J9" s="11"/>
    </row>
    <row r="10" spans="1:11" ht="18" outlineLevel="1">
      <c r="A10" s="185"/>
      <c r="B10" s="10"/>
      <c r="C10" s="10"/>
      <c r="D10" s="10"/>
      <c r="E10" s="10"/>
      <c r="F10" s="10"/>
      <c r="G10" s="10"/>
      <c r="H10" s="9"/>
      <c r="J10" s="11"/>
    </row>
    <row r="11" spans="1:11" ht="18">
      <c r="A11" s="185"/>
      <c r="B11" s="10"/>
      <c r="C11" s="10"/>
      <c r="D11" s="10"/>
      <c r="E11" s="10"/>
      <c r="F11" s="10"/>
      <c r="G11" s="10"/>
      <c r="H11" s="9"/>
      <c r="J11" s="11"/>
    </row>
    <row r="12" spans="1:11" ht="18">
      <c r="A12" s="177" t="s">
        <v>422</v>
      </c>
      <c r="B12" s="183">
        <f>B13+B21+B28+B32</f>
        <v>1106.76</v>
      </c>
      <c r="C12" s="10"/>
      <c r="D12" s="10"/>
      <c r="E12" s="10"/>
      <c r="F12" s="10"/>
      <c r="G12" s="234">
        <f>ROUND(SUM(G13,G21,G28,G32),2)</f>
        <v>22.98</v>
      </c>
      <c r="H12" s="237" t="s">
        <v>10</v>
      </c>
      <c r="I12" s="11"/>
    </row>
    <row r="13" spans="1:11" ht="18">
      <c r="A13" s="105" t="s">
        <v>594</v>
      </c>
      <c r="B13" s="183">
        <f>SUM(B14:B19)</f>
        <v>761.79</v>
      </c>
      <c r="C13" s="10"/>
      <c r="D13" s="10"/>
      <c r="E13" s="10"/>
      <c r="F13" s="10"/>
      <c r="G13" s="235">
        <f>IF(B13&lt;&gt;"",SUM(G14:G19),0)</f>
        <v>7.1054273576010019E-15</v>
      </c>
      <c r="H13" s="236" t="str">
        <f t="shared" ref="H13:H28" si="1">A13</f>
        <v>House Outgoings</v>
      </c>
    </row>
    <row r="14" spans="1:11" ht="18" outlineLevel="2">
      <c r="A14" s="13" t="s">
        <v>595</v>
      </c>
      <c r="B14" s="184">
        <v>452.64</v>
      </c>
      <c r="C14" s="10">
        <v>452.64</v>
      </c>
      <c r="D14" s="10"/>
      <c r="E14" s="10"/>
      <c r="F14" s="10"/>
      <c r="G14" s="10">
        <f t="shared" ref="G14:G32" si="2">IF(B14&lt;&gt;"",B14-C14-D14-E14-F14,"")</f>
        <v>0</v>
      </c>
      <c r="H14" s="12" t="str">
        <f t="shared" si="1"/>
        <v>Mortgage</v>
      </c>
      <c r="I14">
        <f t="shared" ref="I14:I19" si="3">IF(G14&lt;0,G14*-1,0)</f>
        <v>0</v>
      </c>
    </row>
    <row r="15" spans="1:11" ht="18" outlineLevel="2">
      <c r="A15" s="13" t="s">
        <v>596</v>
      </c>
      <c r="B15" s="184">
        <v>130</v>
      </c>
      <c r="C15" s="10">
        <v>130</v>
      </c>
      <c r="D15" s="10"/>
      <c r="E15" s="10"/>
      <c r="F15" s="10"/>
      <c r="G15" s="10">
        <f t="shared" si="2"/>
        <v>0</v>
      </c>
      <c r="H15" s="12" t="str">
        <f t="shared" si="1"/>
        <v>Council tax</v>
      </c>
      <c r="I15">
        <f t="shared" si="3"/>
        <v>0</v>
      </c>
      <c r="J15" s="11"/>
      <c r="K15" s="238"/>
    </row>
    <row r="16" spans="1:11" ht="18" outlineLevel="2">
      <c r="A16" s="13" t="s">
        <v>597</v>
      </c>
      <c r="B16" s="184">
        <v>34</v>
      </c>
      <c r="C16" s="10">
        <v>34</v>
      </c>
      <c r="D16" s="10"/>
      <c r="E16" s="10"/>
      <c r="F16" s="10"/>
      <c r="G16" s="10">
        <f t="shared" si="2"/>
        <v>0</v>
      </c>
      <c r="H16" s="12" t="str">
        <f t="shared" si="1"/>
        <v>Water</v>
      </c>
      <c r="I16">
        <f t="shared" si="3"/>
        <v>0</v>
      </c>
    </row>
    <row r="17" spans="1:11" ht="18" outlineLevel="2">
      <c r="A17" s="13" t="s">
        <v>598</v>
      </c>
      <c r="B17" s="184">
        <v>55</v>
      </c>
      <c r="C17" s="10">
        <v>55</v>
      </c>
      <c r="D17" s="10"/>
      <c r="E17" s="10"/>
      <c r="F17" s="10"/>
      <c r="G17" s="10">
        <f t="shared" si="2"/>
        <v>0</v>
      </c>
      <c r="H17" s="12" t="str">
        <f t="shared" si="1"/>
        <v>Electricity</v>
      </c>
      <c r="I17">
        <f t="shared" si="3"/>
        <v>0</v>
      </c>
    </row>
    <row r="18" spans="1:11" ht="18" outlineLevel="2">
      <c r="A18" s="13" t="s">
        <v>599</v>
      </c>
      <c r="B18" s="184">
        <v>45</v>
      </c>
      <c r="C18" s="10">
        <v>45</v>
      </c>
      <c r="D18" s="10"/>
      <c r="E18" s="10"/>
      <c r="F18" s="10"/>
      <c r="G18" s="10">
        <f t="shared" si="2"/>
        <v>0</v>
      </c>
      <c r="H18" s="12" t="str">
        <f t="shared" si="1"/>
        <v>Gas</v>
      </c>
      <c r="I18">
        <f t="shared" si="3"/>
        <v>0</v>
      </c>
    </row>
    <row r="19" spans="1:11" ht="18" outlineLevel="2">
      <c r="A19" s="13" t="s">
        <v>600</v>
      </c>
      <c r="B19" s="184">
        <f>4.52+15.97+8.56+16.1</f>
        <v>45.150000000000006</v>
      </c>
      <c r="C19" s="10">
        <v>45.15</v>
      </c>
      <c r="D19" s="10"/>
      <c r="E19" s="10"/>
      <c r="F19" s="10"/>
      <c r="G19" s="10">
        <f t="shared" si="2"/>
        <v>7.1054273576010019E-15</v>
      </c>
      <c r="H19" s="12" t="str">
        <f t="shared" si="1"/>
        <v>Insurance</v>
      </c>
      <c r="I19">
        <f t="shared" si="3"/>
        <v>0</v>
      </c>
    </row>
    <row r="20" spans="1:11" s="747" customFormat="1" ht="18" outlineLevel="2">
      <c r="A20" s="747" t="str">
        <f>IF(B20&lt;&gt;"",B20-C20-D20-E20-F20,"")</f>
        <v/>
      </c>
    </row>
    <row r="21" spans="1:11" ht="18" outlineLevel="1">
      <c r="A21" s="105" t="s">
        <v>601</v>
      </c>
      <c r="B21" s="296">
        <f>SUM(B22:B26)</f>
        <v>84.970000000000013</v>
      </c>
      <c r="C21" s="10"/>
      <c r="D21" s="10"/>
      <c r="E21" s="10"/>
      <c r="F21" s="10"/>
      <c r="G21" s="235">
        <f>IF(B21&lt;&gt;"",SUM(G22:G26),0)</f>
        <v>22.98</v>
      </c>
      <c r="H21" s="236" t="str">
        <f t="shared" si="1"/>
        <v>Tech</v>
      </c>
      <c r="I21" s="11"/>
    </row>
    <row r="22" spans="1:11" ht="18" outlineLevel="2">
      <c r="A22" s="13" t="s">
        <v>602</v>
      </c>
      <c r="B22" s="33">
        <v>35.99</v>
      </c>
      <c r="C22" s="10">
        <v>35.99</v>
      </c>
      <c r="D22" s="10"/>
      <c r="E22" s="10"/>
      <c r="F22" s="10"/>
      <c r="G22" s="10">
        <f t="shared" si="2"/>
        <v>0</v>
      </c>
      <c r="H22" s="12" t="str">
        <f t="shared" si="1"/>
        <v>Broadband / TV</v>
      </c>
      <c r="I22">
        <f>IF(G22&lt;0,G22*-1,0)</f>
        <v>0</v>
      </c>
    </row>
    <row r="23" spans="1:11" ht="18" outlineLevel="2">
      <c r="A23" s="13" t="s">
        <v>587</v>
      </c>
      <c r="B23" s="33">
        <v>9.99</v>
      </c>
      <c r="C23" s="10">
        <v>9.99</v>
      </c>
      <c r="D23" s="10"/>
      <c r="E23" s="10"/>
      <c r="F23" s="10"/>
      <c r="G23" s="10">
        <f t="shared" si="2"/>
        <v>0</v>
      </c>
      <c r="H23" s="12" t="str">
        <f t="shared" si="1"/>
        <v>Sky Movies (14th)</v>
      </c>
      <c r="I23">
        <f>IF(G23&lt;0,G23*-1,0)</f>
        <v>0</v>
      </c>
    </row>
    <row r="24" spans="1:11" ht="18" outlineLevel="2">
      <c r="A24" s="13" t="s">
        <v>582</v>
      </c>
      <c r="B24" s="33">
        <v>7.99</v>
      </c>
      <c r="C24" s="10"/>
      <c r="D24" s="10"/>
      <c r="E24" s="10"/>
      <c r="F24" s="10"/>
      <c r="G24" s="10">
        <f t="shared" si="2"/>
        <v>7.99</v>
      </c>
      <c r="H24" s="12" t="str">
        <f t="shared" si="1"/>
        <v>Onedrive (6th)</v>
      </c>
      <c r="I24">
        <f>IF(G24&lt;0,G24*-1,0)</f>
        <v>0</v>
      </c>
    </row>
    <row r="25" spans="1:11" ht="18" outlineLevel="2">
      <c r="A25" s="13" t="s">
        <v>589</v>
      </c>
      <c r="B25" s="33">
        <v>14.99</v>
      </c>
      <c r="C25" s="10"/>
      <c r="D25" s="10"/>
      <c r="E25" s="10"/>
      <c r="F25" s="10"/>
      <c r="G25" s="10">
        <f>IF(B25&lt;&gt;"",B25-C25-D25-E25-F25,"")</f>
        <v>14.99</v>
      </c>
      <c r="H25" s="12" t="str">
        <f>A25</f>
        <v>Music</v>
      </c>
      <c r="I25">
        <f>IF(G25&lt;0,G25*-1,0)</f>
        <v>0</v>
      </c>
    </row>
    <row r="26" spans="1:11" ht="18" outlineLevel="2" collapsed="1">
      <c r="A26" s="13" t="s">
        <v>603</v>
      </c>
      <c r="B26" s="33">
        <v>16.010000000000002</v>
      </c>
      <c r="C26" s="10">
        <v>16.010000000000002</v>
      </c>
      <c r="D26" s="10"/>
      <c r="E26" s="10"/>
      <c r="F26" s="10"/>
      <c r="G26" s="10">
        <f>IF(B26&lt;&gt;"",B26-C26-D26-E26-F26,"")</f>
        <v>0</v>
      </c>
      <c r="H26" s="12" t="str">
        <f>A26</f>
        <v>Matt Phone  (21st)</v>
      </c>
      <c r="I26">
        <f>IF(G26&lt;0,G26*-1,0)</f>
        <v>0</v>
      </c>
    </row>
    <row r="27" spans="1:11" s="747" customFormat="1" ht="18" outlineLevel="2">
      <c r="A27" s="747" t="str">
        <f>IF(B27&lt;&gt;"",B27-C27-D27-E27-F27,"")</f>
        <v/>
      </c>
    </row>
    <row r="28" spans="1:11" ht="18" outlineLevel="1">
      <c r="A28" s="105" t="s">
        <v>183</v>
      </c>
      <c r="B28" s="296">
        <f>SUM(B29:B30)</f>
        <v>260</v>
      </c>
      <c r="C28" s="10"/>
      <c r="D28" s="10"/>
      <c r="E28" s="10"/>
      <c r="F28" s="10"/>
      <c r="G28" s="235">
        <f>IF(B28&lt;&gt;"",SUM(G29:G30),0)</f>
        <v>0</v>
      </c>
      <c r="H28" s="236" t="str">
        <f t="shared" si="1"/>
        <v>Savings</v>
      </c>
      <c r="K28" s="11">
        <f>1156-J29</f>
        <v>1098</v>
      </c>
    </row>
    <row r="29" spans="1:11" ht="18" outlineLevel="2">
      <c r="A29" s="13" t="s">
        <v>590</v>
      </c>
      <c r="B29" s="33">
        <v>60</v>
      </c>
      <c r="C29" s="10">
        <v>60</v>
      </c>
      <c r="D29" s="10"/>
      <c r="E29" s="10"/>
      <c r="F29" s="10"/>
      <c r="G29" s="10">
        <f t="shared" si="2"/>
        <v>0</v>
      </c>
      <c r="H29" s="12" t="str">
        <f>A29</f>
        <v>Contingency</v>
      </c>
      <c r="I29">
        <f>IF(G29&lt;0,G29*-1,0)</f>
        <v>0</v>
      </c>
      <c r="J29" s="11">
        <f>G5+G6+G7+G8+G29+G32</f>
        <v>58</v>
      </c>
    </row>
    <row r="30" spans="1:11" ht="18" outlineLevel="2">
      <c r="A30" s="13" t="s">
        <v>591</v>
      </c>
      <c r="B30" s="33">
        <v>200</v>
      </c>
      <c r="C30" s="10">
        <v>200</v>
      </c>
      <c r="D30" s="10"/>
      <c r="E30" s="10"/>
      <c r="F30" s="10"/>
      <c r="G30" s="10">
        <f t="shared" si="2"/>
        <v>0</v>
      </c>
      <c r="H30" s="12" t="str">
        <f>A30</f>
        <v>HTB</v>
      </c>
      <c r="I30">
        <f>IF(G30&lt;0,G30*-1,0)</f>
        <v>0</v>
      </c>
      <c r="J30" s="11"/>
    </row>
    <row r="31" spans="1:11" s="748" customFormat="1" ht="18" outlineLevel="2"/>
    <row r="32" spans="1:11" ht="18" outlineLevel="1">
      <c r="A32" s="105" t="s">
        <v>130</v>
      </c>
      <c r="B32" s="296">
        <f>SUM(B33:B34)</f>
        <v>0</v>
      </c>
      <c r="C32" s="10"/>
      <c r="D32" s="10"/>
      <c r="E32" s="10"/>
      <c r="F32" s="10"/>
      <c r="G32" s="235">
        <f t="shared" si="2"/>
        <v>0</v>
      </c>
      <c r="H32" s="236" t="str">
        <f>A32</f>
        <v>Other</v>
      </c>
    </row>
    <row r="33" spans="1:11" ht="18" outlineLevel="3">
      <c r="A33" s="31" t="s">
        <v>609</v>
      </c>
      <c r="B33" s="211">
        <v>0</v>
      </c>
      <c r="C33" s="211"/>
      <c r="D33" s="211"/>
      <c r="E33" s="211"/>
      <c r="F33" s="211"/>
      <c r="G33" s="10">
        <f>IF(B33&lt;&gt;"",B33-C33-D33-E33-F33,"")</f>
        <v>0</v>
      </c>
      <c r="H33" s="12" t="str">
        <f>A33</f>
        <v>K stuff</v>
      </c>
    </row>
    <row r="34" spans="1:11" ht="18" outlineLevel="3">
      <c r="A34" s="31"/>
      <c r="B34" s="211"/>
      <c r="C34" s="211"/>
      <c r="D34" s="211"/>
      <c r="E34" s="211"/>
      <c r="F34" s="211"/>
      <c r="G34" s="10"/>
      <c r="H34" s="12"/>
    </row>
    <row r="35" spans="1:11" ht="18" outlineLevel="1">
      <c r="A35" s="185"/>
      <c r="B35" s="10"/>
      <c r="C35" s="10"/>
      <c r="D35" s="10"/>
      <c r="E35" s="10"/>
      <c r="F35" s="10"/>
      <c r="G35" s="10"/>
      <c r="H35" s="9"/>
      <c r="J35" t="s">
        <v>610</v>
      </c>
    </row>
    <row r="36" spans="1:11" ht="18" outlineLevel="1">
      <c r="A36" s="185"/>
      <c r="B36" s="10"/>
      <c r="C36" s="10"/>
      <c r="D36" s="10"/>
      <c r="E36" s="10"/>
      <c r="F36" s="10"/>
      <c r="G36" s="10"/>
      <c r="H36" s="9"/>
    </row>
    <row r="37" spans="1:11" ht="18">
      <c r="A37" s="177" t="s">
        <v>424</v>
      </c>
      <c r="B37" s="183">
        <f>SUM(B38,B40,B39)</f>
        <v>178.86</v>
      </c>
      <c r="C37" s="10"/>
      <c r="D37" s="10"/>
      <c r="E37" s="10"/>
      <c r="F37" s="10"/>
      <c r="G37" s="183">
        <f>SUM(G38,G40,G39)</f>
        <v>7.1054273576010019E-15</v>
      </c>
      <c r="H37" s="9" t="s">
        <v>10</v>
      </c>
      <c r="J37" s="11">
        <f>G37+G21+G13+G30</f>
        <v>22.980000000000015</v>
      </c>
      <c r="K37" s="11">
        <f>1082.71-J37</f>
        <v>1059.73</v>
      </c>
    </row>
    <row r="38" spans="1:11" ht="18" outlineLevel="1">
      <c r="A38" s="105" t="s">
        <v>359</v>
      </c>
      <c r="B38" s="183">
        <v>38.869999999999997</v>
      </c>
      <c r="C38" s="10">
        <v>38.869999999999997</v>
      </c>
      <c r="D38" s="10"/>
      <c r="E38" s="10"/>
      <c r="F38" s="10"/>
      <c r="G38" s="10">
        <f>IF(B38&lt;&gt;"",B38-C38-D38-E38-F38,"")</f>
        <v>0</v>
      </c>
      <c r="H38" s="12" t="str">
        <f>A38</f>
        <v>TV License</v>
      </c>
      <c r="I38">
        <f>IF(G38&lt;0,G38*-1,0)</f>
        <v>0</v>
      </c>
    </row>
    <row r="39" spans="1:11" ht="18" outlineLevel="1">
      <c r="A39" s="105" t="s">
        <v>605</v>
      </c>
      <c r="B39" s="183">
        <v>0</v>
      </c>
      <c r="C39" s="10"/>
      <c r="D39" s="10"/>
      <c r="E39" s="10"/>
      <c r="F39" s="10"/>
      <c r="G39" s="10">
        <f>IF(B39&lt;&gt;"",B39-C39-D39-E39-F39,"")</f>
        <v>0</v>
      </c>
      <c r="H39" s="12" t="str">
        <f>A39</f>
        <v>Landscaping</v>
      </c>
      <c r="I39">
        <f>IF(G39&lt;0,G39*-1,0)</f>
        <v>0</v>
      </c>
    </row>
    <row r="40" spans="1:11" ht="18" outlineLevel="1">
      <c r="A40" s="105" t="s">
        <v>606</v>
      </c>
      <c r="B40" s="33">
        <f>ROUND(SUM(B41:B42),0)+5.99</f>
        <v>139.99</v>
      </c>
      <c r="C40" s="10">
        <v>89.09</v>
      </c>
      <c r="D40" s="10">
        <v>50.9</v>
      </c>
      <c r="E40" s="10"/>
      <c r="F40" s="10"/>
      <c r="G40" s="10">
        <f t="shared" ref="G40:G42" si="4">IF(B40&lt;&gt;"",B40-C40-D40-E40-F40,"")</f>
        <v>7.1054273576010019E-15</v>
      </c>
      <c r="H40" s="12" t="str">
        <f t="shared" ref="H40:H42" si="5">A40</f>
        <v>Car</v>
      </c>
      <c r="I40">
        <f>IF(G40&lt;0,G40*-1,0)</f>
        <v>0</v>
      </c>
    </row>
    <row r="41" spans="1:11" ht="19.5" hidden="1" customHeight="1" outlineLevel="2">
      <c r="A41" s="31" t="s">
        <v>570</v>
      </c>
      <c r="B41" s="10">
        <f>89.09+27.56</f>
        <v>116.65</v>
      </c>
      <c r="C41" s="10"/>
      <c r="D41" s="10"/>
      <c r="E41" s="10"/>
      <c r="F41" s="10"/>
      <c r="G41" s="10">
        <f t="shared" si="4"/>
        <v>116.65</v>
      </c>
      <c r="H41" s="12" t="str">
        <f t="shared" si="5"/>
        <v>Car Ins. / tax</v>
      </c>
    </row>
    <row r="42" spans="1:11" ht="19.5" hidden="1" customHeight="1" outlineLevel="2">
      <c r="A42" s="31" t="s">
        <v>571</v>
      </c>
      <c r="B42" s="10">
        <f>210/12</f>
        <v>17.5</v>
      </c>
      <c r="C42" s="10"/>
      <c r="D42" s="10"/>
      <c r="E42" s="10"/>
      <c r="F42" s="10"/>
      <c r="G42" s="10">
        <f t="shared" si="4"/>
        <v>17.5</v>
      </c>
      <c r="H42" s="12" t="str">
        <f t="shared" si="5"/>
        <v>Car Service</v>
      </c>
    </row>
    <row r="43" spans="1:11" ht="18" outlineLevel="1" collapsed="1">
      <c r="A43" s="208"/>
      <c r="B43" s="10"/>
      <c r="C43" s="10"/>
      <c r="D43" s="10"/>
      <c r="E43" s="10"/>
      <c r="F43" s="10"/>
      <c r="G43" s="10"/>
      <c r="H43" s="48"/>
    </row>
    <row r="44" spans="1:11" ht="18">
      <c r="A44" s="208"/>
      <c r="B44" s="10"/>
      <c r="C44" s="10"/>
      <c r="D44" s="10"/>
      <c r="E44" s="10"/>
      <c r="F44" s="10"/>
      <c r="G44" s="10"/>
      <c r="H44" s="48"/>
    </row>
    <row r="45" spans="1:11" ht="18">
      <c r="A45" s="179" t="s">
        <v>186</v>
      </c>
      <c r="B45" s="296">
        <f>SUM(C45:F45)</f>
        <v>2225.5100000000002</v>
      </c>
      <c r="C45" s="26">
        <f>1.09+1335.66+25.92+129.7+733.14</f>
        <v>2225.5100000000002</v>
      </c>
      <c r="D45" s="26"/>
      <c r="E45" s="27"/>
      <c r="F45" s="36"/>
      <c r="G45" s="46" t="str">
        <f>ROUND(SUM(G4,G9,G12,G37) + I4,2) &amp; " / " &amp; B45</f>
        <v>78.59 / 2225.51</v>
      </c>
      <c r="H45" s="10"/>
    </row>
    <row r="46" spans="1:11" ht="18">
      <c r="A46" s="24"/>
      <c r="B46" s="10"/>
      <c r="C46" s="49"/>
      <c r="D46" s="26"/>
      <c r="E46" s="23"/>
      <c r="F46" s="25"/>
      <c r="G46" s="79"/>
      <c r="H46" s="11"/>
    </row>
    <row r="47" spans="1:11" ht="18">
      <c r="A47" s="17" t="s">
        <v>187</v>
      </c>
      <c r="B47" s="17" t="str">
        <f ca="1">IF(MONTH(TODAY()) = 11, IF(MONTH(DATEVALUE(RIGHT(A1,3)&amp;" 1"))=11, "Bike insurance due",""),"")</f>
        <v/>
      </c>
      <c r="C47" s="59"/>
      <c r="D47" s="16"/>
      <c r="E47" s="16"/>
      <c r="F47" s="16"/>
    </row>
    <row r="48" spans="1:11" ht="18">
      <c r="A48" s="17"/>
      <c r="B48" s="17"/>
      <c r="C48" s="39"/>
      <c r="D48" s="39"/>
      <c r="E48" s="16"/>
      <c r="F48" s="18"/>
    </row>
    <row r="49" spans="1:9" ht="18">
      <c r="A49" s="17"/>
      <c r="B49" s="17"/>
      <c r="D49" s="39"/>
      <c r="E49" s="43"/>
      <c r="F49" s="18"/>
      <c r="G49" s="11"/>
      <c r="H49" s="11"/>
    </row>
    <row r="50" spans="1:9" ht="18">
      <c r="A50" s="20"/>
      <c r="B50" s="11"/>
      <c r="D50" s="11">
        <f>3*130+114</f>
        <v>504</v>
      </c>
      <c r="E50" s="11"/>
      <c r="F50" s="11"/>
      <c r="H50" s="11"/>
      <c r="I50" s="11"/>
    </row>
    <row r="51" spans="1:9" ht="18">
      <c r="B51" s="11"/>
      <c r="C51">
        <v>186.96</v>
      </c>
      <c r="D51" s="11">
        <f>C51-E$51</f>
        <v>114.96000000000001</v>
      </c>
      <c r="E51" s="11">
        <f>D50/7</f>
        <v>72</v>
      </c>
      <c r="F51" s="11"/>
      <c r="G51" s="184"/>
      <c r="H51" s="11"/>
      <c r="I51" s="11"/>
    </row>
    <row r="52" spans="1:9" ht="18">
      <c r="B52" s="10"/>
      <c r="C52" s="11">
        <v>187</v>
      </c>
      <c r="D52" s="11">
        <f t="shared" ref="D52:D57" si="6">C52-E$51</f>
        <v>115</v>
      </c>
      <c r="F52" s="11"/>
      <c r="G52" s="184"/>
      <c r="H52" s="11"/>
      <c r="I52" s="11"/>
    </row>
    <row r="53" spans="1:9" ht="18">
      <c r="B53" s="10"/>
      <c r="C53">
        <v>187</v>
      </c>
      <c r="D53" s="11">
        <f t="shared" si="6"/>
        <v>115</v>
      </c>
      <c r="F53" s="11"/>
      <c r="G53" s="184"/>
      <c r="I53" s="11"/>
    </row>
    <row r="54" spans="1:9" ht="18">
      <c r="B54" s="10"/>
      <c r="C54">
        <v>187</v>
      </c>
      <c r="D54" s="11">
        <f t="shared" si="6"/>
        <v>115</v>
      </c>
      <c r="F54" s="11"/>
      <c r="G54" s="184"/>
      <c r="I54" s="11"/>
    </row>
    <row r="55" spans="1:9" ht="18">
      <c r="B55" s="10"/>
      <c r="C55">
        <v>187</v>
      </c>
      <c r="D55" s="11">
        <f t="shared" si="6"/>
        <v>115</v>
      </c>
      <c r="F55" s="11"/>
      <c r="G55" s="11"/>
      <c r="I55" s="11"/>
    </row>
    <row r="56" spans="1:9" ht="18">
      <c r="B56" s="10"/>
      <c r="C56">
        <v>187</v>
      </c>
      <c r="D56" s="11">
        <f t="shared" si="6"/>
        <v>115</v>
      </c>
      <c r="F56" s="11"/>
      <c r="G56" s="11"/>
      <c r="I56" s="11"/>
    </row>
    <row r="57" spans="1:9" ht="18">
      <c r="B57" s="10"/>
      <c r="C57">
        <v>187</v>
      </c>
      <c r="D57" s="11">
        <f t="shared" si="6"/>
        <v>115</v>
      </c>
      <c r="F57" s="11"/>
      <c r="G57" s="11"/>
      <c r="I57" s="11"/>
    </row>
    <row r="58" spans="1:9" ht="18">
      <c r="B58" s="10"/>
      <c r="G58" s="11"/>
    </row>
    <row r="59" spans="1:9" ht="18">
      <c r="B59" s="10"/>
      <c r="G59" s="11"/>
    </row>
  </sheetData>
  <dataConsolidate/>
  <mergeCells count="3">
    <mergeCell ref="A20:XFD20"/>
    <mergeCell ref="A27:XFD27"/>
    <mergeCell ref="A31:XFD31"/>
  </mergeCells>
  <conditionalFormatting sqref="G5:G9">
    <cfRule type="cellIs" dxfId="183" priority="11" operator="lessThan">
      <formula>0</formula>
    </cfRule>
    <cfRule type="cellIs" dxfId="182" priority="12" operator="equal">
      <formula>0</formula>
    </cfRule>
    <cfRule type="cellIs" dxfId="181" priority="13" operator="greaterThan">
      <formula>0</formula>
    </cfRule>
  </conditionalFormatting>
  <conditionalFormatting sqref="G13:G19">
    <cfRule type="cellIs" dxfId="180" priority="7" operator="equal">
      <formula>0</formula>
    </cfRule>
    <cfRule type="cellIs" dxfId="179" priority="8" operator="lessThan">
      <formula>0</formula>
    </cfRule>
    <cfRule type="cellIs" dxfId="178" priority="9" operator="greaterThan">
      <formula>0</formula>
    </cfRule>
  </conditionalFormatting>
  <conditionalFormatting sqref="G21:G26 G28:G30 G32:G34">
    <cfRule type="cellIs" dxfId="177" priority="14" operator="equal">
      <formula>0</formula>
    </cfRule>
    <cfRule type="cellIs" dxfId="176" priority="15" operator="lessThan">
      <formula>0</formula>
    </cfRule>
    <cfRule type="cellIs" dxfId="175" priority="16" operator="greaterThan">
      <formula>0</formula>
    </cfRule>
  </conditionalFormatting>
  <conditionalFormatting sqref="G38:G42">
    <cfRule type="cellIs" dxfId="174" priority="1" operator="equal">
      <formula>0</formula>
    </cfRule>
    <cfRule type="cellIs" dxfId="173" priority="2" operator="lessThan">
      <formula>0</formula>
    </cfRule>
    <cfRule type="cellIs" dxfId="172" priority="3"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10" operator="containsText" id="{219C2330-99A8-754D-BE61-A4F17F3A216A}">
            <xm:f>NOT(ISERROR(SEARCH("-",G45)))</xm:f>
            <xm:f>"-"</xm:f>
            <x14:dxf>
              <font>
                <color rgb="FF9C0006"/>
              </font>
              <fill>
                <patternFill>
                  <bgColor rgb="FFFFC7CE"/>
                </patternFill>
              </fill>
            </x14:dxf>
          </x14:cfRule>
          <xm:sqref>G45</xm:sqref>
        </x14:conditionalFormatting>
      </x14:conditionalFormatting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FD21-FB0A-774F-B936-E40DC752D22D}">
  <sheetPr codeName="Sheet48"/>
  <dimension ref="A1:K62"/>
  <sheetViews>
    <sheetView workbookViewId="0"/>
  </sheetViews>
  <sheetFormatPr defaultColWidth="11.33203125" defaultRowHeight="14.4" outlineLevelRow="3"/>
  <cols>
    <col min="1" max="1" width="23.109375" customWidth="1"/>
    <col min="2" max="2" width="28.109375" customWidth="1"/>
    <col min="3" max="6" width="25" customWidth="1"/>
    <col min="7" max="7" width="19.44140625" customWidth="1"/>
    <col min="8" max="8" width="15.44140625" customWidth="1"/>
  </cols>
  <sheetData>
    <row r="1" spans="1:11" ht="18">
      <c r="A1" s="180" t="s">
        <v>576</v>
      </c>
      <c r="B1" s="13" t="s">
        <v>164</v>
      </c>
      <c r="C1" s="44" t="str">
        <f>"14/09/18" &amp; " - " &amp; "20/09/18"</f>
        <v>14/09/18 - 20/09/18</v>
      </c>
      <c r="D1" s="44" t="str">
        <f>TEXT(DATEVALUE(RIGHT(C1,8))+1,"dd/mm/yy")&amp; " - "&amp; TEXT(DATEVALUE(RIGHT(C1,8))+7,"dd/mm/yy")</f>
        <v>21/09/18 - 27/09/18</v>
      </c>
      <c r="E1" s="44" t="str">
        <f>TEXT(DATEVALUE(RIGHT(D1,8))+1,"dd/mm/yy")&amp; " - "&amp; TEXT(DATEVALUE(RIGHT(D1,8))+7,"dd/mm/yy")</f>
        <v>28/09/18 - 04/10/18</v>
      </c>
      <c r="F1" s="44" t="str">
        <f>TEXT(DATEVALUE(RIGHT(E1,8))+1,"dd/mm/yy")&amp; " - "&amp; TEXT(DATEVALUE(RIGHT(E1,8))+7,"dd/mm/yy")</f>
        <v>05/10/18 - 11/10/18</v>
      </c>
      <c r="G1" s="12" t="s">
        <v>10</v>
      </c>
      <c r="H1" s="9"/>
    </row>
    <row r="2" spans="1:11" ht="18">
      <c r="A2" s="13" t="s">
        <v>165</v>
      </c>
      <c r="B2" s="10">
        <f>SUM(B4,B12,B38)</f>
        <v>2382.06</v>
      </c>
      <c r="C2" s="296">
        <f>SUM(C5:C25)</f>
        <v>2131.1699999999996</v>
      </c>
      <c r="D2" s="296">
        <f>SUM(D5:D25)</f>
        <v>1460.5800000000002</v>
      </c>
      <c r="E2" s="296">
        <f>SUM(E5:E25)</f>
        <v>0</v>
      </c>
      <c r="F2" s="296">
        <f>SUM(F5:F25)</f>
        <v>0</v>
      </c>
      <c r="G2" s="10"/>
      <c r="H2" s="9"/>
    </row>
    <row r="3" spans="1:11" ht="18">
      <c r="A3" s="250"/>
      <c r="B3" s="10"/>
      <c r="C3" s="296"/>
      <c r="D3" s="296"/>
      <c r="E3" s="296"/>
      <c r="F3" s="296"/>
      <c r="G3" s="10"/>
      <c r="H3" s="9"/>
    </row>
    <row r="4" spans="1:11" ht="18">
      <c r="A4" s="178" t="s">
        <v>166</v>
      </c>
      <c r="B4" s="183">
        <f>SUM(B5:B8)</f>
        <v>993.76</v>
      </c>
      <c r="C4" s="296"/>
      <c r="D4" s="296"/>
      <c r="E4" s="296"/>
      <c r="F4" s="296"/>
      <c r="G4" s="184">
        <f>ROUND(SUM(G5:G8),2)</f>
        <v>-39.56</v>
      </c>
      <c r="H4" s="9" t="s">
        <v>10</v>
      </c>
      <c r="I4">
        <f>SUM(I5:I8)+SUM(I14:I19)+SUM(I23:I27)+SUM(I30:I31)+SUM(I39:I41)</f>
        <v>109.56</v>
      </c>
    </row>
    <row r="5" spans="1:11" ht="18" outlineLevel="1">
      <c r="A5" s="105" t="s">
        <v>167</v>
      </c>
      <c r="B5" s="17">
        <v>200</v>
      </c>
      <c r="C5" s="10">
        <v>50</v>
      </c>
      <c r="D5" s="10">
        <f>50+40</f>
        <v>90</v>
      </c>
      <c r="E5" s="10"/>
      <c r="F5" s="10"/>
      <c r="G5" s="10">
        <f t="shared" ref="G5:G8" si="0">IF(B5&lt;&gt;"",B5-C5-D5-E5-F5,"")</f>
        <v>60</v>
      </c>
      <c r="H5" s="12" t="str">
        <f>A5</f>
        <v xml:space="preserve">Car Petrol </v>
      </c>
      <c r="I5">
        <f>IF(G5&lt;0,G5*-1,0)</f>
        <v>0</v>
      </c>
    </row>
    <row r="6" spans="1:11" ht="18" outlineLevel="1">
      <c r="A6" s="105" t="s">
        <v>577</v>
      </c>
      <c r="B6" s="10">
        <v>0</v>
      </c>
      <c r="C6" s="10">
        <f>15+10.8+10.08</f>
        <v>35.880000000000003</v>
      </c>
      <c r="D6" s="10">
        <f>3.69+4.99</f>
        <v>8.68</v>
      </c>
      <c r="E6" s="10"/>
      <c r="F6" s="10"/>
      <c r="G6" s="10">
        <f t="shared" si="0"/>
        <v>-44.56</v>
      </c>
      <c r="H6" s="12" t="str">
        <f>A6</f>
        <v>Food/Bunnies/Toiletries</v>
      </c>
      <c r="I6">
        <f>IF(G6&lt;0,G6*-1,0)</f>
        <v>44.56</v>
      </c>
    </row>
    <row r="7" spans="1:11" ht="18" outlineLevel="1">
      <c r="A7" s="105" t="s">
        <v>170</v>
      </c>
      <c r="B7" s="10">
        <v>150</v>
      </c>
      <c r="C7" s="10">
        <f>25+55+125</f>
        <v>205</v>
      </c>
      <c r="D7" s="10"/>
      <c r="E7" s="10"/>
      <c r="F7" s="10"/>
      <c r="G7" s="10">
        <f t="shared" si="0"/>
        <v>-55</v>
      </c>
      <c r="H7" s="12" t="str">
        <f>A7</f>
        <v>Gift Fund</v>
      </c>
      <c r="I7">
        <f>IF(G7&lt;0,G7*-1,0)</f>
        <v>55</v>
      </c>
    </row>
    <row r="8" spans="1:11" ht="18" outlineLevel="1">
      <c r="A8" s="105" t="s">
        <v>171</v>
      </c>
      <c r="B8" s="10">
        <f>240+350.73+39.03+14</f>
        <v>643.76</v>
      </c>
      <c r="C8" s="10">
        <f>350.73+14+39.03+240</f>
        <v>643.76</v>
      </c>
      <c r="D8" s="10"/>
      <c r="E8" s="10"/>
      <c r="F8" s="10"/>
      <c r="G8" s="10">
        <f t="shared" si="0"/>
        <v>0</v>
      </c>
      <c r="H8" s="12" t="str">
        <f>A8</f>
        <v>Holiday Fund</v>
      </c>
      <c r="I8">
        <f>IF(G8&lt;0,G8*-1,0)</f>
        <v>0</v>
      </c>
    </row>
    <row r="9" spans="1:11" ht="18" outlineLevel="1">
      <c r="A9" s="105" t="s">
        <v>172</v>
      </c>
      <c r="B9" s="10">
        <f>IF(B44 &lt;&gt; 0,B44-B4-B12-B38,0)</f>
        <v>1798.0899999999992</v>
      </c>
      <c r="C9" s="10">
        <f>0.85+4.68+11.9+12.4+295.3+7.68+24.99</f>
        <v>357.8</v>
      </c>
      <c r="D9" s="10">
        <f>10.86+45.71+37.98+41.88+9.96+118+64.98+49.97+357+17.7+24.48+19.99+30.42+129.99+277+18.99+23.01</f>
        <v>1277.92</v>
      </c>
      <c r="E9" s="10"/>
      <c r="F9" s="10"/>
      <c r="G9" s="10">
        <f>IF(B9&lt;&gt;"",B9-C9-D9-E9-F9-I4,"")</f>
        <v>52.809999999999206</v>
      </c>
      <c r="H9" s="12" t="s">
        <v>172</v>
      </c>
      <c r="I9" s="11"/>
      <c r="J9" s="11"/>
    </row>
    <row r="10" spans="1:11" ht="18" outlineLevel="1">
      <c r="A10" s="185"/>
      <c r="B10" s="10"/>
      <c r="C10" s="10"/>
      <c r="D10" s="10"/>
      <c r="E10" s="10"/>
      <c r="F10" s="10"/>
      <c r="G10" s="10"/>
      <c r="H10" s="9"/>
      <c r="J10" s="11"/>
    </row>
    <row r="11" spans="1:11" ht="18">
      <c r="A11" s="185"/>
      <c r="B11" s="10"/>
      <c r="C11" s="10"/>
      <c r="D11" s="10"/>
      <c r="E11" s="10"/>
      <c r="F11" s="10"/>
      <c r="G11" s="10"/>
      <c r="H11" s="9"/>
      <c r="J11" s="11"/>
    </row>
    <row r="12" spans="1:11" ht="18">
      <c r="A12" s="177" t="s">
        <v>422</v>
      </c>
      <c r="B12" s="183">
        <f>B13+B22+B29+B33</f>
        <v>1258.69</v>
      </c>
      <c r="C12" s="10"/>
      <c r="D12" s="10"/>
      <c r="E12" s="10"/>
      <c r="F12" s="10"/>
      <c r="G12" s="234">
        <f>ROUND(SUM(G13,G22,G29,G33),2)</f>
        <v>4.9800000000000004</v>
      </c>
      <c r="H12" s="237" t="s">
        <v>10</v>
      </c>
      <c r="I12" s="11"/>
    </row>
    <row r="13" spans="1:11" ht="18">
      <c r="A13" s="105" t="s">
        <v>594</v>
      </c>
      <c r="B13" s="183">
        <f>SUM(B14:B20)</f>
        <v>858.7399999999999</v>
      </c>
      <c r="C13" s="10"/>
      <c r="D13" s="10"/>
      <c r="E13" s="10"/>
      <c r="F13" s="10"/>
      <c r="G13" s="235">
        <f>IF(B13&lt;&gt;"",SUM(G14:G20),0)</f>
        <v>-9.9999999999999929</v>
      </c>
      <c r="H13" s="236" t="str">
        <f t="shared" ref="H13:H29" si="1">A13</f>
        <v>House Outgoings</v>
      </c>
    </row>
    <row r="14" spans="1:11" ht="18" outlineLevel="2">
      <c r="A14" s="13" t="s">
        <v>595</v>
      </c>
      <c r="B14" s="184">
        <v>452.64</v>
      </c>
      <c r="C14" s="10">
        <v>452.64</v>
      </c>
      <c r="D14" s="10"/>
      <c r="E14" s="10"/>
      <c r="F14" s="10"/>
      <c r="G14" s="10">
        <f t="shared" ref="G14:G33" si="2">IF(B14&lt;&gt;"",B14-C14-D14-E14-F14,"")</f>
        <v>0</v>
      </c>
      <c r="H14" s="12" t="str">
        <f t="shared" si="1"/>
        <v>Mortgage</v>
      </c>
      <c r="I14">
        <f t="shared" ref="I14:I19" si="3">IF(G14&lt;0,G14*-1,0)</f>
        <v>0</v>
      </c>
    </row>
    <row r="15" spans="1:11" ht="18" outlineLevel="2">
      <c r="A15" s="13" t="s">
        <v>596</v>
      </c>
      <c r="B15" s="184">
        <v>186.95</v>
      </c>
      <c r="C15" s="10">
        <v>186.95</v>
      </c>
      <c r="D15" s="10"/>
      <c r="E15" s="10"/>
      <c r="F15" s="10"/>
      <c r="G15" s="10">
        <f t="shared" si="2"/>
        <v>0</v>
      </c>
      <c r="H15" s="12" t="str">
        <f t="shared" si="1"/>
        <v>Council tax</v>
      </c>
      <c r="I15">
        <f t="shared" si="3"/>
        <v>0</v>
      </c>
      <c r="J15" s="11"/>
      <c r="K15" s="238"/>
    </row>
    <row r="16" spans="1:11" ht="18" outlineLevel="2">
      <c r="A16" s="13" t="s">
        <v>597</v>
      </c>
      <c r="B16" s="184">
        <v>34</v>
      </c>
      <c r="C16" s="10">
        <v>34</v>
      </c>
      <c r="D16" s="10"/>
      <c r="E16" s="10"/>
      <c r="F16" s="10"/>
      <c r="G16" s="10">
        <f t="shared" si="2"/>
        <v>0</v>
      </c>
      <c r="H16" s="12" t="str">
        <f t="shared" si="1"/>
        <v>Water</v>
      </c>
      <c r="I16">
        <f t="shared" si="3"/>
        <v>0</v>
      </c>
    </row>
    <row r="17" spans="1:9" ht="18" outlineLevel="2">
      <c r="A17" s="13" t="s">
        <v>598</v>
      </c>
      <c r="B17" s="184">
        <v>55</v>
      </c>
      <c r="C17" s="10">
        <v>55</v>
      </c>
      <c r="D17" s="10"/>
      <c r="E17" s="10"/>
      <c r="F17" s="10"/>
      <c r="G17" s="10">
        <f t="shared" si="2"/>
        <v>0</v>
      </c>
      <c r="H17" s="12" t="str">
        <f t="shared" si="1"/>
        <v>Electricity</v>
      </c>
      <c r="I17">
        <f t="shared" si="3"/>
        <v>0</v>
      </c>
    </row>
    <row r="18" spans="1:9" ht="18" outlineLevel="2">
      <c r="A18" s="13" t="s">
        <v>599</v>
      </c>
      <c r="B18" s="184">
        <v>45</v>
      </c>
      <c r="C18" s="10">
        <v>55</v>
      </c>
      <c r="D18" s="10"/>
      <c r="E18" s="10"/>
      <c r="F18" s="10"/>
      <c r="G18" s="10">
        <f t="shared" si="2"/>
        <v>-10</v>
      </c>
      <c r="H18" s="12" t="str">
        <f t="shared" si="1"/>
        <v>Gas</v>
      </c>
      <c r="I18">
        <f t="shared" si="3"/>
        <v>10</v>
      </c>
    </row>
    <row r="19" spans="1:9" ht="18" outlineLevel="2">
      <c r="A19" s="13" t="s">
        <v>600</v>
      </c>
      <c r="B19" s="184">
        <f>4.52+15.97+8.56+16.1</f>
        <v>45.150000000000006</v>
      </c>
      <c r="C19" s="10">
        <v>45.15</v>
      </c>
      <c r="D19" s="10"/>
      <c r="E19" s="10"/>
      <c r="F19" s="10"/>
      <c r="G19" s="10">
        <f t="shared" si="2"/>
        <v>7.1054273576010019E-15</v>
      </c>
      <c r="H19" s="12" t="str">
        <f t="shared" si="1"/>
        <v>Insurance</v>
      </c>
      <c r="I19">
        <f t="shared" si="3"/>
        <v>0</v>
      </c>
    </row>
    <row r="20" spans="1:9" ht="18" outlineLevel="2">
      <c r="A20" s="13" t="s">
        <v>611</v>
      </c>
      <c r="B20" s="184">
        <v>40</v>
      </c>
      <c r="C20" s="10"/>
      <c r="D20" s="10">
        <v>40</v>
      </c>
      <c r="E20" s="10"/>
      <c r="F20" s="10"/>
      <c r="G20" s="10">
        <f t="shared" si="2"/>
        <v>0</v>
      </c>
      <c r="H20" s="12" t="str">
        <f t="shared" si="1"/>
        <v>The Range</v>
      </c>
    </row>
    <row r="21" spans="1:9" s="747" customFormat="1" ht="18" outlineLevel="2">
      <c r="A21" s="747" t="str">
        <f>IF(B21&lt;&gt;"",B21-C21-D21-E21-F21,"")</f>
        <v/>
      </c>
    </row>
    <row r="22" spans="1:9" ht="18" outlineLevel="1">
      <c r="A22" s="105" t="s">
        <v>601</v>
      </c>
      <c r="B22" s="296">
        <f>SUM(B23:B27)</f>
        <v>99.95</v>
      </c>
      <c r="C22" s="10"/>
      <c r="D22" s="10"/>
      <c r="E22" s="10"/>
      <c r="F22" s="10"/>
      <c r="G22" s="235">
        <f>IF(B22&lt;&gt;"",SUM(G23:G27),0)</f>
        <v>14.98</v>
      </c>
      <c r="H22" s="236" t="str">
        <f t="shared" si="1"/>
        <v>Tech</v>
      </c>
      <c r="I22" s="11"/>
    </row>
    <row r="23" spans="1:9" ht="18" outlineLevel="2">
      <c r="A23" s="13" t="s">
        <v>602</v>
      </c>
      <c r="B23" s="33">
        <v>35.99</v>
      </c>
      <c r="C23" s="10"/>
      <c r="D23" s="10">
        <v>35.99</v>
      </c>
      <c r="E23" s="10"/>
      <c r="F23" s="10"/>
      <c r="G23" s="10">
        <f t="shared" si="2"/>
        <v>0</v>
      </c>
      <c r="H23" s="12" t="str">
        <f t="shared" si="1"/>
        <v>Broadband / TV</v>
      </c>
      <c r="I23">
        <f>IF(G23&lt;0,G23*-1,0)</f>
        <v>0</v>
      </c>
    </row>
    <row r="24" spans="1:9" ht="18" outlineLevel="2">
      <c r="A24" s="13" t="s">
        <v>587</v>
      </c>
      <c r="B24" s="33">
        <v>19.98</v>
      </c>
      <c r="C24" s="10">
        <v>9.99</v>
      </c>
      <c r="D24" s="10">
        <v>7.99</v>
      </c>
      <c r="E24" s="10"/>
      <c r="F24" s="10"/>
      <c r="G24" s="10">
        <f t="shared" si="2"/>
        <v>2</v>
      </c>
      <c r="H24" s="12" t="str">
        <f t="shared" si="1"/>
        <v>Sky Movies (14th)</v>
      </c>
      <c r="I24">
        <f>IF(G24&lt;0,G24*-1,0)</f>
        <v>0</v>
      </c>
    </row>
    <row r="25" spans="1:9" ht="18" outlineLevel="2">
      <c r="A25" s="13" t="s">
        <v>582</v>
      </c>
      <c r="B25" s="33">
        <v>7.99</v>
      </c>
      <c r="C25" s="10"/>
      <c r="D25" s="10"/>
      <c r="E25" s="10"/>
      <c r="F25" s="10"/>
      <c r="G25" s="10">
        <f t="shared" si="2"/>
        <v>7.99</v>
      </c>
      <c r="H25" s="12" t="str">
        <f t="shared" si="1"/>
        <v>Onedrive (6th)</v>
      </c>
      <c r="I25">
        <f>IF(G25&lt;0,G25*-1,0)</f>
        <v>0</v>
      </c>
    </row>
    <row r="26" spans="1:9" ht="18" outlineLevel="2">
      <c r="A26" s="13" t="s">
        <v>589</v>
      </c>
      <c r="B26" s="33">
        <v>19.98</v>
      </c>
      <c r="C26" s="10">
        <v>14.99</v>
      </c>
      <c r="D26" s="10"/>
      <c r="E26" s="10"/>
      <c r="F26" s="10"/>
      <c r="G26" s="10">
        <f>IF(B26&lt;&gt;"",B26-C26-D26-E26-F26,"")</f>
        <v>4.99</v>
      </c>
      <c r="H26" s="12" t="str">
        <f>A26</f>
        <v>Music</v>
      </c>
      <c r="I26">
        <f>IF(G26&lt;0,G26*-1,0)</f>
        <v>0</v>
      </c>
    </row>
    <row r="27" spans="1:9" ht="18" outlineLevel="2" collapsed="1">
      <c r="A27" s="13" t="s">
        <v>603</v>
      </c>
      <c r="B27" s="33">
        <v>16.010000000000002</v>
      </c>
      <c r="C27" s="10"/>
      <c r="D27" s="10">
        <v>16.010000000000002</v>
      </c>
      <c r="E27" s="10"/>
      <c r="F27" s="10"/>
      <c r="G27" s="10">
        <f>IF(B27&lt;&gt;"",B27-C27-D27-E27-F27,"")</f>
        <v>0</v>
      </c>
      <c r="H27" s="12" t="str">
        <f>A27</f>
        <v>Matt Phone  (21st)</v>
      </c>
      <c r="I27">
        <f>IF(G27&lt;0,G27*-1,0)</f>
        <v>0</v>
      </c>
    </row>
    <row r="28" spans="1:9" s="747" customFormat="1" ht="18" outlineLevel="2">
      <c r="A28" s="747" t="str">
        <f>IF(B28&lt;&gt;"",B28-C28-D28-E28-F28,"")</f>
        <v/>
      </c>
    </row>
    <row r="29" spans="1:9" ht="18" outlineLevel="1">
      <c r="A29" s="105" t="s">
        <v>183</v>
      </c>
      <c r="B29" s="296">
        <f>SUM(B30:B31)</f>
        <v>300</v>
      </c>
      <c r="C29" s="10"/>
      <c r="D29" s="10"/>
      <c r="E29" s="10"/>
      <c r="F29" s="10"/>
      <c r="G29" s="235">
        <f>IF(B29&lt;&gt;"",SUM(G30:G31),0)</f>
        <v>0</v>
      </c>
      <c r="H29" s="236" t="str">
        <f t="shared" si="1"/>
        <v>Savings</v>
      </c>
    </row>
    <row r="30" spans="1:9" ht="18" outlineLevel="2">
      <c r="A30" s="13" t="s">
        <v>590</v>
      </c>
      <c r="B30" s="33">
        <v>100</v>
      </c>
      <c r="C30" s="10">
        <v>100</v>
      </c>
      <c r="D30" s="10"/>
      <c r="E30" s="10"/>
      <c r="F30" s="10"/>
      <c r="G30" s="10">
        <f t="shared" si="2"/>
        <v>0</v>
      </c>
      <c r="H30" s="12" t="str">
        <f>A30</f>
        <v>Contingency</v>
      </c>
      <c r="I30">
        <f>IF(G30&lt;0,G30*-1,0)</f>
        <v>0</v>
      </c>
    </row>
    <row r="31" spans="1:9" ht="18" outlineLevel="2">
      <c r="A31" s="13" t="s">
        <v>591</v>
      </c>
      <c r="B31" s="33">
        <v>200</v>
      </c>
      <c r="C31" s="10">
        <v>200</v>
      </c>
      <c r="D31" s="10"/>
      <c r="E31" s="10"/>
      <c r="F31" s="10"/>
      <c r="G31" s="10">
        <f t="shared" si="2"/>
        <v>0</v>
      </c>
      <c r="H31" s="12" t="str">
        <f>A31</f>
        <v>HTB</v>
      </c>
      <c r="I31">
        <f>IF(G31&lt;0,G31*-1,0)</f>
        <v>0</v>
      </c>
    </row>
    <row r="32" spans="1:9" s="748" customFormat="1" ht="18" outlineLevel="2"/>
    <row r="33" spans="1:11" ht="18" outlineLevel="1">
      <c r="A33" s="105" t="s">
        <v>130</v>
      </c>
      <c r="B33" s="296">
        <f>SUM(B34:B35)</f>
        <v>0</v>
      </c>
      <c r="C33" s="10"/>
      <c r="D33" s="10"/>
      <c r="E33" s="10"/>
      <c r="F33" s="10"/>
      <c r="G33" s="235">
        <f t="shared" si="2"/>
        <v>0</v>
      </c>
      <c r="H33" s="236" t="str">
        <f>A33</f>
        <v>Other</v>
      </c>
    </row>
    <row r="34" spans="1:11" ht="18" outlineLevel="3">
      <c r="A34" s="31" t="s">
        <v>609</v>
      </c>
      <c r="B34" s="211">
        <v>0</v>
      </c>
      <c r="C34" s="211"/>
      <c r="D34" s="211"/>
      <c r="E34" s="211"/>
      <c r="F34" s="211"/>
      <c r="G34" s="10">
        <f>IF(B34&lt;&gt;"",B34-C34-D34-E34-F34,"")</f>
        <v>0</v>
      </c>
      <c r="H34" s="12" t="str">
        <f>A34</f>
        <v>K stuff</v>
      </c>
    </row>
    <row r="35" spans="1:11" ht="18" outlineLevel="3">
      <c r="A35" s="31"/>
      <c r="B35" s="211"/>
      <c r="C35" s="211"/>
      <c r="D35" s="211"/>
      <c r="E35" s="211"/>
      <c r="F35" s="211"/>
      <c r="G35" s="10"/>
      <c r="H35" s="12"/>
    </row>
    <row r="36" spans="1:11" ht="18" outlineLevel="1">
      <c r="A36" s="185"/>
      <c r="B36" s="10"/>
      <c r="C36" s="10"/>
      <c r="D36" s="10"/>
      <c r="E36" s="10"/>
      <c r="F36" s="10"/>
      <c r="G36" s="10"/>
      <c r="H36" s="9"/>
    </row>
    <row r="37" spans="1:11" ht="18" outlineLevel="1">
      <c r="A37" s="185"/>
      <c r="B37" s="10"/>
      <c r="C37" s="10"/>
      <c r="D37" s="10"/>
      <c r="E37" s="10"/>
      <c r="F37" s="10"/>
      <c r="G37" s="10"/>
      <c r="H37" s="9"/>
    </row>
    <row r="38" spans="1:11" ht="18">
      <c r="A38" s="177" t="s">
        <v>424</v>
      </c>
      <c r="B38" s="183">
        <f>SUM(B39,B41,B40)</f>
        <v>129.61000000000001</v>
      </c>
      <c r="C38" s="10"/>
      <c r="D38" s="10"/>
      <c r="E38" s="10"/>
      <c r="F38" s="10"/>
      <c r="G38" s="183">
        <f>SUM(G39,G41,G40)</f>
        <v>40.520000000000003</v>
      </c>
      <c r="H38" s="9" t="s">
        <v>10</v>
      </c>
      <c r="K38" s="11"/>
    </row>
    <row r="39" spans="1:11" ht="18" outlineLevel="1">
      <c r="A39" s="105" t="s">
        <v>359</v>
      </c>
      <c r="B39" s="183">
        <v>12.96</v>
      </c>
      <c r="C39" s="10"/>
      <c r="D39" s="10"/>
      <c r="E39" s="10"/>
      <c r="F39" s="10"/>
      <c r="G39" s="10">
        <f>IF(B39&lt;&gt;"",B39-C39-D39-E39-F39,"")</f>
        <v>12.96</v>
      </c>
      <c r="H39" s="12" t="str">
        <f>A39</f>
        <v>TV License</v>
      </c>
      <c r="I39">
        <f>IF(G39&lt;0,G39*-1,0)</f>
        <v>0</v>
      </c>
      <c r="K39" s="11"/>
    </row>
    <row r="40" spans="1:11" ht="18" outlineLevel="1">
      <c r="A40" s="105" t="s">
        <v>605</v>
      </c>
      <c r="B40" s="183">
        <v>0</v>
      </c>
      <c r="C40" s="10"/>
      <c r="D40" s="10"/>
      <c r="E40" s="10"/>
      <c r="F40" s="10"/>
      <c r="G40" s="10">
        <f>IF(B40&lt;&gt;"",B40-C40-D40-E40-F40,"")</f>
        <v>0</v>
      </c>
      <c r="H40" s="12" t="str">
        <f>A40</f>
        <v>Landscaping</v>
      </c>
      <c r="I40">
        <f>IF(G40&lt;0,G40*-1,0)</f>
        <v>0</v>
      </c>
    </row>
    <row r="41" spans="1:11" ht="18" outlineLevel="1">
      <c r="A41" s="105" t="s">
        <v>606</v>
      </c>
      <c r="B41" s="33">
        <f>89.09+27.56</f>
        <v>116.65</v>
      </c>
      <c r="C41" s="10">
        <v>89.09</v>
      </c>
      <c r="D41" s="10"/>
      <c r="E41" s="10"/>
      <c r="F41" s="10"/>
      <c r="G41" s="10">
        <f t="shared" ref="G41" si="4">IF(B41&lt;&gt;"",B41-C41-D41-E41-F41,"")</f>
        <v>27.560000000000002</v>
      </c>
      <c r="H41" s="12" t="str">
        <f t="shared" ref="H41" si="5">A41</f>
        <v>Car</v>
      </c>
      <c r="I41">
        <f>IF(G41&lt;0,G41*-1,0)</f>
        <v>0</v>
      </c>
    </row>
    <row r="42" spans="1:11" ht="18" outlineLevel="1">
      <c r="A42" s="208"/>
      <c r="B42" s="10"/>
      <c r="C42" s="10"/>
      <c r="D42" s="10"/>
      <c r="E42" s="10"/>
      <c r="F42" s="10"/>
      <c r="G42" s="10"/>
      <c r="H42" s="48"/>
    </row>
    <row r="43" spans="1:11" ht="18">
      <c r="A43" s="208"/>
      <c r="B43" s="10"/>
      <c r="C43" s="10"/>
      <c r="D43" s="10"/>
      <c r="E43" s="10"/>
      <c r="F43" s="10"/>
      <c r="G43" s="10"/>
      <c r="H43" s="48"/>
    </row>
    <row r="44" spans="1:11" ht="18">
      <c r="A44" s="179" t="s">
        <v>186</v>
      </c>
      <c r="B44" s="296">
        <f>SUM(C44:F44)</f>
        <v>4180.1499999999996</v>
      </c>
      <c r="C44" s="26">
        <f>365.08+1335.66+20+30+76.95+26.26+30+25+30+25+940</f>
        <v>2903.95</v>
      </c>
      <c r="D44" s="26">
        <f>600+392.12+107.09+176.99</f>
        <v>1276.2</v>
      </c>
      <c r="E44" s="27"/>
      <c r="F44" s="36"/>
      <c r="G44" s="46" t="str">
        <f>ROUND(SUM(G4,G9,G12,G38),2) +I4 &amp; " / " &amp; B44</f>
        <v>168.31 / 4180.15</v>
      </c>
      <c r="H44" s="10"/>
    </row>
    <row r="45" spans="1:11" ht="18">
      <c r="A45" s="24"/>
      <c r="B45" s="10"/>
      <c r="C45" s="49"/>
      <c r="D45" s="26"/>
      <c r="E45" s="23"/>
      <c r="F45" s="25"/>
      <c r="G45" s="79"/>
      <c r="H45" s="11"/>
    </row>
    <row r="46" spans="1:11" ht="18">
      <c r="A46" s="17" t="s">
        <v>187</v>
      </c>
      <c r="B46" s="17" t="str">
        <f ca="1">IF(MONTH(TODAY()) = 11, IF(MONTH(DATEVALUE(RIGHT(A1,3)&amp;" 1"))=11, "Bike insurance due",""),"")</f>
        <v/>
      </c>
      <c r="C46" s="59"/>
      <c r="D46" s="16"/>
      <c r="E46" s="16"/>
      <c r="F46" s="16"/>
    </row>
    <row r="47" spans="1:11" ht="18">
      <c r="A47" s="17"/>
      <c r="B47" s="17"/>
      <c r="C47" s="39"/>
      <c r="D47" s="39" t="s">
        <v>612</v>
      </c>
      <c r="E47" s="16">
        <f>165+11.99+15</f>
        <v>191.99</v>
      </c>
      <c r="F47" s="18"/>
      <c r="G47" t="s">
        <v>613</v>
      </c>
      <c r="H47" t="s">
        <v>614</v>
      </c>
      <c r="I47" t="s">
        <v>615</v>
      </c>
      <c r="J47" t="s">
        <v>616</v>
      </c>
    </row>
    <row r="48" spans="1:11" ht="18">
      <c r="A48" s="17"/>
      <c r="B48" s="17"/>
      <c r="D48" s="39" t="s">
        <v>617</v>
      </c>
      <c r="E48" s="43">
        <f>175-37.91</f>
        <v>137.09</v>
      </c>
      <c r="F48" s="18"/>
      <c r="G48" s="11" t="s">
        <v>618</v>
      </c>
      <c r="H48" s="11">
        <v>699.99</v>
      </c>
      <c r="I48">
        <v>585.99</v>
      </c>
      <c r="J48">
        <v>650</v>
      </c>
    </row>
    <row r="49" spans="1:10" ht="18">
      <c r="A49" s="20"/>
      <c r="B49" s="11"/>
      <c r="D49" s="11" t="s">
        <v>619</v>
      </c>
      <c r="E49" s="11">
        <f>E47-E48</f>
        <v>54.900000000000006</v>
      </c>
      <c r="F49" s="11"/>
      <c r="G49" s="11" t="s">
        <v>620</v>
      </c>
      <c r="H49">
        <v>299.99</v>
      </c>
      <c r="I49">
        <v>250</v>
      </c>
      <c r="J49">
        <v>250</v>
      </c>
    </row>
    <row r="50" spans="1:10" ht="18">
      <c r="B50" s="11"/>
      <c r="C50" s="184"/>
      <c r="D50" s="11" t="s">
        <v>621</v>
      </c>
      <c r="E50" s="11">
        <f>992.12-E49</f>
        <v>937.22</v>
      </c>
      <c r="F50" s="11"/>
      <c r="G50" s="11" t="s">
        <v>622</v>
      </c>
      <c r="H50">
        <v>20</v>
      </c>
      <c r="I50">
        <v>14</v>
      </c>
      <c r="J50">
        <v>14</v>
      </c>
    </row>
    <row r="51" spans="1:10" ht="18">
      <c r="B51" s="10"/>
      <c r="C51" s="184"/>
      <c r="D51" s="11" t="s">
        <v>623</v>
      </c>
      <c r="E51" s="11">
        <v>1000</v>
      </c>
      <c r="F51" s="11"/>
      <c r="G51" s="11" t="s">
        <v>624</v>
      </c>
      <c r="H51">
        <v>149.99</v>
      </c>
      <c r="I51">
        <v>130</v>
      </c>
      <c r="J51">
        <v>135</v>
      </c>
    </row>
    <row r="52" spans="1:10" ht="18">
      <c r="B52" s="10"/>
      <c r="C52" s="184"/>
      <c r="E52" s="11">
        <f>SUM(E50:E51)</f>
        <v>1937.22</v>
      </c>
      <c r="F52" s="11"/>
      <c r="G52" s="11" t="s">
        <v>625</v>
      </c>
      <c r="H52">
        <v>99.99</v>
      </c>
      <c r="I52">
        <v>82</v>
      </c>
      <c r="J52">
        <v>90</v>
      </c>
    </row>
    <row r="53" spans="1:10" ht="18">
      <c r="B53" s="10"/>
      <c r="C53" s="184"/>
      <c r="E53" s="11"/>
      <c r="F53" s="11"/>
      <c r="G53" s="11" t="s">
        <v>626</v>
      </c>
      <c r="H53">
        <v>249.99</v>
      </c>
      <c r="I53">
        <v>205</v>
      </c>
      <c r="J53">
        <v>225</v>
      </c>
    </row>
    <row r="54" spans="1:10" ht="18">
      <c r="B54" s="10"/>
      <c r="C54" s="11"/>
      <c r="E54" s="11"/>
      <c r="F54" s="11"/>
      <c r="G54" s="11" t="s">
        <v>627</v>
      </c>
      <c r="H54">
        <v>359.99</v>
      </c>
      <c r="I54">
        <v>300</v>
      </c>
      <c r="J54">
        <v>330</v>
      </c>
    </row>
    <row r="55" spans="1:10" ht="18">
      <c r="B55" s="10"/>
      <c r="C55" s="11"/>
      <c r="E55" s="11"/>
      <c r="F55" s="11"/>
      <c r="G55" s="11" t="s">
        <v>628</v>
      </c>
      <c r="H55">
        <v>29.99</v>
      </c>
      <c r="I55">
        <v>20</v>
      </c>
      <c r="J55">
        <v>20</v>
      </c>
    </row>
    <row r="56" spans="1:10" ht="18">
      <c r="B56" s="10"/>
      <c r="E56" s="11"/>
      <c r="F56" s="11"/>
      <c r="G56" s="11" t="s">
        <v>629</v>
      </c>
      <c r="H56">
        <v>149.99</v>
      </c>
      <c r="I56">
        <v>125</v>
      </c>
      <c r="J56">
        <v>135</v>
      </c>
    </row>
    <row r="57" spans="1:10" ht="18">
      <c r="B57" s="10"/>
      <c r="G57" s="11" t="s">
        <v>630</v>
      </c>
      <c r="H57">
        <v>44.99</v>
      </c>
      <c r="I57">
        <v>34</v>
      </c>
      <c r="J57">
        <v>34</v>
      </c>
    </row>
    <row r="58" spans="1:10" ht="18">
      <c r="B58" s="10"/>
      <c r="G58" s="11" t="s">
        <v>631</v>
      </c>
      <c r="H58">
        <v>79.989999999999995</v>
      </c>
      <c r="I58">
        <v>65</v>
      </c>
      <c r="J58">
        <v>65</v>
      </c>
    </row>
    <row r="59" spans="1:10">
      <c r="G59" t="s">
        <v>378</v>
      </c>
      <c r="H59">
        <v>200</v>
      </c>
      <c r="I59">
        <v>200</v>
      </c>
      <c r="J59">
        <v>200</v>
      </c>
    </row>
    <row r="60" spans="1:10">
      <c r="H60" s="11">
        <f>SUM(H48:H59)</f>
        <v>2384.8999999999996</v>
      </c>
      <c r="I60">
        <f>SUM(I48:I59)</f>
        <v>2010.99</v>
      </c>
      <c r="J60">
        <f>SUM(J48:J59)</f>
        <v>2148</v>
      </c>
    </row>
    <row r="62" spans="1:10">
      <c r="I62">
        <f>J60-I60</f>
        <v>137.01</v>
      </c>
    </row>
  </sheetData>
  <dataConsolidate/>
  <mergeCells count="3">
    <mergeCell ref="A21:XFD21"/>
    <mergeCell ref="A28:XFD28"/>
    <mergeCell ref="A32:XFD32"/>
  </mergeCells>
  <conditionalFormatting sqref="G5:G9">
    <cfRule type="cellIs" dxfId="170" priority="11" operator="lessThan">
      <formula>0</formula>
    </cfRule>
    <cfRule type="cellIs" dxfId="169" priority="12" operator="equal">
      <formula>0</formula>
    </cfRule>
    <cfRule type="cellIs" dxfId="168" priority="13" operator="greaterThan">
      <formula>0</formula>
    </cfRule>
  </conditionalFormatting>
  <conditionalFormatting sqref="G13:G20">
    <cfRule type="cellIs" dxfId="167" priority="7" operator="equal">
      <formula>0</formula>
    </cfRule>
    <cfRule type="cellIs" dxfId="166" priority="8" operator="lessThan">
      <formula>0</formula>
    </cfRule>
    <cfRule type="cellIs" dxfId="165" priority="9" operator="greaterThan">
      <formula>0</formula>
    </cfRule>
  </conditionalFormatting>
  <conditionalFormatting sqref="G22:G27 G29:G31 G33:G35">
    <cfRule type="cellIs" dxfId="164" priority="14" operator="equal">
      <formula>0</formula>
    </cfRule>
    <cfRule type="cellIs" dxfId="163" priority="15" operator="lessThan">
      <formula>0</formula>
    </cfRule>
    <cfRule type="cellIs" dxfId="162" priority="16" operator="greaterThan">
      <formula>0</formula>
    </cfRule>
  </conditionalFormatting>
  <conditionalFormatting sqref="G39:G41">
    <cfRule type="cellIs" dxfId="161" priority="1" operator="equal">
      <formula>0</formula>
    </cfRule>
    <cfRule type="cellIs" dxfId="160" priority="2" operator="lessThan">
      <formula>0</formula>
    </cfRule>
    <cfRule type="cellIs" dxfId="159" priority="3"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10" operator="containsText" id="{3532A2D6-D3B1-F944-99E1-3409E28E86B7}">
            <xm:f>NOT(ISERROR(SEARCH("-",G44)))</xm:f>
            <xm:f>"-"</xm:f>
            <x14:dxf>
              <font>
                <color rgb="FF9C0006"/>
              </font>
              <fill>
                <patternFill>
                  <bgColor rgb="FFFFC7CE"/>
                </patternFill>
              </fill>
            </x14:dxf>
          </x14:cfRule>
          <xm:sqref>G44</xm:sqref>
        </x14:conditionalFormatting>
      </x14:conditionalFormatting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B189-0C72-4D2E-A075-416B05029A0E}">
  <sheetPr codeName="Sheet49"/>
  <dimension ref="A1:K76"/>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11" ht="18">
      <c r="A1" s="180" t="s">
        <v>576</v>
      </c>
      <c r="B1" s="13" t="s">
        <v>164</v>
      </c>
      <c r="C1" s="44" t="str">
        <f>"15/10/18" &amp; " - " &amp; "22/10/18"</f>
        <v>15/10/18 - 22/10/18</v>
      </c>
      <c r="D1" s="44" t="str">
        <f>TEXT(DATEVALUE(RIGHT(C1,8))+1,"dd/mm/yy")&amp; " - "&amp; TEXT(DATEVALUE(RIGHT(C1,8))+7,"dd/mm/yy")</f>
        <v>23/10/18 - 29/10/18</v>
      </c>
      <c r="E1" s="44" t="str">
        <f>TEXT(DATEVALUE(RIGHT(D1,8))+1,"dd/mm/yy")&amp; " - "&amp; TEXT(DATEVALUE(RIGHT(D1,8))+7,"dd/mm/yy")</f>
        <v>30/10/18 - 05/11/18</v>
      </c>
      <c r="F1" s="44" t="str">
        <f>TEXT(DATEVALUE(RIGHT(E1,8))+1,"dd/mm/yy")&amp; " - "&amp; TEXT(DATEVALUE(RIGHT(E1,8))+7,"dd/mm/yy")</f>
        <v>06/11/18 - 12/11/18</v>
      </c>
      <c r="G1" s="12" t="s">
        <v>10</v>
      </c>
      <c r="H1" s="9"/>
    </row>
    <row r="2" spans="1:11" ht="18">
      <c r="A2" s="13" t="s">
        <v>165</v>
      </c>
      <c r="B2" s="10">
        <f>SUM(B4,B14,B35)</f>
        <v>2868.46</v>
      </c>
      <c r="C2" s="296">
        <f>SUM(C5:C25)</f>
        <v>1924.84</v>
      </c>
      <c r="D2" s="296">
        <f>SUM(D5:D25)</f>
        <v>463.39</v>
      </c>
      <c r="E2" s="296">
        <f>SUM(E5:E25)</f>
        <v>1157.6000000000001</v>
      </c>
      <c r="F2" s="296">
        <f>SUM(F5:F25)</f>
        <v>0</v>
      </c>
      <c r="G2" s="10"/>
      <c r="H2" s="9"/>
    </row>
    <row r="3" spans="1:11" ht="18">
      <c r="A3" s="250"/>
      <c r="B3" s="10"/>
      <c r="C3" s="296"/>
      <c r="D3" s="296"/>
      <c r="E3" s="296"/>
      <c r="F3" s="296"/>
      <c r="G3" s="10"/>
      <c r="H3" s="9"/>
    </row>
    <row r="4" spans="1:11" ht="18">
      <c r="A4" s="178" t="s">
        <v>166</v>
      </c>
      <c r="B4" s="183">
        <f>SUM(B5:B10)</f>
        <v>1273.3</v>
      </c>
      <c r="C4" s="296"/>
      <c r="D4" s="296"/>
      <c r="E4" s="296"/>
      <c r="F4" s="296"/>
      <c r="G4" s="184">
        <f>ROUND(SUM(G5:G10),2)</f>
        <v>-9.17</v>
      </c>
      <c r="H4" s="9" t="s">
        <v>10</v>
      </c>
      <c r="I4">
        <f>SUM(I5:I8)+SUM(I16:I19)+SUM(I23:I27)+SUM(I30:I31)+SUM(I36:I37)</f>
        <v>174.99000000000009</v>
      </c>
    </row>
    <row r="5" spans="1:11" ht="18" outlineLevel="1">
      <c r="A5" s="105" t="s">
        <v>167</v>
      </c>
      <c r="B5" s="17">
        <v>250</v>
      </c>
      <c r="C5" s="10">
        <f>50+50</f>
        <v>100</v>
      </c>
      <c r="D5" s="10">
        <v>150</v>
      </c>
      <c r="E5" s="10"/>
      <c r="F5" s="10"/>
      <c r="G5" s="10">
        <f t="shared" ref="G5:G10" si="0">IF(B5&lt;&gt;"",B5-C5-D5-E5-F5,"")</f>
        <v>0</v>
      </c>
      <c r="H5" s="12" t="str">
        <f t="shared" ref="H5:H11" si="1">A5</f>
        <v xml:space="preserve">Car Petrol </v>
      </c>
      <c r="I5">
        <f>IF(G5&lt;0,G5*-1,0)</f>
        <v>0</v>
      </c>
    </row>
    <row r="6" spans="1:11" ht="18" outlineLevel="1">
      <c r="A6" s="105" t="s">
        <v>577</v>
      </c>
      <c r="B6" s="10">
        <v>0</v>
      </c>
      <c r="C6" s="10">
        <f>25.49+8.78+12+1.65+7.48+25.95+1.4</f>
        <v>82.75</v>
      </c>
      <c r="D6" s="10"/>
      <c r="E6" s="10">
        <v>5</v>
      </c>
      <c r="F6" s="10"/>
      <c r="G6" s="10">
        <f t="shared" si="0"/>
        <v>-87.75</v>
      </c>
      <c r="H6" s="12" t="str">
        <f t="shared" si="1"/>
        <v>Food/Bunnies/Toiletries</v>
      </c>
      <c r="I6">
        <f>IF(G6&lt;0,G6*-1,0)</f>
        <v>87.75</v>
      </c>
    </row>
    <row r="7" spans="1:11" ht="18" outlineLevel="1">
      <c r="A7" s="105" t="s">
        <v>170</v>
      </c>
      <c r="B7" s="10">
        <v>150</v>
      </c>
      <c r="C7" s="10">
        <v>150</v>
      </c>
      <c r="D7" s="10">
        <f>7.04+14+10+6.2</f>
        <v>37.24</v>
      </c>
      <c r="E7" s="10">
        <v>50</v>
      </c>
      <c r="F7" s="10"/>
      <c r="G7" s="10">
        <f t="shared" si="0"/>
        <v>-87.240000000000009</v>
      </c>
      <c r="H7" s="12" t="str">
        <f t="shared" si="1"/>
        <v>Gift Fund</v>
      </c>
      <c r="I7">
        <f>IF(G7&lt;0,G7*-1,0)</f>
        <v>87.240000000000009</v>
      </c>
    </row>
    <row r="8" spans="1:11" ht="18" outlineLevel="1">
      <c r="A8" s="105" t="s">
        <v>171</v>
      </c>
      <c r="B8" s="10">
        <f>240+240</f>
        <v>480</v>
      </c>
      <c r="C8" s="10">
        <f>240+240</f>
        <v>480</v>
      </c>
      <c r="D8" s="10"/>
      <c r="E8" s="10"/>
      <c r="F8" s="10"/>
      <c r="G8" s="10">
        <f t="shared" si="0"/>
        <v>0</v>
      </c>
      <c r="H8" s="12" t="str">
        <f t="shared" si="1"/>
        <v>Holiday Fund</v>
      </c>
      <c r="I8">
        <f>IF(G8&lt;0,G8*-1,0)</f>
        <v>0</v>
      </c>
    </row>
    <row r="9" spans="1:11" ht="18" outlineLevel="1">
      <c r="A9" s="105" t="s">
        <v>632</v>
      </c>
      <c r="B9" s="10">
        <f>80</f>
        <v>80</v>
      </c>
      <c r="C9" s="10"/>
      <c r="D9" s="10">
        <f>15.75+5.25+6.8+8.2+5+17.1</f>
        <v>58.1</v>
      </c>
      <c r="E9" s="10"/>
      <c r="F9" s="10"/>
      <c r="G9" s="10">
        <f t="shared" si="0"/>
        <v>21.9</v>
      </c>
      <c r="H9" s="12" t="str">
        <f t="shared" si="1"/>
        <v>Shared</v>
      </c>
      <c r="I9">
        <f>IF(G9&lt;0,G9*-1,0)</f>
        <v>0</v>
      </c>
    </row>
    <row r="10" spans="1:11" ht="18" outlineLevel="1">
      <c r="A10" s="105" t="s">
        <v>129</v>
      </c>
      <c r="B10" s="10">
        <f>175+122.31+15.99</f>
        <v>313.3</v>
      </c>
      <c r="C10" s="10"/>
      <c r="D10" s="10">
        <f>2.99+2.99+2.99+3.99+29.99+1.88+24</f>
        <v>68.830000000000013</v>
      </c>
      <c r="E10" s="10">
        <f>3.95+14.98+6.19+48.43+20+7</f>
        <v>100.55</v>
      </c>
      <c r="F10" s="10"/>
      <c r="G10" s="10">
        <f t="shared" si="0"/>
        <v>143.92000000000002</v>
      </c>
      <c r="H10" s="12" t="str">
        <f t="shared" si="1"/>
        <v>Christmas</v>
      </c>
    </row>
    <row r="11" spans="1:11" ht="18" outlineLevel="1">
      <c r="A11" s="105" t="s">
        <v>633</v>
      </c>
      <c r="B11" s="10">
        <f>IF(B40 &lt;&gt; 0,B40-B4-B14-B35,0)</f>
        <v>1378.7300000000005</v>
      </c>
      <c r="C11" s="10">
        <f>10.2+20+19.48+13.38+3.58+19.4+1.09+20.1+35.98+19.99+3.06+15+13.05+50+59+30</f>
        <v>333.31</v>
      </c>
      <c r="D11" s="10">
        <f>4+13.98+7.25+16.99+4.5+3.5+10.1</f>
        <v>60.32</v>
      </c>
      <c r="E11" s="10">
        <f>3.6+3+9.5+176.96+299.99+1.65+3.58+3+12.99+5.25+2.4+7.99+7.99+25+60+132</f>
        <v>754.9</v>
      </c>
      <c r="F11" s="10"/>
      <c r="G11" s="10">
        <f>IF(B11&lt;&gt;"",B11-C11-D11-E11-F11-I4,"")</f>
        <v>55.210000000000406</v>
      </c>
      <c r="H11" s="12" t="str">
        <f t="shared" si="1"/>
        <v>Fun</v>
      </c>
      <c r="I11" s="11"/>
      <c r="J11" s="11"/>
      <c r="K11" s="11"/>
    </row>
    <row r="12" spans="1:11" ht="18" outlineLevel="1">
      <c r="A12" s="185"/>
      <c r="B12" s="10"/>
      <c r="C12" s="10"/>
      <c r="D12" s="10"/>
      <c r="E12" s="10"/>
      <c r="F12" s="10"/>
      <c r="G12" s="10"/>
      <c r="H12" s="9"/>
      <c r="J12" s="11"/>
    </row>
    <row r="13" spans="1:11" ht="18">
      <c r="A13" s="185"/>
      <c r="B13" s="10"/>
      <c r="C13" s="10"/>
      <c r="D13" s="10"/>
      <c r="E13" s="10"/>
      <c r="F13" s="10"/>
      <c r="G13" s="10"/>
      <c r="H13" s="9"/>
      <c r="J13" s="11"/>
    </row>
    <row r="14" spans="1:11" ht="18">
      <c r="A14" s="177" t="s">
        <v>422</v>
      </c>
      <c r="B14" s="183">
        <f>B15+B22+B29</f>
        <v>1255.55</v>
      </c>
      <c r="C14" s="10"/>
      <c r="D14" s="10"/>
      <c r="E14" s="10"/>
      <c r="F14" s="10"/>
      <c r="G14" s="234">
        <f>ROUND(SUM(G15,G22,G29),2)</f>
        <v>7.99</v>
      </c>
      <c r="H14" s="237" t="s">
        <v>10</v>
      </c>
      <c r="I14" s="11"/>
    </row>
    <row r="15" spans="1:11" ht="18">
      <c r="A15" s="105" t="s">
        <v>594</v>
      </c>
      <c r="B15" s="183">
        <f>SUM(B16:B20)</f>
        <v>1055.94</v>
      </c>
      <c r="C15" s="10"/>
      <c r="D15" s="10"/>
      <c r="E15" s="10"/>
      <c r="F15" s="10"/>
      <c r="G15" s="235">
        <f>IF(B15&lt;&gt;"",SUM(G16:G20),0)</f>
        <v>-2.1316282072803006E-14</v>
      </c>
      <c r="H15" s="236" t="str">
        <f t="shared" ref="H15:H29" si="2">A15</f>
        <v>House Outgoings</v>
      </c>
    </row>
    <row r="16" spans="1:11" ht="18" outlineLevel="2">
      <c r="A16" s="13" t="s">
        <v>595</v>
      </c>
      <c r="B16" s="184">
        <v>452.64</v>
      </c>
      <c r="C16" s="10">
        <v>452.64</v>
      </c>
      <c r="D16" s="10"/>
      <c r="E16" s="10"/>
      <c r="F16" s="10"/>
      <c r="G16" s="10">
        <f t="shared" ref="G16:G31" si="3">IF(B16&lt;&gt;"",B16-C16-D16-E16-F16,"")</f>
        <v>0</v>
      </c>
      <c r="H16" s="12" t="str">
        <f t="shared" si="2"/>
        <v>Mortgage</v>
      </c>
      <c r="I16">
        <f t="shared" ref="I16:I19" si="4">IF(G16&lt;0,G16*-1,0)</f>
        <v>0</v>
      </c>
    </row>
    <row r="17" spans="1:11" ht="18" outlineLevel="2">
      <c r="A17" s="13" t="s">
        <v>596</v>
      </c>
      <c r="B17" s="184">
        <v>187</v>
      </c>
      <c r="C17" s="10">
        <v>187</v>
      </c>
      <c r="D17" s="10"/>
      <c r="E17" s="10"/>
      <c r="F17" s="10"/>
      <c r="G17" s="10">
        <f t="shared" si="3"/>
        <v>0</v>
      </c>
      <c r="H17" s="12" t="str">
        <f t="shared" si="2"/>
        <v>Council tax</v>
      </c>
      <c r="I17">
        <f t="shared" si="4"/>
        <v>0</v>
      </c>
      <c r="J17" s="11"/>
      <c r="K17" s="11"/>
    </row>
    <row r="18" spans="1:11" ht="18" outlineLevel="2">
      <c r="A18" s="13" t="s">
        <v>634</v>
      </c>
      <c r="B18" s="184">
        <f>84+247.15</f>
        <v>331.15</v>
      </c>
      <c r="C18" s="10">
        <f>34+50</f>
        <v>84</v>
      </c>
      <c r="D18" s="10"/>
      <c r="E18" s="10">
        <v>247.15</v>
      </c>
      <c r="F18" s="10"/>
      <c r="G18" s="10">
        <f t="shared" si="3"/>
        <v>-2.8421709430404007E-14</v>
      </c>
      <c r="H18" s="12" t="str">
        <f t="shared" si="2"/>
        <v>Utilities</v>
      </c>
      <c r="I18">
        <f t="shared" si="4"/>
        <v>2.8421709430404007E-14</v>
      </c>
    </row>
    <row r="19" spans="1:11" ht="18" outlineLevel="2">
      <c r="A19" s="13" t="s">
        <v>600</v>
      </c>
      <c r="B19" s="184">
        <f>4.52+15.97+8.56+16.1</f>
        <v>45.150000000000006</v>
      </c>
      <c r="C19" s="10">
        <v>45.15</v>
      </c>
      <c r="D19" s="10"/>
      <c r="E19" s="10"/>
      <c r="F19" s="10"/>
      <c r="G19" s="10">
        <f t="shared" si="3"/>
        <v>7.1054273576010019E-15</v>
      </c>
      <c r="H19" s="12" t="str">
        <f t="shared" si="2"/>
        <v>Insurance</v>
      </c>
      <c r="I19">
        <f t="shared" si="4"/>
        <v>0</v>
      </c>
    </row>
    <row r="20" spans="1:11" ht="18" outlineLevel="2">
      <c r="A20" s="13" t="s">
        <v>611</v>
      </c>
      <c r="B20" s="184">
        <v>40</v>
      </c>
      <c r="C20" s="10"/>
      <c r="D20" s="10">
        <v>40</v>
      </c>
      <c r="E20" s="10"/>
      <c r="F20" s="10"/>
      <c r="G20" s="10">
        <f t="shared" si="3"/>
        <v>0</v>
      </c>
      <c r="H20" s="12" t="str">
        <f t="shared" si="2"/>
        <v>The Range</v>
      </c>
    </row>
    <row r="21" spans="1:11" s="747" customFormat="1" ht="18" outlineLevel="2">
      <c r="A21" s="747" t="str">
        <f>IF(B21&lt;&gt;"",B21-C21-D21-E21-F21,"")</f>
        <v/>
      </c>
    </row>
    <row r="22" spans="1:11" ht="18" outlineLevel="1">
      <c r="A22" s="105" t="s">
        <v>601</v>
      </c>
      <c r="B22" s="296">
        <f>SUM(B23:B27)</f>
        <v>99.609999999999985</v>
      </c>
      <c r="C22" s="10"/>
      <c r="D22" s="10"/>
      <c r="E22" s="10"/>
      <c r="F22" s="10"/>
      <c r="G22" s="235">
        <f>IF(B22&lt;&gt;"",SUM(G23:G27),0)</f>
        <v>7.99</v>
      </c>
      <c r="H22" s="236" t="str">
        <f t="shared" si="2"/>
        <v>Tech</v>
      </c>
      <c r="I22" s="11"/>
    </row>
    <row r="23" spans="1:11" ht="18" outlineLevel="2">
      <c r="A23" s="13" t="s">
        <v>602</v>
      </c>
      <c r="B23" s="33">
        <v>40.909999999999997</v>
      </c>
      <c r="C23" s="10"/>
      <c r="D23" s="10">
        <v>40.909999999999997</v>
      </c>
      <c r="E23" s="10"/>
      <c r="F23" s="10"/>
      <c r="G23" s="10">
        <f t="shared" si="3"/>
        <v>0</v>
      </c>
      <c r="H23" s="12" t="str">
        <f t="shared" si="2"/>
        <v>Broadband / TV</v>
      </c>
      <c r="I23">
        <f>IF(G23&lt;0,G23*-1,0)</f>
        <v>0</v>
      </c>
    </row>
    <row r="24" spans="1:11" ht="18" outlineLevel="2">
      <c r="A24" s="13" t="s">
        <v>587</v>
      </c>
      <c r="B24" s="33">
        <f>7.99+9.99</f>
        <v>17.98</v>
      </c>
      <c r="C24" s="10">
        <f>9.99</f>
        <v>9.99</v>
      </c>
      <c r="D24" s="10">
        <v>7.99</v>
      </c>
      <c r="E24" s="10"/>
      <c r="F24" s="10"/>
      <c r="G24" s="10">
        <f t="shared" si="3"/>
        <v>0</v>
      </c>
      <c r="H24" s="12" t="str">
        <f t="shared" si="2"/>
        <v>Sky Movies (14th)</v>
      </c>
      <c r="I24">
        <f>IF(G24&lt;0,G24*-1,0)</f>
        <v>0</v>
      </c>
    </row>
    <row r="25" spans="1:11" ht="18" outlineLevel="2">
      <c r="A25" s="13" t="s">
        <v>582</v>
      </c>
      <c r="B25" s="33">
        <v>7.99</v>
      </c>
      <c r="C25" s="10"/>
      <c r="D25" s="10"/>
      <c r="E25" s="10"/>
      <c r="F25" s="10"/>
      <c r="G25" s="10">
        <f t="shared" si="3"/>
        <v>7.99</v>
      </c>
      <c r="H25" s="12" t="str">
        <f t="shared" si="2"/>
        <v>Onedrive (6th)</v>
      </c>
      <c r="I25">
        <f>IF(G25&lt;0,G25*-1,0)</f>
        <v>0</v>
      </c>
    </row>
    <row r="26" spans="1:11" ht="18" outlineLevel="2">
      <c r="A26" s="13" t="s">
        <v>589</v>
      </c>
      <c r="B26" s="33">
        <v>14.99</v>
      </c>
      <c r="C26" s="10">
        <v>14.99</v>
      </c>
      <c r="D26" s="10"/>
      <c r="E26" s="10"/>
      <c r="F26" s="10"/>
      <c r="G26" s="10">
        <f>IF(B26&lt;&gt;"",B26-C26-D26-E26-F26,"")</f>
        <v>0</v>
      </c>
      <c r="H26" s="12" t="str">
        <f>A26</f>
        <v>Music</v>
      </c>
      <c r="I26">
        <f>IF(G26&lt;0,G26*-1,0)</f>
        <v>0</v>
      </c>
    </row>
    <row r="27" spans="1:11" ht="18" outlineLevel="2" collapsed="1">
      <c r="A27" s="13" t="s">
        <v>603</v>
      </c>
      <c r="B27" s="33">
        <v>17.739999999999998</v>
      </c>
      <c r="C27" s="10"/>
      <c r="D27" s="10">
        <v>17.739999999999998</v>
      </c>
      <c r="E27" s="10"/>
      <c r="F27" s="10"/>
      <c r="G27" s="10">
        <f>IF(B27&lt;&gt;"",B27-C27-D27-E27-F27,"")</f>
        <v>0</v>
      </c>
      <c r="H27" s="12" t="str">
        <f>A27</f>
        <v>Matt Phone  (21st)</v>
      </c>
      <c r="I27">
        <f>IF(G27&lt;0,G27*-1,0)</f>
        <v>0</v>
      </c>
    </row>
    <row r="28" spans="1:11" s="747" customFormat="1" ht="18" outlineLevel="2">
      <c r="A28" s="747" t="str">
        <f>IF(B28&lt;&gt;"",B28-C28-D28-E28-F28,"")</f>
        <v/>
      </c>
    </row>
    <row r="29" spans="1:11" ht="18" outlineLevel="1">
      <c r="A29" s="105" t="s">
        <v>183</v>
      </c>
      <c r="B29" s="296">
        <f>SUM(B30:B31)</f>
        <v>100</v>
      </c>
      <c r="C29" s="10"/>
      <c r="D29" s="10"/>
      <c r="E29" s="10"/>
      <c r="F29" s="10"/>
      <c r="G29" s="235">
        <f>IF(B29&lt;&gt;"",SUM(G30:G31),0)</f>
        <v>0</v>
      </c>
      <c r="H29" s="236" t="str">
        <f t="shared" si="2"/>
        <v>Savings</v>
      </c>
    </row>
    <row r="30" spans="1:11" ht="18" outlineLevel="2">
      <c r="A30" s="13" t="s">
        <v>590</v>
      </c>
      <c r="B30" s="33">
        <v>50</v>
      </c>
      <c r="C30" s="10">
        <v>50</v>
      </c>
      <c r="D30" s="10"/>
      <c r="E30" s="10"/>
      <c r="F30" s="10"/>
      <c r="G30" s="10">
        <f t="shared" si="3"/>
        <v>0</v>
      </c>
      <c r="H30" s="12" t="str">
        <f>A30</f>
        <v>Contingency</v>
      </c>
      <c r="I30">
        <f>IF(G30&lt;0,G30*-1,0)</f>
        <v>0</v>
      </c>
    </row>
    <row r="31" spans="1:11" ht="18" outlineLevel="2">
      <c r="A31" s="13" t="s">
        <v>591</v>
      </c>
      <c r="B31" s="33">
        <v>50</v>
      </c>
      <c r="C31" s="10">
        <v>50</v>
      </c>
      <c r="D31" s="10"/>
      <c r="E31" s="10"/>
      <c r="F31" s="10"/>
      <c r="G31" s="10">
        <f t="shared" si="3"/>
        <v>0</v>
      </c>
      <c r="H31" s="12" t="str">
        <f>A31</f>
        <v>HTB</v>
      </c>
      <c r="I31">
        <f>IF(G31&lt;0,G31*-1,0)</f>
        <v>0</v>
      </c>
    </row>
    <row r="32" spans="1:11" s="748" customFormat="1" ht="18" outlineLevel="2"/>
    <row r="33" spans="1:11" ht="18" outlineLevel="1">
      <c r="A33" s="185"/>
      <c r="B33" s="10"/>
      <c r="C33" s="10"/>
      <c r="D33" s="10"/>
      <c r="E33" s="10"/>
      <c r="F33" s="10"/>
      <c r="G33" s="10"/>
      <c r="H33" s="9"/>
    </row>
    <row r="34" spans="1:11" ht="18" outlineLevel="1">
      <c r="A34" s="185"/>
      <c r="B34" s="10"/>
      <c r="C34" s="10"/>
      <c r="D34" s="10"/>
      <c r="E34" s="10"/>
      <c r="F34" s="10"/>
      <c r="G34" s="10"/>
      <c r="H34" s="9"/>
      <c r="K34" s="11"/>
    </row>
    <row r="35" spans="1:11" ht="18">
      <c r="A35" s="177" t="s">
        <v>424</v>
      </c>
      <c r="B35" s="183">
        <f>SUM(B36,B37)</f>
        <v>339.60999999999996</v>
      </c>
      <c r="C35" s="10"/>
      <c r="D35" s="10"/>
      <c r="E35" s="10"/>
      <c r="F35" s="10"/>
      <c r="G35" s="183">
        <f>SUM(G36,G37)</f>
        <v>-5.3290705182007514E-14</v>
      </c>
      <c r="H35" s="9" t="s">
        <v>10</v>
      </c>
      <c r="K35" s="11"/>
    </row>
    <row r="36" spans="1:11" ht="18" outlineLevel="1">
      <c r="A36" s="105" t="s">
        <v>359</v>
      </c>
      <c r="B36" s="184">
        <v>12.96</v>
      </c>
      <c r="C36" s="10">
        <v>12.96</v>
      </c>
      <c r="D36" s="10"/>
      <c r="E36" s="10"/>
      <c r="F36" s="10"/>
      <c r="G36" s="10">
        <f>IF(B36&lt;&gt;"",B36-C36-D36-E36-F36,"")</f>
        <v>0</v>
      </c>
      <c r="H36" s="12" t="str">
        <f>A36</f>
        <v>TV License</v>
      </c>
      <c r="I36">
        <f>IF(G36&lt;0,G36*-1,0)</f>
        <v>0</v>
      </c>
      <c r="K36" s="11"/>
    </row>
    <row r="37" spans="1:11" ht="18" outlineLevel="1">
      <c r="A37" s="105" t="s">
        <v>606</v>
      </c>
      <c r="B37" s="239">
        <f>89.09+27.56+210</f>
        <v>326.64999999999998</v>
      </c>
      <c r="C37" s="10">
        <f>89.09+210</f>
        <v>299.09000000000003</v>
      </c>
      <c r="D37" s="10"/>
      <c r="E37" s="10">
        <v>27.56</v>
      </c>
      <c r="F37" s="10"/>
      <c r="G37" s="10">
        <f t="shared" ref="G37" si="5">IF(B37&lt;&gt;"",B37-C37-D37-E37-F37,"")</f>
        <v>-5.3290705182007514E-14</v>
      </c>
      <c r="H37" s="12" t="str">
        <f t="shared" ref="H37" si="6">A37</f>
        <v>Car</v>
      </c>
      <c r="I37">
        <f>IF(G37&lt;0,G37*-1,0)</f>
        <v>5.3290705182007514E-14</v>
      </c>
    </row>
    <row r="38" spans="1:11" ht="18" outlineLevel="1">
      <c r="A38" s="208"/>
      <c r="B38" s="10"/>
      <c r="C38" s="10"/>
      <c r="D38" s="10"/>
      <c r="E38" s="10"/>
      <c r="F38" s="10"/>
      <c r="G38" s="10"/>
      <c r="H38" s="48"/>
    </row>
    <row r="39" spans="1:11" ht="18">
      <c r="A39" s="208"/>
      <c r="B39" s="10"/>
      <c r="C39" s="10"/>
      <c r="D39" s="10"/>
      <c r="E39" s="10"/>
      <c r="F39" s="10"/>
      <c r="G39" s="10"/>
      <c r="H39" s="48"/>
    </row>
    <row r="40" spans="1:11" ht="18">
      <c r="A40" s="179" t="s">
        <v>186</v>
      </c>
      <c r="B40" s="296">
        <f>SUM(C40:F40)</f>
        <v>4247.1900000000005</v>
      </c>
      <c r="C40" s="26">
        <f>8.82+1335.66+5+240.03+57+43+43.96+280.5+950</f>
        <v>2963.9700000000003</v>
      </c>
      <c r="D40" s="26"/>
      <c r="E40" s="26">
        <f>129.99+299.99+16.99+46.97+250+37.99+230+12.99+20+100+122.31+15.99</f>
        <v>1283.22</v>
      </c>
      <c r="F40" s="36"/>
      <c r="G40" s="46" t="str">
        <f>ROUND(SUM(G4,G11,G14,G35),2) +I4 &amp; " / " &amp; B40</f>
        <v>229.02 / 4247.19</v>
      </c>
      <c r="H40" s="10"/>
      <c r="I40" s="238">
        <f>SUM(G35,G29,G22,G15,G5,G7,G8)</f>
        <v>-79.250000000000085</v>
      </c>
    </row>
    <row r="41" spans="1:11" ht="18">
      <c r="A41" s="24"/>
      <c r="B41" s="10"/>
      <c r="C41" s="49"/>
      <c r="D41" s="26"/>
      <c r="E41" s="23"/>
      <c r="F41" s="25"/>
      <c r="G41" s="79"/>
      <c r="H41" s="11"/>
    </row>
    <row r="42" spans="1:11" ht="18">
      <c r="A42" s="17" t="s">
        <v>635</v>
      </c>
      <c r="B42" s="17" t="str">
        <f ca="1">IF(MONTH(TODAY()) = 11, IF(MONTH(DATEVALUE(RIGHT(A1,3)&amp;" 1"))=11, "Bike insurance due",""),"")</f>
        <v/>
      </c>
      <c r="C42" s="59"/>
      <c r="D42" s="16"/>
      <c r="E42" s="16"/>
      <c r="G42" s="240"/>
      <c r="H42" s="11"/>
      <c r="I42" s="241"/>
    </row>
    <row r="43" spans="1:11" ht="18">
      <c r="A43" s="17" t="s">
        <v>171</v>
      </c>
      <c r="B43" s="17">
        <f>299.99+100+80.4</f>
        <v>480.39</v>
      </c>
      <c r="C43" s="39" t="s">
        <v>636</v>
      </c>
      <c r="D43" s="39"/>
      <c r="E43" s="16"/>
      <c r="F43" s="16"/>
      <c r="H43" s="11"/>
      <c r="I43" s="241"/>
    </row>
    <row r="44" spans="1:11" ht="18">
      <c r="A44" s="17" t="s">
        <v>637</v>
      </c>
      <c r="B44" s="17">
        <v>250</v>
      </c>
      <c r="C44" t="s">
        <v>638</v>
      </c>
      <c r="D44" s="10"/>
      <c r="E44" s="43"/>
      <c r="F44" s="18"/>
      <c r="G44" s="241"/>
      <c r="H44" s="11"/>
      <c r="I44" s="241"/>
    </row>
    <row r="45" spans="1:11" ht="18">
      <c r="A45" s="20" t="s">
        <v>639</v>
      </c>
      <c r="B45" s="11">
        <f>42.27+15.99</f>
        <v>58.260000000000005</v>
      </c>
      <c r="C45" t="s">
        <v>129</v>
      </c>
      <c r="D45" s="11"/>
      <c r="E45" s="11"/>
      <c r="F45" s="11"/>
      <c r="G45" s="241"/>
      <c r="I45" s="240"/>
    </row>
    <row r="46" spans="1:11" ht="18">
      <c r="B46" s="11"/>
      <c r="C46" s="184"/>
      <c r="D46" s="11"/>
      <c r="E46" s="11"/>
      <c r="F46" s="11"/>
      <c r="G46" s="241"/>
      <c r="H46" s="241"/>
    </row>
    <row r="47" spans="1:11" ht="18">
      <c r="A47" s="37" t="s">
        <v>640</v>
      </c>
      <c r="B47" s="10"/>
      <c r="C47" s="184"/>
      <c r="D47" s="11" t="s">
        <v>641</v>
      </c>
      <c r="E47" s="11"/>
      <c r="F47" s="240"/>
      <c r="G47" s="241"/>
      <c r="H47" s="240"/>
    </row>
    <row r="48" spans="1:11" ht="18">
      <c r="A48" s="37" t="s">
        <v>642</v>
      </c>
      <c r="B48" s="10">
        <v>250</v>
      </c>
      <c r="C48" s="184" t="s">
        <v>643</v>
      </c>
      <c r="D48" s="11">
        <f>B43-B48</f>
        <v>230.39</v>
      </c>
      <c r="E48" s="11"/>
      <c r="F48" s="11"/>
      <c r="G48" s="241"/>
      <c r="H48" s="240"/>
    </row>
    <row r="49" spans="1:8" ht="18">
      <c r="A49" s="37" t="s">
        <v>644</v>
      </c>
      <c r="B49" s="10">
        <v>250</v>
      </c>
      <c r="C49" s="184" t="s">
        <v>645</v>
      </c>
      <c r="E49" s="11"/>
      <c r="F49" s="11"/>
      <c r="G49" s="241"/>
    </row>
    <row r="50" spans="1:8" ht="18">
      <c r="B50" s="10"/>
      <c r="C50" s="11"/>
      <c r="E50" s="11"/>
      <c r="F50" s="11"/>
      <c r="G50" s="241"/>
    </row>
    <row r="51" spans="1:8" ht="18">
      <c r="B51" s="10"/>
      <c r="C51" s="11"/>
      <c r="E51" s="11"/>
      <c r="F51" s="11"/>
      <c r="G51" s="11"/>
    </row>
    <row r="52" spans="1:8" ht="18">
      <c r="A52" s="37" t="s">
        <v>646</v>
      </c>
      <c r="B52" s="17"/>
      <c r="D52" s="39"/>
      <c r="E52" s="43"/>
      <c r="F52" s="43"/>
      <c r="G52" s="11"/>
    </row>
    <row r="53" spans="1:8" ht="18">
      <c r="A53" s="37" t="s">
        <v>647</v>
      </c>
      <c r="B53" s="11">
        <v>200</v>
      </c>
      <c r="D53" s="11"/>
      <c r="E53" s="11"/>
      <c r="F53" s="11"/>
      <c r="G53" s="11"/>
    </row>
    <row r="54" spans="1:8" ht="18">
      <c r="A54" s="37" t="s">
        <v>648</v>
      </c>
      <c r="B54" s="11">
        <v>225</v>
      </c>
      <c r="C54" s="184"/>
      <c r="D54" s="11"/>
      <c r="E54" s="11"/>
      <c r="F54" s="11"/>
      <c r="G54" s="11"/>
    </row>
    <row r="55" spans="1:8" ht="18">
      <c r="B55" s="10"/>
      <c r="C55" s="184"/>
      <c r="D55" s="11"/>
      <c r="E55" s="11"/>
      <c r="F55" s="11"/>
      <c r="G55" s="11"/>
    </row>
    <row r="56" spans="1:8" ht="18">
      <c r="B56" s="10"/>
      <c r="C56" s="184"/>
      <c r="E56" s="11"/>
      <c r="F56" s="11"/>
      <c r="G56" s="11"/>
      <c r="H56" s="11"/>
    </row>
    <row r="57" spans="1:8" ht="18">
      <c r="B57" s="10"/>
      <c r="C57" s="184"/>
      <c r="E57" s="11"/>
      <c r="F57" s="11"/>
      <c r="G57" s="11"/>
    </row>
    <row r="58" spans="1:8" ht="18">
      <c r="B58" s="10">
        <f>2052.81</f>
        <v>2052.81</v>
      </c>
      <c r="C58" s="11" t="s">
        <v>649</v>
      </c>
      <c r="D58">
        <v>587.87</v>
      </c>
      <c r="E58" s="11" t="s">
        <v>650</v>
      </c>
      <c r="F58" s="11"/>
      <c r="G58" s="11"/>
    </row>
    <row r="59" spans="1:8">
      <c r="B59" s="11">
        <f>B58-1175</f>
        <v>877.81</v>
      </c>
      <c r="C59" t="s">
        <v>651</v>
      </c>
      <c r="D59">
        <v>376.88</v>
      </c>
      <c r="E59" t="s">
        <v>652</v>
      </c>
    </row>
    <row r="60" spans="1:8">
      <c r="B60" s="11">
        <f>B59-41.94</f>
        <v>835.86999999999989</v>
      </c>
      <c r="C60" t="s">
        <v>653</v>
      </c>
    </row>
    <row r="61" spans="1:8">
      <c r="B61" s="11">
        <f>B60-248</f>
        <v>587.86999999999989</v>
      </c>
      <c r="E61" s="726"/>
      <c r="F61" s="726"/>
    </row>
    <row r="63" spans="1:8" ht="18">
      <c r="D63" s="39"/>
    </row>
    <row r="64" spans="1:8">
      <c r="D64" s="11"/>
    </row>
    <row r="65" spans="3:4" ht="18">
      <c r="C65" s="184"/>
      <c r="D65" s="11"/>
    </row>
    <row r="66" spans="3:4" ht="18">
      <c r="C66" s="184"/>
      <c r="D66" s="11"/>
    </row>
    <row r="67" spans="3:4" ht="18">
      <c r="C67" s="184"/>
    </row>
    <row r="68" spans="3:4" ht="18">
      <c r="C68" s="184"/>
    </row>
    <row r="69" spans="3:4">
      <c r="C69" s="11"/>
    </row>
    <row r="70" spans="3:4">
      <c r="C70" s="11"/>
    </row>
    <row r="71" spans="3:4">
      <c r="C71" s="11"/>
    </row>
    <row r="72" spans="3:4">
      <c r="C72" s="11"/>
    </row>
    <row r="73" spans="3:4">
      <c r="C73" s="11"/>
    </row>
    <row r="74" spans="3:4">
      <c r="C74" s="11"/>
    </row>
    <row r="75" spans="3:4">
      <c r="C75" s="11"/>
    </row>
    <row r="76" spans="3:4">
      <c r="C76" s="11"/>
    </row>
  </sheetData>
  <mergeCells count="4">
    <mergeCell ref="A21:XFD21"/>
    <mergeCell ref="A28:XFD28"/>
    <mergeCell ref="A32:XFD32"/>
    <mergeCell ref="E61:F61"/>
  </mergeCells>
  <conditionalFormatting sqref="G5:G11">
    <cfRule type="cellIs" dxfId="157" priority="11" operator="lessThan">
      <formula>0</formula>
    </cfRule>
    <cfRule type="cellIs" dxfId="156" priority="12" operator="equal">
      <formula>0</formula>
    </cfRule>
    <cfRule type="cellIs" dxfId="155" priority="13" operator="greaterThan">
      <formula>0</formula>
    </cfRule>
  </conditionalFormatting>
  <conditionalFormatting sqref="G15:G20 G22:G27 G29:G31">
    <cfRule type="cellIs" dxfId="154" priority="14" operator="equal">
      <formula>0</formula>
    </cfRule>
    <cfRule type="cellIs" dxfId="153" priority="15" operator="lessThan">
      <formula>0</formula>
    </cfRule>
    <cfRule type="cellIs" dxfId="152" priority="16" operator="greaterThan">
      <formula>0</formula>
    </cfRule>
  </conditionalFormatting>
  <conditionalFormatting sqref="G36:G37">
    <cfRule type="cellIs" dxfId="151" priority="1" operator="equal">
      <formula>0</formula>
    </cfRule>
    <cfRule type="cellIs" dxfId="150" priority="2" operator="lessThan">
      <formula>0</formula>
    </cfRule>
    <cfRule type="cellIs" dxfId="149" priority="3"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10" operator="containsText" id="{845A1840-DBB8-49AA-8DE8-2B79BBD71B6C}">
            <xm:f>NOT(ISERROR(SEARCH("-",G40)))</xm:f>
            <xm:f>"-"</xm:f>
            <x14:dxf>
              <font>
                <color rgb="FF9C0006"/>
              </font>
              <fill>
                <patternFill>
                  <bgColor rgb="FFFFC7CE"/>
                </patternFill>
              </fill>
            </x14:dxf>
          </x14:cfRule>
          <xm:sqref>G40</xm:sqref>
        </x14:conditionalFormatting>
      </x14:conditionalFormatting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5396-CEC7-5442-A807-AF5034AD6249}">
  <sheetPr codeName="Sheet50"/>
  <dimension ref="A1:N56"/>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14" ht="18">
      <c r="A1" s="180" t="s">
        <v>576</v>
      </c>
      <c r="B1" s="13" t="s">
        <v>164</v>
      </c>
      <c r="C1" s="44" t="str">
        <f>"15/11/18" &amp; " - " &amp; "22/11/18"</f>
        <v>15/11/18 - 22/11/18</v>
      </c>
      <c r="D1" s="44" t="str">
        <f>TEXT(DATEVALUE(RIGHT(C1,8))+1,"dd/mm/yy")&amp; " - "&amp; TEXT(DATEVALUE(RIGHT(C1,8))+7,"dd/mm/yy")</f>
        <v>23/11/18 - 29/11/18</v>
      </c>
      <c r="E1" s="44" t="str">
        <f>TEXT(DATEVALUE(RIGHT(D1,8))+1,"dd/mm/yy")&amp; " - "&amp; TEXT(DATEVALUE(RIGHT(D1,8))+7,"dd/mm/yy")</f>
        <v>30/11/18 - 06/12/18</v>
      </c>
      <c r="F1" s="44" t="str">
        <f>TEXT(DATEVALUE(RIGHT(E1,8))+1,"dd/mm/yy")&amp; " - "&amp; TEXT(DATEVALUE(RIGHT(E1,8))+7,"dd/mm/yy")</f>
        <v>07/12/18 - 13/12/18</v>
      </c>
      <c r="G1" s="12" t="s">
        <v>10</v>
      </c>
      <c r="H1" s="9"/>
    </row>
    <row r="2" spans="1:14" ht="18">
      <c r="A2" s="13" t="s">
        <v>165</v>
      </c>
      <c r="B2" s="10">
        <f>SUM(B4,B13,B35)</f>
        <v>2593.9100000000003</v>
      </c>
      <c r="C2" s="296">
        <f>SUM(C5:C24)</f>
        <v>1648.21</v>
      </c>
      <c r="D2" s="296">
        <f>SUM(D5:D24)</f>
        <v>674.55000000000007</v>
      </c>
      <c r="E2" s="296">
        <f>SUM(E5:E24)</f>
        <v>292.8</v>
      </c>
      <c r="F2" s="296">
        <f>SUM(F5:F24)</f>
        <v>579.07000000000005</v>
      </c>
      <c r="G2" s="10"/>
      <c r="H2" s="9"/>
    </row>
    <row r="3" spans="1:14" ht="18">
      <c r="A3" s="250"/>
      <c r="B3" s="10"/>
      <c r="C3" s="296"/>
      <c r="D3" s="296"/>
      <c r="E3" s="296"/>
      <c r="F3" s="296"/>
      <c r="G3" s="10"/>
      <c r="H3" s="9"/>
    </row>
    <row r="4" spans="1:14" ht="18">
      <c r="A4" s="178" t="s">
        <v>166</v>
      </c>
      <c r="B4" s="183">
        <f>SUM(B5:B9)</f>
        <v>1555.15</v>
      </c>
      <c r="C4" s="296"/>
      <c r="D4" s="296"/>
      <c r="E4" s="296"/>
      <c r="F4" s="296"/>
      <c r="G4" s="184">
        <f>ROUND(SUM(G5:G9),2)</f>
        <v>-572</v>
      </c>
      <c r="H4" s="9" t="s">
        <v>10</v>
      </c>
      <c r="I4">
        <f>SUM(I5:I9)+SUM(I15:I18)+SUM(I22:I26)+SUM(I30:I31)+SUM(I36:I37)</f>
        <v>572</v>
      </c>
    </row>
    <row r="5" spans="1:14" ht="18" outlineLevel="1">
      <c r="A5" s="105" t="s">
        <v>167</v>
      </c>
      <c r="B5" s="17">
        <v>196.52</v>
      </c>
      <c r="C5" s="10">
        <f>47.02+44</f>
        <v>91.02000000000001</v>
      </c>
      <c r="D5" s="10">
        <v>10</v>
      </c>
      <c r="E5" s="10">
        <v>43</v>
      </c>
      <c r="F5" s="10">
        <v>52.5</v>
      </c>
      <c r="G5" s="10">
        <f t="shared" ref="G5:G9" si="0">IF(B5&lt;&gt;"",B5-C5-D5-E5-F5,"")</f>
        <v>0</v>
      </c>
      <c r="H5" s="12" t="str">
        <f>A5</f>
        <v xml:space="preserve">Car Petrol </v>
      </c>
      <c r="I5">
        <f>IF(G5&lt;0,G5*-1,0)</f>
        <v>0</v>
      </c>
      <c r="L5">
        <f>563.36-75</f>
        <v>488.36</v>
      </c>
    </row>
    <row r="6" spans="1:14" ht="18" outlineLevel="1">
      <c r="A6" s="105" t="s">
        <v>577</v>
      </c>
      <c r="B6" s="10">
        <v>60</v>
      </c>
      <c r="C6" s="10">
        <f>60+48.03+12</f>
        <v>120.03</v>
      </c>
      <c r="D6" s="10"/>
      <c r="E6" s="10">
        <f>12.47+55+4.69</f>
        <v>72.16</v>
      </c>
      <c r="F6" s="10">
        <v>5</v>
      </c>
      <c r="G6" s="10">
        <f t="shared" si="0"/>
        <v>-137.19</v>
      </c>
      <c r="H6" s="12" t="str">
        <f>A6</f>
        <v>Food/Bunnies/Toiletries</v>
      </c>
      <c r="I6">
        <f>IF(G6&lt;0,G6*-1,0)</f>
        <v>137.19</v>
      </c>
      <c r="L6">
        <f>L5-150</f>
        <v>338.36</v>
      </c>
      <c r="M6">
        <v>150</v>
      </c>
      <c r="N6" t="s">
        <v>383</v>
      </c>
    </row>
    <row r="7" spans="1:14" ht="18" outlineLevel="1">
      <c r="A7" s="105" t="s">
        <v>170</v>
      </c>
      <c r="B7" s="10">
        <f>250+408.65+309.98</f>
        <v>968.63</v>
      </c>
      <c r="C7" s="10">
        <v>250</v>
      </c>
      <c r="D7" s="10">
        <f>20.95+10.99+29.95+1.88+82+103.88+67.5</f>
        <v>317.14999999999998</v>
      </c>
      <c r="E7" s="10">
        <f>75+16.5</f>
        <v>91.5</v>
      </c>
      <c r="F7" s="10">
        <f>47+16.18+53+28+2+30+50+90+128.76</f>
        <v>444.94</v>
      </c>
      <c r="G7" s="10">
        <f t="shared" si="0"/>
        <v>-134.95999999999998</v>
      </c>
      <c r="H7" s="12" t="str">
        <f>A7</f>
        <v>Gift Fund</v>
      </c>
      <c r="I7">
        <f>IF(G7&lt;0,G7*-1,0)</f>
        <v>134.95999999999998</v>
      </c>
      <c r="L7">
        <f>L6-M7</f>
        <v>210.36</v>
      </c>
      <c r="M7">
        <f>20+(150-42)</f>
        <v>128</v>
      </c>
      <c r="N7" t="s">
        <v>152</v>
      </c>
    </row>
    <row r="8" spans="1:14" ht="18" outlineLevel="1">
      <c r="A8" s="105" t="s">
        <v>171</v>
      </c>
      <c r="B8" s="10">
        <v>250</v>
      </c>
      <c r="C8" s="10">
        <v>250</v>
      </c>
      <c r="D8" s="10"/>
      <c r="E8" s="10"/>
      <c r="F8" s="10"/>
      <c r="G8" s="10">
        <f t="shared" si="0"/>
        <v>0</v>
      </c>
      <c r="H8" s="12" t="str">
        <f>A8</f>
        <v>Holiday Fund</v>
      </c>
      <c r="I8">
        <f>IF(G8&lt;0,G8*-1,0)</f>
        <v>0</v>
      </c>
    </row>
    <row r="9" spans="1:14" ht="18" outlineLevel="1">
      <c r="A9" s="105" t="s">
        <v>632</v>
      </c>
      <c r="B9" s="10">
        <v>80</v>
      </c>
      <c r="C9" s="10">
        <f>4.99+11.18+2.29+24.2+8.97</f>
        <v>51.629999999999995</v>
      </c>
      <c r="D9" s="10">
        <f>16.57+19.5+37.89+32.5+7.99+9.14+4+5.52+3.72+20.15+8.3+48.15+17.5</f>
        <v>230.93000000000004</v>
      </c>
      <c r="E9" s="10">
        <f>11.96+7.5+1.2+2.5</f>
        <v>23.16</v>
      </c>
      <c r="F9" s="10">
        <f>31.95+1.5+1.18+33.08+3.05+3.37</f>
        <v>74.13000000000001</v>
      </c>
      <c r="G9" s="10">
        <f t="shared" si="0"/>
        <v>-299.85000000000002</v>
      </c>
      <c r="H9" s="12" t="str">
        <f>A9</f>
        <v>Shared</v>
      </c>
      <c r="I9">
        <f>IF(G9&lt;0,G9*-1,0)</f>
        <v>299.85000000000002</v>
      </c>
    </row>
    <row r="10" spans="1:14" ht="18" outlineLevel="1">
      <c r="A10" s="105" t="s">
        <v>633</v>
      </c>
      <c r="B10" s="10">
        <f>IF(B40 &lt;&gt; 0,B40-B4-B13-B35,0)</f>
        <v>889.18000000000006</v>
      </c>
      <c r="C10" s="10">
        <f>3.06+3.59+2.75+10+4.79+20+9.95+100+1+11.6</f>
        <v>166.73999999999998</v>
      </c>
      <c r="D10" s="10">
        <v>20</v>
      </c>
      <c r="E10" s="10">
        <f>50+7.99+3.5+1.49</f>
        <v>62.980000000000004</v>
      </c>
      <c r="F10" s="10">
        <f>2.5</f>
        <v>2.5</v>
      </c>
      <c r="G10" s="10">
        <f>IF(B10&lt;&gt;"",B10-C10-D10-E10-F10-I4,"")</f>
        <v>64.960000000000036</v>
      </c>
      <c r="H10" s="12" t="s">
        <v>172</v>
      </c>
      <c r="I10" s="11"/>
      <c r="J10" s="11"/>
    </row>
    <row r="11" spans="1:14" ht="18" outlineLevel="1">
      <c r="A11" s="185"/>
      <c r="B11" s="10"/>
      <c r="C11" s="10"/>
      <c r="D11" s="10"/>
      <c r="E11" s="10"/>
      <c r="F11" s="10"/>
      <c r="G11" s="10"/>
      <c r="H11" s="9"/>
      <c r="J11" s="11"/>
    </row>
    <row r="12" spans="1:14" ht="18">
      <c r="A12" s="185"/>
      <c r="B12" s="10"/>
      <c r="C12" s="10"/>
      <c r="D12" s="10"/>
      <c r="E12" s="10"/>
      <c r="F12" s="10"/>
      <c r="G12" s="10"/>
      <c r="H12" s="9"/>
      <c r="J12" s="11"/>
    </row>
    <row r="13" spans="1:14" ht="18">
      <c r="A13" s="177" t="s">
        <v>422</v>
      </c>
      <c r="B13" s="183">
        <f>B14+B21+B29</f>
        <v>883.24</v>
      </c>
      <c r="C13" s="10"/>
      <c r="D13" s="10"/>
      <c r="E13" s="10"/>
      <c r="F13" s="10"/>
      <c r="G13" s="234">
        <f>ROUND(SUM(G14,G21,G29),2)</f>
        <v>3.99</v>
      </c>
      <c r="H13" s="237" t="s">
        <v>10</v>
      </c>
      <c r="I13" s="11"/>
    </row>
    <row r="14" spans="1:14" ht="18">
      <c r="A14" s="105" t="s">
        <v>594</v>
      </c>
      <c r="B14" s="183">
        <f>SUM(B15:B19)</f>
        <v>758.79</v>
      </c>
      <c r="C14" s="10"/>
      <c r="D14" s="10"/>
      <c r="E14" s="10"/>
      <c r="F14" s="10"/>
      <c r="G14" s="235">
        <f>IF(B14&lt;&gt;"",SUM(G15:G19),0)</f>
        <v>7.1054273576010019E-15</v>
      </c>
      <c r="H14" s="236" t="str">
        <f t="shared" ref="H14:H29" si="1">A14</f>
        <v>House Outgoings</v>
      </c>
    </row>
    <row r="15" spans="1:14" ht="18" outlineLevel="2">
      <c r="A15" s="13" t="s">
        <v>595</v>
      </c>
      <c r="B15" s="184">
        <v>452.64</v>
      </c>
      <c r="C15" s="10">
        <v>452.64</v>
      </c>
      <c r="D15" s="10"/>
      <c r="E15" s="10"/>
      <c r="F15" s="10"/>
      <c r="G15" s="10">
        <f t="shared" ref="G15:G31" si="2">IF(B15&lt;&gt;"",B15-C15-D15-E15-F15,"")</f>
        <v>0</v>
      </c>
      <c r="H15" s="12" t="str">
        <f t="shared" si="1"/>
        <v>Mortgage</v>
      </c>
      <c r="I15">
        <f t="shared" ref="I15:I18" si="3">IF(G15&lt;0,G15*-1,0)</f>
        <v>0</v>
      </c>
    </row>
    <row r="16" spans="1:14" ht="18" outlineLevel="2">
      <c r="A16" s="13" t="s">
        <v>596</v>
      </c>
      <c r="B16" s="184">
        <v>187</v>
      </c>
      <c r="C16" s="10">
        <v>187</v>
      </c>
      <c r="D16" s="10"/>
      <c r="E16" s="10"/>
      <c r="F16" s="10"/>
      <c r="G16" s="10">
        <f t="shared" si="2"/>
        <v>0</v>
      </c>
      <c r="H16" s="12" t="str">
        <f t="shared" si="1"/>
        <v>Council tax</v>
      </c>
      <c r="I16">
        <f t="shared" si="3"/>
        <v>0</v>
      </c>
      <c r="J16" s="11"/>
      <c r="K16" s="238"/>
    </row>
    <row r="17" spans="1:9" ht="18" outlineLevel="2">
      <c r="A17" s="13" t="s">
        <v>634</v>
      </c>
      <c r="B17" s="184">
        <v>34</v>
      </c>
      <c r="C17" s="10">
        <f>34</f>
        <v>34</v>
      </c>
      <c r="D17" s="10"/>
      <c r="E17" s="10"/>
      <c r="F17" s="10"/>
      <c r="G17" s="10">
        <f t="shared" si="2"/>
        <v>0</v>
      </c>
      <c r="H17" s="12" t="str">
        <f t="shared" si="1"/>
        <v>Utilities</v>
      </c>
      <c r="I17">
        <f t="shared" si="3"/>
        <v>0</v>
      </c>
    </row>
    <row r="18" spans="1:9" ht="18" outlineLevel="2">
      <c r="A18" s="13" t="s">
        <v>600</v>
      </c>
      <c r="B18" s="184">
        <f>4.52+15.97+8.56+16.1</f>
        <v>45.150000000000006</v>
      </c>
      <c r="C18" s="10">
        <v>45.15</v>
      </c>
      <c r="D18" s="10"/>
      <c r="E18" s="10"/>
      <c r="F18" s="10"/>
      <c r="G18" s="10">
        <f t="shared" si="2"/>
        <v>7.1054273576010019E-15</v>
      </c>
      <c r="H18" s="12" t="str">
        <f t="shared" si="1"/>
        <v>Insurance</v>
      </c>
      <c r="I18">
        <f t="shared" si="3"/>
        <v>0</v>
      </c>
    </row>
    <row r="19" spans="1:9" ht="18" outlineLevel="2">
      <c r="A19" s="13" t="s">
        <v>611</v>
      </c>
      <c r="B19" s="184">
        <v>40</v>
      </c>
      <c r="C19" s="10"/>
      <c r="D19" s="10">
        <v>40</v>
      </c>
      <c r="E19" s="10"/>
      <c r="F19" s="10"/>
      <c r="G19" s="10">
        <f t="shared" si="2"/>
        <v>0</v>
      </c>
      <c r="H19" s="12" t="str">
        <f t="shared" si="1"/>
        <v>The Range</v>
      </c>
    </row>
    <row r="20" spans="1:9" s="747" customFormat="1" ht="18" outlineLevel="2">
      <c r="A20" s="747" t="str">
        <f>IF(B20&lt;&gt;"",B20-C20-D20-E20-F20,"")</f>
        <v/>
      </c>
    </row>
    <row r="21" spans="1:9" ht="18" outlineLevel="1">
      <c r="A21" s="105" t="s">
        <v>601</v>
      </c>
      <c r="B21" s="296">
        <f>SUM(B22:B27)</f>
        <v>99.449999999999989</v>
      </c>
      <c r="C21" s="10"/>
      <c r="D21" s="10"/>
      <c r="E21" s="10"/>
      <c r="F21" s="10"/>
      <c r="G21" s="235">
        <f>IF(B21&lt;&gt;"",SUM(G22:G27),0)</f>
        <v>3.99</v>
      </c>
      <c r="H21" s="236" t="str">
        <f t="shared" si="1"/>
        <v>Tech</v>
      </c>
      <c r="I21" s="11"/>
    </row>
    <row r="22" spans="1:9" ht="18" outlineLevel="2">
      <c r="A22" s="13" t="s">
        <v>602</v>
      </c>
      <c r="B22" s="33">
        <v>38.49</v>
      </c>
      <c r="C22" s="10"/>
      <c r="D22" s="10">
        <v>38.49</v>
      </c>
      <c r="E22" s="10"/>
      <c r="F22" s="10"/>
      <c r="G22" s="10">
        <f t="shared" si="2"/>
        <v>0</v>
      </c>
      <c r="H22" s="12" t="str">
        <f t="shared" si="1"/>
        <v>Broadband / TV</v>
      </c>
      <c r="I22">
        <f t="shared" ref="I22:I27" si="4">IF(G22&lt;0,G22*-1,0)</f>
        <v>0</v>
      </c>
    </row>
    <row r="23" spans="1:9" ht="18" outlineLevel="2">
      <c r="A23" s="13" t="s">
        <v>587</v>
      </c>
      <c r="B23" s="33">
        <f>7.99+9.99</f>
        <v>17.98</v>
      </c>
      <c r="C23" s="10"/>
      <c r="D23" s="10">
        <f>9.99+7.99</f>
        <v>17.98</v>
      </c>
      <c r="E23" s="10"/>
      <c r="F23" s="10"/>
      <c r="G23" s="10">
        <f t="shared" si="2"/>
        <v>0</v>
      </c>
      <c r="H23" s="12" t="str">
        <f t="shared" si="1"/>
        <v>Sky Movies (14th)</v>
      </c>
      <c r="I23">
        <f t="shared" si="4"/>
        <v>0</v>
      </c>
    </row>
    <row r="24" spans="1:9" ht="18" outlineLevel="2">
      <c r="A24" s="13" t="s">
        <v>582</v>
      </c>
      <c r="B24" s="33">
        <v>7.99</v>
      </c>
      <c r="C24" s="10"/>
      <c r="D24" s="10"/>
      <c r="E24" s="10"/>
      <c r="F24" s="10"/>
      <c r="G24" s="10">
        <f t="shared" si="2"/>
        <v>7.99</v>
      </c>
      <c r="H24" s="12" t="str">
        <f t="shared" si="1"/>
        <v>Onedrive (6th)</v>
      </c>
      <c r="I24">
        <f t="shared" si="4"/>
        <v>0</v>
      </c>
    </row>
    <row r="25" spans="1:9" ht="18" outlineLevel="2">
      <c r="A25" s="13" t="s">
        <v>589</v>
      </c>
      <c r="B25" s="33">
        <v>14.99</v>
      </c>
      <c r="C25" s="10">
        <v>14.99</v>
      </c>
      <c r="D25" s="10"/>
      <c r="E25" s="10"/>
      <c r="F25" s="10"/>
      <c r="G25" s="10">
        <f>IF(B25&lt;&gt;"",B25-C25-D25-E25-F25,"")</f>
        <v>0</v>
      </c>
      <c r="H25" s="12" t="str">
        <f>A25</f>
        <v>Music</v>
      </c>
      <c r="I25">
        <f t="shared" si="4"/>
        <v>0</v>
      </c>
    </row>
    <row r="26" spans="1:9" ht="18" outlineLevel="2" collapsed="1">
      <c r="A26" s="13" t="s">
        <v>603</v>
      </c>
      <c r="B26" s="33">
        <v>16.010000000000002</v>
      </c>
      <c r="C26" s="10">
        <v>16.010000000000002</v>
      </c>
      <c r="D26" s="10"/>
      <c r="E26" s="10"/>
      <c r="F26" s="10"/>
      <c r="G26" s="10">
        <f>IF(B26&lt;&gt;"",B26-C26-D26-E26-F26,"")</f>
        <v>0</v>
      </c>
      <c r="H26" s="12" t="str">
        <f>A26</f>
        <v>Matt Phone  (21st)</v>
      </c>
      <c r="I26">
        <f t="shared" si="4"/>
        <v>0</v>
      </c>
    </row>
    <row r="27" spans="1:9" ht="18" outlineLevel="2">
      <c r="A27" s="13" t="s">
        <v>654</v>
      </c>
      <c r="B27" s="33">
        <v>3.99</v>
      </c>
      <c r="C27" s="10"/>
      <c r="D27" s="10"/>
      <c r="E27" s="10">
        <v>7.99</v>
      </c>
      <c r="F27" s="10"/>
      <c r="G27" s="10">
        <f>IF(B27&lt;&gt;"",B27-C27-D27-E27-F27,"")</f>
        <v>-4</v>
      </c>
      <c r="H27" s="12" t="str">
        <f>A27</f>
        <v>Audible</v>
      </c>
      <c r="I27">
        <f t="shared" si="4"/>
        <v>4</v>
      </c>
    </row>
    <row r="28" spans="1:9" s="747" customFormat="1" ht="18" outlineLevel="2">
      <c r="A28" s="747" t="str">
        <f>IF(B28&lt;&gt;"",B28-C28-D28-E28-F28,"")</f>
        <v/>
      </c>
    </row>
    <row r="29" spans="1:9" ht="18" outlineLevel="1">
      <c r="A29" s="105" t="s">
        <v>183</v>
      </c>
      <c r="B29" s="296">
        <f>SUM(B30:B31)</f>
        <v>25</v>
      </c>
      <c r="C29" s="10"/>
      <c r="D29" s="10"/>
      <c r="E29" s="10"/>
      <c r="F29" s="10"/>
      <c r="G29" s="235">
        <f>IF(B29&lt;&gt;"",SUM(G30:G31),0)</f>
        <v>0</v>
      </c>
      <c r="H29" s="236" t="str">
        <f t="shared" si="1"/>
        <v>Savings</v>
      </c>
    </row>
    <row r="30" spans="1:9" ht="18" outlineLevel="2">
      <c r="A30" s="13" t="s">
        <v>590</v>
      </c>
      <c r="B30" s="33">
        <v>0</v>
      </c>
      <c r="C30" s="10"/>
      <c r="D30" s="10"/>
      <c r="E30" s="10"/>
      <c r="F30" s="10"/>
      <c r="G30" s="10">
        <f t="shared" si="2"/>
        <v>0</v>
      </c>
      <c r="H30" s="12" t="str">
        <f>A30</f>
        <v>Contingency</v>
      </c>
      <c r="I30">
        <f>IF(G30&lt;0,G30*-1,0)</f>
        <v>0</v>
      </c>
    </row>
    <row r="31" spans="1:9" ht="18" outlineLevel="2">
      <c r="A31" s="13" t="s">
        <v>591</v>
      </c>
      <c r="B31" s="33">
        <v>25</v>
      </c>
      <c r="C31" s="10"/>
      <c r="D31" s="10"/>
      <c r="E31" s="10"/>
      <c r="F31" s="10">
        <v>25</v>
      </c>
      <c r="G31" s="10">
        <f t="shared" si="2"/>
        <v>0</v>
      </c>
      <c r="H31" s="12" t="str">
        <f>A31</f>
        <v>HTB</v>
      </c>
      <c r="I31">
        <f>IF(G31&lt;0,G31*-1,0)</f>
        <v>0</v>
      </c>
    </row>
    <row r="32" spans="1:9" s="748" customFormat="1" ht="18" outlineLevel="2"/>
    <row r="33" spans="1:11" ht="18" outlineLevel="1">
      <c r="A33" s="185"/>
      <c r="B33" s="10"/>
      <c r="C33" s="10"/>
      <c r="D33" s="10"/>
      <c r="E33" s="10"/>
      <c r="F33" s="10"/>
      <c r="G33" s="10"/>
      <c r="H33" s="9"/>
    </row>
    <row r="34" spans="1:11" ht="18" outlineLevel="1">
      <c r="A34" s="185"/>
      <c r="B34" s="10"/>
      <c r="C34" s="10"/>
      <c r="D34" s="10"/>
      <c r="E34" s="10"/>
      <c r="F34" s="10"/>
      <c r="G34" s="10"/>
      <c r="H34" s="9"/>
    </row>
    <row r="35" spans="1:11" ht="18">
      <c r="A35" s="177" t="s">
        <v>424</v>
      </c>
      <c r="B35" s="183">
        <f>SUM(B36,B37)</f>
        <v>155.52000000000001</v>
      </c>
      <c r="C35" s="10"/>
      <c r="D35" s="10"/>
      <c r="E35" s="10"/>
      <c r="F35" s="10"/>
      <c r="G35" s="183">
        <f>SUM(G36,G37)</f>
        <v>3.5527136788005009E-15</v>
      </c>
      <c r="H35" s="9" t="s">
        <v>10</v>
      </c>
      <c r="K35" s="11"/>
    </row>
    <row r="36" spans="1:11" ht="18" outlineLevel="1">
      <c r="A36" s="105" t="s">
        <v>359</v>
      </c>
      <c r="B36" s="184">
        <v>38.869999999999997</v>
      </c>
      <c r="C36" s="10">
        <v>38.869999999999997</v>
      </c>
      <c r="D36" s="10"/>
      <c r="E36" s="10"/>
      <c r="F36" s="10"/>
      <c r="G36" s="10">
        <f>IF(B36&lt;&gt;"",B36-C36-D36-E36-F36,"")</f>
        <v>0</v>
      </c>
      <c r="H36" s="12" t="str">
        <f>A36</f>
        <v>TV License</v>
      </c>
      <c r="I36">
        <f>IF(G36&lt;0,G36*-1,0)</f>
        <v>0</v>
      </c>
      <c r="K36" s="11"/>
    </row>
    <row r="37" spans="1:11" ht="18" outlineLevel="1">
      <c r="A37" s="105" t="s">
        <v>606</v>
      </c>
      <c r="B37" s="239">
        <f>89.09+27.56</f>
        <v>116.65</v>
      </c>
      <c r="C37" s="10">
        <v>89.09</v>
      </c>
      <c r="D37" s="10"/>
      <c r="E37" s="10">
        <v>27.56</v>
      </c>
      <c r="F37" s="10"/>
      <c r="G37" s="10">
        <f t="shared" ref="G37" si="5">IF(B37&lt;&gt;"",B37-C37-D37-E37-F37,"")</f>
        <v>3.5527136788005009E-15</v>
      </c>
      <c r="H37" s="12" t="str">
        <f t="shared" ref="H37" si="6">A37</f>
        <v>Car</v>
      </c>
      <c r="I37">
        <f>IF(G37&lt;0,G37*-1,0)</f>
        <v>0</v>
      </c>
    </row>
    <row r="38" spans="1:11" ht="18" outlineLevel="1">
      <c r="A38" s="208"/>
      <c r="B38" s="10"/>
      <c r="C38" s="10"/>
      <c r="D38" s="10"/>
      <c r="E38" s="10"/>
      <c r="F38" s="10"/>
      <c r="G38" s="10"/>
      <c r="H38" s="48"/>
    </row>
    <row r="39" spans="1:11" ht="18">
      <c r="A39" s="208"/>
      <c r="B39" s="10"/>
      <c r="C39" s="10"/>
      <c r="D39" s="10"/>
      <c r="E39" s="10"/>
      <c r="F39" s="10"/>
      <c r="G39" s="10"/>
      <c r="H39" s="48"/>
    </row>
    <row r="40" spans="1:11" ht="18">
      <c r="A40" s="179" t="s">
        <v>186</v>
      </c>
      <c r="B40" s="296">
        <f>SUM(C40:F40)</f>
        <v>3483.09</v>
      </c>
      <c r="C40" s="26">
        <f>57.73+1335.66+0.53+868+33.15</f>
        <v>2295.0700000000002</v>
      </c>
      <c r="D40" s="26">
        <f>15+5+167.65+82+67.5+20.52</f>
        <v>357.66999999999996</v>
      </c>
      <c r="E40" s="27">
        <f>139+75+28.38+7.99+20</f>
        <v>270.37</v>
      </c>
      <c r="F40" s="36">
        <f>309.98+128.76+50+50+21.24</f>
        <v>559.98</v>
      </c>
      <c r="G40" s="46" t="str">
        <f>ROUND(SUM(G4,G10,G13,G35),2) +I4 &amp; " / " &amp; B40</f>
        <v>68.95 / 3483.09</v>
      </c>
      <c r="H40" s="10"/>
      <c r="I40" s="11"/>
    </row>
    <row r="41" spans="1:11" ht="18">
      <c r="A41" s="24"/>
      <c r="B41" s="10"/>
      <c r="C41" s="49"/>
      <c r="D41" s="26"/>
      <c r="E41" s="23"/>
      <c r="F41" s="25"/>
      <c r="G41" s="79"/>
      <c r="H41" s="11"/>
    </row>
    <row r="42" spans="1:11" ht="18">
      <c r="A42" s="17" t="s">
        <v>655</v>
      </c>
      <c r="B42" s="17">
        <v>888.03</v>
      </c>
      <c r="C42" s="59"/>
      <c r="D42" s="16"/>
      <c r="E42" s="16"/>
    </row>
    <row r="43" spans="1:11" ht="18">
      <c r="A43" s="17"/>
      <c r="B43" s="17"/>
      <c r="C43" s="39"/>
      <c r="D43" s="16"/>
      <c r="E43" s="16"/>
      <c r="F43" s="16"/>
    </row>
    <row r="44" spans="1:11" ht="18">
      <c r="A44" s="17" t="s">
        <v>656</v>
      </c>
      <c r="B44" s="16">
        <v>0</v>
      </c>
      <c r="C44" s="16"/>
      <c r="E44" s="43"/>
      <c r="F44" s="43">
        <v>914.98</v>
      </c>
      <c r="G44" s="11"/>
      <c r="H44" s="11"/>
    </row>
    <row r="45" spans="1:11" ht="18">
      <c r="A45" s="20"/>
      <c r="B45" s="16"/>
      <c r="C45" s="16"/>
      <c r="D45" s="16"/>
      <c r="E45" s="11"/>
      <c r="F45" s="11">
        <f>F44/4</f>
        <v>228.745</v>
      </c>
      <c r="G45" s="11"/>
    </row>
    <row r="46" spans="1:11" ht="18">
      <c r="B46" s="16"/>
      <c r="C46" s="43"/>
      <c r="D46" s="43"/>
      <c r="E46" s="11"/>
      <c r="F46" s="11"/>
      <c r="G46" s="11">
        <f>47.71-22.73</f>
        <v>24.98</v>
      </c>
    </row>
    <row r="47" spans="1:11" ht="18">
      <c r="B47" s="10"/>
      <c r="C47" s="184"/>
      <c r="D47" s="11"/>
      <c r="E47" s="11"/>
      <c r="F47" s="11"/>
      <c r="G47" s="11"/>
    </row>
    <row r="48" spans="1:11" ht="18">
      <c r="B48" s="10"/>
      <c r="C48" s="184"/>
      <c r="E48" s="11"/>
      <c r="F48" s="11"/>
      <c r="G48" s="11"/>
    </row>
    <row r="49" spans="1:8" ht="18">
      <c r="B49" s="10"/>
      <c r="C49" s="184"/>
      <c r="E49" s="11"/>
      <c r="F49" s="11"/>
      <c r="G49" s="11"/>
    </row>
    <row r="50" spans="1:8" ht="18">
      <c r="B50" s="10"/>
      <c r="C50" s="11"/>
      <c r="E50" s="11"/>
      <c r="F50" s="11"/>
      <c r="G50" s="11"/>
    </row>
    <row r="51" spans="1:8" ht="18">
      <c r="B51" s="10"/>
      <c r="C51" s="11"/>
      <c r="E51" s="11"/>
      <c r="F51" s="11"/>
      <c r="G51" s="11"/>
    </row>
    <row r="52" spans="1:8" ht="18">
      <c r="A52" t="s">
        <v>657</v>
      </c>
      <c r="B52" s="10" t="s">
        <v>658</v>
      </c>
      <c r="E52" s="11"/>
      <c r="F52" s="11"/>
      <c r="G52" s="11"/>
    </row>
    <row r="53" spans="1:8" ht="18">
      <c r="B53" s="10" t="s">
        <v>659</v>
      </c>
      <c r="G53" s="11"/>
    </row>
    <row r="54" spans="1:8" ht="18">
      <c r="B54" s="10" t="str">
        <f>63.28+75 &amp;" extra spent on christmas"</f>
        <v>138.28 extra spent on christmas</v>
      </c>
      <c r="G54" s="11"/>
    </row>
    <row r="56" spans="1:8">
      <c r="H56" s="11"/>
    </row>
  </sheetData>
  <mergeCells count="3">
    <mergeCell ref="A20:XFD20"/>
    <mergeCell ref="A28:XFD28"/>
    <mergeCell ref="A32:XFD32"/>
  </mergeCells>
  <conditionalFormatting sqref="G5:G10">
    <cfRule type="cellIs" dxfId="147" priority="8" operator="lessThan">
      <formula>0</formula>
    </cfRule>
    <cfRule type="cellIs" dxfId="146" priority="9" operator="equal">
      <formula>0</formula>
    </cfRule>
    <cfRule type="cellIs" dxfId="145" priority="10" operator="greaterThan">
      <formula>0</formula>
    </cfRule>
  </conditionalFormatting>
  <conditionalFormatting sqref="G14:G19 G21:G27 G29:G31">
    <cfRule type="cellIs" dxfId="144" priority="11" operator="equal">
      <formula>0</formula>
    </cfRule>
    <cfRule type="cellIs" dxfId="143" priority="12" operator="lessThan">
      <formula>0</formula>
    </cfRule>
    <cfRule type="cellIs" dxfId="142" priority="13" operator="greaterThan">
      <formula>0</formula>
    </cfRule>
  </conditionalFormatting>
  <conditionalFormatting sqref="G36:G37">
    <cfRule type="cellIs" dxfId="141" priority="1" operator="equal">
      <formula>0</formula>
    </cfRule>
    <cfRule type="cellIs" dxfId="140" priority="2" operator="lessThan">
      <formula>0</formula>
    </cfRule>
    <cfRule type="cellIs" dxfId="139" priority="3"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7" operator="containsText" id="{9BB45479-6E59-0C48-9C0C-9BEE1960B961}">
            <xm:f>NOT(ISERROR(SEARCH("-",G40)))</xm:f>
            <xm:f>"-"</xm:f>
            <x14:dxf>
              <font>
                <color rgb="FF9C0006"/>
              </font>
              <fill>
                <patternFill>
                  <bgColor rgb="FFFFC7CE"/>
                </patternFill>
              </fill>
            </x14:dxf>
          </x14:cfRule>
          <xm:sqref>G40</xm:sqref>
        </x14:conditionalFormatting>
      </x14:conditionalFormatting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8679-A5B8-A946-9361-64815AA8F4CD}">
  <sheetPr codeName="Sheet51"/>
  <dimension ref="A1:K55"/>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8.33203125" customWidth="1"/>
  </cols>
  <sheetData>
    <row r="1" spans="1:11" ht="18">
      <c r="A1" s="180" t="s">
        <v>576</v>
      </c>
      <c r="B1" s="13" t="s">
        <v>164</v>
      </c>
      <c r="C1" s="44" t="str">
        <f>"15/11/18" &amp; " - " &amp; "22/11/18"</f>
        <v>15/11/18 - 22/11/18</v>
      </c>
      <c r="D1" s="44" t="str">
        <f>TEXT(DATEVALUE(RIGHT(C1,8))+1,"dd/mm/yy")&amp; " - "&amp; TEXT(DATEVALUE(RIGHT(C1,8))+7,"dd/mm/yy")</f>
        <v>23/11/18 - 29/11/18</v>
      </c>
      <c r="E1" s="44" t="str">
        <f>TEXT(DATEVALUE(RIGHT(D1,8))+1,"dd/mm/yy")&amp; " - "&amp; TEXT(DATEVALUE(RIGHT(D1,8))+7,"dd/mm/yy")</f>
        <v>30/11/18 - 06/12/18</v>
      </c>
      <c r="F1" s="44" t="str">
        <f>TEXT(DATEVALUE(RIGHT(E1,8))+1,"dd/mm/yy")&amp; " - "&amp; TEXT(DATEVALUE(RIGHT(E1,8))+7,"dd/mm/yy")</f>
        <v>07/12/18 - 13/12/18</v>
      </c>
      <c r="G1" s="12" t="s">
        <v>10</v>
      </c>
      <c r="H1" s="9"/>
    </row>
    <row r="2" spans="1:11" ht="18">
      <c r="A2" s="13" t="s">
        <v>165</v>
      </c>
      <c r="B2" s="10">
        <f>SUM(B4,B13)</f>
        <v>1394.88</v>
      </c>
      <c r="C2" s="296">
        <f>SUM(C5:C24)</f>
        <v>1456.2500000000002</v>
      </c>
      <c r="D2" s="296">
        <f>SUM(D5:D24)</f>
        <v>513.82999999999993</v>
      </c>
      <c r="E2" s="296">
        <f>SUM(E5:E24)</f>
        <v>120.95000000000002</v>
      </c>
      <c r="F2" s="296">
        <f>SUM(F5:F24)</f>
        <v>7.99</v>
      </c>
      <c r="G2" s="10"/>
      <c r="H2" s="9"/>
    </row>
    <row r="3" spans="1:11" ht="18">
      <c r="A3" s="250"/>
      <c r="B3" s="10"/>
      <c r="C3" s="296"/>
      <c r="D3" s="296"/>
      <c r="E3" s="296"/>
      <c r="F3" s="296"/>
      <c r="G3" s="10"/>
      <c r="H3" s="9"/>
    </row>
    <row r="4" spans="1:11" ht="18">
      <c r="A4" s="178" t="s">
        <v>166</v>
      </c>
      <c r="B4" s="183">
        <f>SUM(B5:B9)</f>
        <v>323</v>
      </c>
      <c r="C4" s="296"/>
      <c r="D4" s="296"/>
      <c r="E4" s="296"/>
      <c r="F4" s="296"/>
      <c r="G4" s="184">
        <f>ROUND(SUM(G5:G9),2)</f>
        <v>-596.61</v>
      </c>
      <c r="H4" s="9" t="s">
        <v>10</v>
      </c>
      <c r="I4">
        <f>SUM(I5:I9)+SUM(I15:I18)+SUM(I22:I26)+SUM(I33:I34)</f>
        <v>600.61000000000013</v>
      </c>
    </row>
    <row r="5" spans="1:11" ht="18" outlineLevel="1">
      <c r="A5" s="105" t="s">
        <v>167</v>
      </c>
      <c r="B5" s="17">
        <v>183</v>
      </c>
      <c r="C5" s="10">
        <f>55+35</f>
        <v>90</v>
      </c>
      <c r="D5" s="10">
        <v>40</v>
      </c>
      <c r="E5" s="10">
        <v>49</v>
      </c>
      <c r="F5" s="10"/>
      <c r="G5" s="10">
        <f t="shared" ref="G5:G9" si="0">IF(B5&lt;&gt;"",B5-C5-D5-E5-F5,"")</f>
        <v>4</v>
      </c>
      <c r="H5" s="12" t="str">
        <f>A5</f>
        <v xml:space="preserve">Car Petrol </v>
      </c>
      <c r="I5">
        <f>IF(G5&lt;0,G5*-1,0)</f>
        <v>0</v>
      </c>
    </row>
    <row r="6" spans="1:11" ht="18" outlineLevel="1">
      <c r="A6" s="105" t="s">
        <v>577</v>
      </c>
      <c r="B6" s="10">
        <v>60</v>
      </c>
      <c r="C6" s="10">
        <f>3.4+30.5+35.17+39.2+2.2+1.2+5.28+8.95</f>
        <v>125.9</v>
      </c>
      <c r="D6" s="10">
        <f>25.7+6.48</f>
        <v>32.18</v>
      </c>
      <c r="E6" s="10"/>
      <c r="F6" s="10"/>
      <c r="G6" s="10">
        <f t="shared" si="0"/>
        <v>-98.080000000000013</v>
      </c>
      <c r="H6" s="12" t="str">
        <f>A6</f>
        <v>Food/Bunnies/Toiletries</v>
      </c>
      <c r="I6">
        <f>IF(G6&lt;0,G6*-1,0)</f>
        <v>98.080000000000013</v>
      </c>
    </row>
    <row r="7" spans="1:11" ht="18" outlineLevel="1">
      <c r="A7" s="105" t="s">
        <v>170</v>
      </c>
      <c r="B7" s="10">
        <v>0</v>
      </c>
      <c r="C7" s="10">
        <f>10+88+33+14.03+17+12+14.5+9+37.5</f>
        <v>235.03</v>
      </c>
      <c r="D7" s="10">
        <f>67.48+10.5+3.1+30+25+27+30</f>
        <v>193.07999999999998</v>
      </c>
      <c r="E7" s="10"/>
      <c r="F7" s="10"/>
      <c r="G7" s="10">
        <f t="shared" si="0"/>
        <v>-428.11</v>
      </c>
      <c r="H7" s="12" t="str">
        <f>A7</f>
        <v>Gift Fund</v>
      </c>
      <c r="I7">
        <f>IF(G7&lt;0,G7*-1,0)</f>
        <v>428.11</v>
      </c>
    </row>
    <row r="8" spans="1:11" ht="18" outlineLevel="1">
      <c r="A8" s="105" t="s">
        <v>171</v>
      </c>
      <c r="B8" s="10">
        <v>0</v>
      </c>
      <c r="C8" s="10"/>
      <c r="D8" s="10"/>
      <c r="E8" s="10"/>
      <c r="F8" s="10"/>
      <c r="G8" s="10">
        <f t="shared" si="0"/>
        <v>0</v>
      </c>
      <c r="H8" s="12" t="str">
        <f>A8</f>
        <v>Holiday Fund</v>
      </c>
      <c r="I8">
        <f>IF(G8&lt;0,G8*-1,0)</f>
        <v>0</v>
      </c>
    </row>
    <row r="9" spans="1:11" ht="18" outlineLevel="1">
      <c r="A9" s="105" t="s">
        <v>632</v>
      </c>
      <c r="B9" s="10">
        <v>80</v>
      </c>
      <c r="C9" s="10">
        <f>21+34.85+33.57+20+45</f>
        <v>154.42000000000002</v>
      </c>
      <c r="D9" s="10"/>
      <c r="E9" s="10"/>
      <c r="F9" s="10"/>
      <c r="G9" s="10">
        <f t="shared" si="0"/>
        <v>-74.420000000000016</v>
      </c>
      <c r="H9" s="12" t="str">
        <f>A9</f>
        <v>Shared</v>
      </c>
      <c r="I9">
        <f>IF(G9&lt;0,G9*-1,0)</f>
        <v>74.420000000000016</v>
      </c>
    </row>
    <row r="10" spans="1:11" ht="18" outlineLevel="1">
      <c r="A10" s="105" t="s">
        <v>633</v>
      </c>
      <c r="B10" s="10">
        <f>IF(B39 &lt;&gt; 0,B39-B4-B13,0)</f>
        <v>985.75</v>
      </c>
      <c r="C10" s="10">
        <f>10+22.5+1.44+1.5+11.58+17.1+15.23+4.77</f>
        <v>84.12</v>
      </c>
      <c r="D10" s="10">
        <f>4.6+4.78+62.25+2.38+20+50.1+17.98</f>
        <v>162.08999999999997</v>
      </c>
      <c r="E10" s="10">
        <f>16+15+15.59+2.59+1.19+1.59+6.49+13.5</f>
        <v>71.950000000000017</v>
      </c>
      <c r="F10" s="10"/>
      <c r="G10" s="10">
        <f>IF(B10&lt;&gt;"",B10-C10-D10-E10-F10-I4,"")</f>
        <v>66.979999999999791</v>
      </c>
      <c r="H10" s="12" t="s">
        <v>172</v>
      </c>
      <c r="I10" s="11"/>
      <c r="J10" s="11"/>
    </row>
    <row r="11" spans="1:11" ht="18" outlineLevel="1">
      <c r="A11" s="185"/>
      <c r="B11" s="10"/>
      <c r="C11" s="10"/>
      <c r="D11" s="10"/>
      <c r="E11" s="10"/>
      <c r="F11" s="10"/>
      <c r="G11" s="10"/>
      <c r="H11" s="9"/>
      <c r="J11" s="11"/>
    </row>
    <row r="12" spans="1:11" ht="18">
      <c r="A12" s="185"/>
      <c r="B12" s="10"/>
      <c r="C12" s="10"/>
      <c r="D12" s="10"/>
      <c r="E12" s="10"/>
      <c r="F12" s="10"/>
      <c r="G12" s="10"/>
      <c r="H12" s="9"/>
      <c r="J12" s="11"/>
    </row>
    <row r="13" spans="1:11" ht="18">
      <c r="A13" s="177" t="s">
        <v>422</v>
      </c>
      <c r="B13" s="183">
        <f>B14+B21+B32+B36</f>
        <v>1071.8800000000001</v>
      </c>
      <c r="C13" s="10"/>
      <c r="D13" s="10"/>
      <c r="E13" s="10"/>
      <c r="F13" s="10"/>
      <c r="G13" s="234">
        <f>ROUND(SUM(G14,G21,G32,G36),2)</f>
        <v>14.99</v>
      </c>
      <c r="H13" s="237" t="s">
        <v>10</v>
      </c>
      <c r="I13" s="11"/>
    </row>
    <row r="14" spans="1:11" ht="18">
      <c r="A14" s="105" t="s">
        <v>594</v>
      </c>
      <c r="B14" s="183">
        <f>SUM(B15:B19)</f>
        <v>796.79</v>
      </c>
      <c r="C14" s="10"/>
      <c r="D14" s="10"/>
      <c r="E14" s="10"/>
      <c r="F14" s="10"/>
      <c r="G14" s="235">
        <f>IF(B14&lt;&gt;"",SUM(G15:G19),0)</f>
        <v>7.1054273576010019E-15</v>
      </c>
      <c r="H14" s="236" t="str">
        <f t="shared" ref="H14:H32" si="1">A14</f>
        <v>House Outgoings</v>
      </c>
    </row>
    <row r="15" spans="1:11" ht="18" outlineLevel="2">
      <c r="A15" s="13" t="s">
        <v>595</v>
      </c>
      <c r="B15" s="184">
        <v>452.64</v>
      </c>
      <c r="C15" s="10">
        <v>452.64</v>
      </c>
      <c r="D15" s="10"/>
      <c r="E15" s="10"/>
      <c r="F15" s="10"/>
      <c r="G15" s="10">
        <f t="shared" ref="G15:G34" si="2">IF(B15&lt;&gt;"",B15-C15-D15-E15-F15,"")</f>
        <v>0</v>
      </c>
      <c r="H15" s="12" t="str">
        <f t="shared" si="1"/>
        <v>Mortgage</v>
      </c>
      <c r="I15">
        <f t="shared" ref="I15:I18" si="3">IF(G15&lt;0,G15*-1,0)</f>
        <v>0</v>
      </c>
    </row>
    <row r="16" spans="1:11" ht="18" outlineLevel="2">
      <c r="A16" s="13" t="s">
        <v>596</v>
      </c>
      <c r="B16" s="184">
        <v>187</v>
      </c>
      <c r="C16" s="10">
        <v>187</v>
      </c>
      <c r="D16" s="10"/>
      <c r="E16" s="10"/>
      <c r="F16" s="10"/>
      <c r="G16" s="10">
        <f t="shared" si="2"/>
        <v>0</v>
      </c>
      <c r="H16" s="12" t="str">
        <f t="shared" si="1"/>
        <v>Council tax</v>
      </c>
      <c r="I16">
        <f t="shared" si="3"/>
        <v>0</v>
      </c>
      <c r="J16" s="11"/>
      <c r="K16" s="238"/>
    </row>
    <row r="17" spans="1:9" ht="18" outlineLevel="2">
      <c r="A17" s="13" t="s">
        <v>634</v>
      </c>
      <c r="B17" s="184">
        <f>17+55</f>
        <v>72</v>
      </c>
      <c r="C17" s="10">
        <f>17+55</f>
        <v>72</v>
      </c>
      <c r="D17" s="10"/>
      <c r="E17" s="10"/>
      <c r="F17" s="10"/>
      <c r="G17" s="10">
        <f t="shared" si="2"/>
        <v>0</v>
      </c>
      <c r="H17" s="12" t="str">
        <f t="shared" si="1"/>
        <v>Utilities</v>
      </c>
      <c r="I17">
        <f t="shared" si="3"/>
        <v>0</v>
      </c>
    </row>
    <row r="18" spans="1:9" ht="18" outlineLevel="2">
      <c r="A18" s="13" t="s">
        <v>600</v>
      </c>
      <c r="B18" s="184">
        <f>4.52+15.97+8.56+16.1</f>
        <v>45.150000000000006</v>
      </c>
      <c r="C18" s="10">
        <v>45.15</v>
      </c>
      <c r="D18" s="10"/>
      <c r="E18" s="10"/>
      <c r="F18" s="10"/>
      <c r="G18" s="10">
        <f t="shared" si="2"/>
        <v>7.1054273576010019E-15</v>
      </c>
      <c r="H18" s="12" t="str">
        <f t="shared" si="1"/>
        <v>Insurance</v>
      </c>
      <c r="I18">
        <f t="shared" si="3"/>
        <v>0</v>
      </c>
    </row>
    <row r="19" spans="1:9" ht="18" outlineLevel="2">
      <c r="A19" s="13" t="s">
        <v>611</v>
      </c>
      <c r="B19" s="184">
        <v>40</v>
      </c>
      <c r="C19" s="10"/>
      <c r="D19" s="10">
        <v>40</v>
      </c>
      <c r="E19" s="10"/>
      <c r="F19" s="10"/>
      <c r="G19" s="10">
        <f t="shared" si="2"/>
        <v>0</v>
      </c>
      <c r="H19" s="12" t="str">
        <f t="shared" si="1"/>
        <v>The Range</v>
      </c>
    </row>
    <row r="20" spans="1:9" s="747" customFormat="1" ht="18" outlineLevel="2">
      <c r="A20" s="747" t="str">
        <f>IF(B20&lt;&gt;"",B20-C20-D20-E20-F20,"")</f>
        <v/>
      </c>
    </row>
    <row r="21" spans="1:9" ht="18" outlineLevel="1">
      <c r="A21" s="105" t="s">
        <v>601</v>
      </c>
      <c r="B21" s="296">
        <f>SUM(B22:B30)</f>
        <v>133.44</v>
      </c>
      <c r="C21" s="10"/>
      <c r="D21" s="10"/>
      <c r="E21" s="10"/>
      <c r="F21" s="10"/>
      <c r="G21" s="235">
        <f>IF(B21&lt;&gt;"",SUM(G22:G30),0)</f>
        <v>14.99</v>
      </c>
      <c r="H21" s="236" t="str">
        <f t="shared" si="1"/>
        <v>Tech</v>
      </c>
      <c r="I21" s="11"/>
    </row>
    <row r="22" spans="1:9" ht="18" outlineLevel="2">
      <c r="A22" s="13" t="s">
        <v>602</v>
      </c>
      <c r="B22" s="33">
        <v>38.49</v>
      </c>
      <c r="C22" s="10"/>
      <c r="D22" s="10">
        <v>38.49</v>
      </c>
      <c r="E22" s="10"/>
      <c r="F22" s="10"/>
      <c r="G22" s="10">
        <f t="shared" si="2"/>
        <v>0</v>
      </c>
      <c r="H22" s="12" t="str">
        <f t="shared" si="1"/>
        <v>Broadband / TV</v>
      </c>
      <c r="I22">
        <f t="shared" ref="I22:I27" si="4">IF(G22&lt;0,G22*-1,0)</f>
        <v>0</v>
      </c>
    </row>
    <row r="23" spans="1:9" ht="18" outlineLevel="2">
      <c r="A23" s="13" t="s">
        <v>587</v>
      </c>
      <c r="B23" s="33">
        <f>7.99+9.99</f>
        <v>17.98</v>
      </c>
      <c r="C23" s="10">
        <v>9.99</v>
      </c>
      <c r="D23" s="10">
        <v>7.99</v>
      </c>
      <c r="E23" s="10"/>
      <c r="F23" s="10"/>
      <c r="G23" s="10">
        <f t="shared" si="2"/>
        <v>0</v>
      </c>
      <c r="H23" s="12" t="str">
        <f t="shared" si="1"/>
        <v>Sky Movies (14th)</v>
      </c>
      <c r="I23">
        <f t="shared" si="4"/>
        <v>0</v>
      </c>
    </row>
    <row r="24" spans="1:9" ht="18" outlineLevel="2">
      <c r="A24" s="13" t="s">
        <v>582</v>
      </c>
      <c r="B24" s="33">
        <v>7.99</v>
      </c>
      <c r="C24" s="10"/>
      <c r="D24" s="10"/>
      <c r="E24" s="10"/>
      <c r="F24" s="10">
        <v>7.99</v>
      </c>
      <c r="G24" s="10">
        <f t="shared" si="2"/>
        <v>0</v>
      </c>
      <c r="H24" s="12" t="str">
        <f t="shared" si="1"/>
        <v>Onedrive (6th)</v>
      </c>
      <c r="I24">
        <f t="shared" si="4"/>
        <v>0</v>
      </c>
    </row>
    <row r="25" spans="1:9" ht="18" outlineLevel="2">
      <c r="A25" s="13" t="s">
        <v>589</v>
      </c>
      <c r="B25" s="33">
        <v>14.99</v>
      </c>
      <c r="C25" s="10"/>
      <c r="D25" s="10"/>
      <c r="E25" s="10"/>
      <c r="F25" s="10"/>
      <c r="G25" s="10">
        <f t="shared" ref="G25:G30" si="5">IF(B25&lt;&gt;"",B25-C25-D25-E25-F25,"")</f>
        <v>14.99</v>
      </c>
      <c r="H25" s="12" t="str">
        <f t="shared" ref="H25:H30" si="6">A25</f>
        <v>Music</v>
      </c>
      <c r="I25">
        <f t="shared" si="4"/>
        <v>0</v>
      </c>
    </row>
    <row r="26" spans="1:9" ht="18" outlineLevel="2" collapsed="1">
      <c r="A26" s="13" t="s">
        <v>603</v>
      </c>
      <c r="B26" s="33">
        <v>16.010000000000002</v>
      </c>
      <c r="C26" s="10">
        <v>16.010000000000002</v>
      </c>
      <c r="D26" s="10"/>
      <c r="E26" s="10"/>
      <c r="F26" s="10"/>
      <c r="G26" s="10">
        <f t="shared" si="5"/>
        <v>0</v>
      </c>
      <c r="H26" s="12" t="str">
        <f t="shared" si="6"/>
        <v>Matt Phone  (21st)</v>
      </c>
      <c r="I26">
        <f t="shared" si="4"/>
        <v>0</v>
      </c>
    </row>
    <row r="27" spans="1:9" ht="18" outlineLevel="2">
      <c r="A27" s="13" t="s">
        <v>654</v>
      </c>
      <c r="B27" s="33">
        <v>3.99</v>
      </c>
      <c r="C27" s="10"/>
      <c r="D27" s="10"/>
      <c r="E27" s="10">
        <v>3.99</v>
      </c>
      <c r="F27" s="10"/>
      <c r="G27" s="10">
        <f t="shared" si="5"/>
        <v>0</v>
      </c>
      <c r="H27" s="12" t="str">
        <f t="shared" si="6"/>
        <v>Audible</v>
      </c>
      <c r="I27">
        <f t="shared" si="4"/>
        <v>0</v>
      </c>
    </row>
    <row r="28" spans="1:9" ht="18" outlineLevel="2">
      <c r="A28" s="13" t="s">
        <v>660</v>
      </c>
      <c r="B28" s="33">
        <v>5.99</v>
      </c>
      <c r="C28" s="10">
        <v>5.99</v>
      </c>
      <c r="D28" s="10"/>
      <c r="E28" s="10"/>
      <c r="F28" s="10"/>
      <c r="G28" s="10">
        <f t="shared" si="5"/>
        <v>0</v>
      </c>
      <c r="H28" s="12" t="str">
        <f t="shared" si="6"/>
        <v>xbox live</v>
      </c>
    </row>
    <row r="29" spans="1:9" ht="18" outlineLevel="2">
      <c r="A29" s="13" t="s">
        <v>359</v>
      </c>
      <c r="B29" s="33">
        <v>0</v>
      </c>
      <c r="C29" s="10"/>
      <c r="D29" s="10"/>
      <c r="E29" s="10"/>
      <c r="F29" s="10"/>
      <c r="G29" s="10">
        <f t="shared" si="5"/>
        <v>0</v>
      </c>
      <c r="H29" s="12" t="str">
        <f t="shared" si="6"/>
        <v>TV License</v>
      </c>
    </row>
    <row r="30" spans="1:9" ht="18" outlineLevel="2">
      <c r="A30" s="13" t="s">
        <v>661</v>
      </c>
      <c r="B30" s="33">
        <v>28</v>
      </c>
      <c r="C30" s="10"/>
      <c r="D30" s="10"/>
      <c r="E30" s="10"/>
      <c r="F30" s="10">
        <v>28</v>
      </c>
      <c r="G30" s="10">
        <f t="shared" si="5"/>
        <v>0</v>
      </c>
      <c r="H30" s="12" t="str">
        <f t="shared" si="6"/>
        <v>Kindle</v>
      </c>
    </row>
    <row r="31" spans="1:9" s="747" customFormat="1" ht="18" outlineLevel="2">
      <c r="A31" s="747" t="str">
        <f>IF(B31&lt;&gt;"",B31-C31-D31-E31-F31,"")</f>
        <v/>
      </c>
    </row>
    <row r="32" spans="1:9" ht="18" outlineLevel="1">
      <c r="A32" s="105" t="s">
        <v>183</v>
      </c>
      <c r="B32" s="296">
        <f>SUM(B33:B34)</f>
        <v>25</v>
      </c>
      <c r="C32" s="10"/>
      <c r="D32" s="10"/>
      <c r="E32" s="10"/>
      <c r="F32" s="10"/>
      <c r="G32" s="235">
        <f>IF(B32&lt;&gt;"",SUM(G33:G34),0)</f>
        <v>0</v>
      </c>
      <c r="H32" s="236" t="str">
        <f t="shared" si="1"/>
        <v>Savings</v>
      </c>
    </row>
    <row r="33" spans="1:9" ht="18" outlineLevel="2">
      <c r="A33" s="13" t="s">
        <v>590</v>
      </c>
      <c r="B33" s="33">
        <v>0</v>
      </c>
      <c r="C33" s="10"/>
      <c r="D33" s="10"/>
      <c r="E33" s="10"/>
      <c r="F33" s="10"/>
      <c r="G33" s="10">
        <f t="shared" si="2"/>
        <v>0</v>
      </c>
      <c r="H33" s="12" t="str">
        <f>A33</f>
        <v>Contingency</v>
      </c>
      <c r="I33">
        <f>IF(G33&lt;0,G33*-1,0)</f>
        <v>0</v>
      </c>
    </row>
    <row r="34" spans="1:9" ht="18" outlineLevel="2">
      <c r="A34" s="13" t="s">
        <v>591</v>
      </c>
      <c r="B34" s="33">
        <v>25</v>
      </c>
      <c r="C34" s="10"/>
      <c r="D34" s="10"/>
      <c r="E34" s="10"/>
      <c r="F34" s="10">
        <v>25</v>
      </c>
      <c r="G34" s="10">
        <f t="shared" si="2"/>
        <v>0</v>
      </c>
      <c r="H34" s="12" t="str">
        <f>A34</f>
        <v>HTB</v>
      </c>
      <c r="I34">
        <f>IF(G34&lt;0,G34*-1,0)</f>
        <v>0</v>
      </c>
    </row>
    <row r="35" spans="1:9" s="748" customFormat="1" ht="18" outlineLevel="2"/>
    <row r="36" spans="1:9" ht="18" outlineLevel="1">
      <c r="A36" s="105" t="s">
        <v>606</v>
      </c>
      <c r="B36" s="239">
        <f>89.09+27.56</f>
        <v>116.65</v>
      </c>
      <c r="C36" s="10">
        <v>89.09</v>
      </c>
      <c r="D36" s="10"/>
      <c r="E36" s="10">
        <v>27.56</v>
      </c>
      <c r="F36" s="10"/>
      <c r="G36" s="10">
        <f t="shared" ref="G36" si="7">IF(B36&lt;&gt;"",B36-C36-D36-E36-F36,"")</f>
        <v>3.5527136788005009E-15</v>
      </c>
      <c r="H36" s="12" t="str">
        <f t="shared" ref="H36" si="8">A36</f>
        <v>Car</v>
      </c>
    </row>
    <row r="37" spans="1:9" ht="18" outlineLevel="1">
      <c r="A37" s="185"/>
      <c r="B37" s="10"/>
      <c r="C37" s="10"/>
      <c r="D37" s="10"/>
      <c r="E37" s="10"/>
      <c r="F37" s="10"/>
      <c r="G37" s="10"/>
      <c r="H37" s="9"/>
    </row>
    <row r="38" spans="1:9" ht="18">
      <c r="A38" s="208"/>
      <c r="B38" s="10"/>
      <c r="C38" s="10"/>
      <c r="D38" s="10"/>
      <c r="E38" s="10"/>
      <c r="F38" s="10"/>
      <c r="G38" s="10"/>
      <c r="H38" s="48"/>
    </row>
    <row r="39" spans="1:9" ht="18">
      <c r="A39" s="179" t="s">
        <v>186</v>
      </c>
      <c r="B39" s="296">
        <f>SUM(C39:F39)</f>
        <v>2380.63</v>
      </c>
      <c r="C39" s="26">
        <f>1388.62+42+50.01+900</f>
        <v>2380.63</v>
      </c>
      <c r="D39" s="26"/>
      <c r="E39" s="27"/>
      <c r="F39" s="36"/>
      <c r="G39" s="46" t="str">
        <f>ROUND(SUM(G4,G10,G13),2) +I4 &amp; " / " &amp; B39</f>
        <v>85.9700000000001 / 2380.63</v>
      </c>
      <c r="H39" s="10"/>
      <c r="I39" s="11"/>
    </row>
    <row r="40" spans="1:9" ht="18">
      <c r="A40" s="24"/>
      <c r="B40" s="10"/>
      <c r="C40" s="49"/>
      <c r="D40" s="26"/>
      <c r="E40" s="23"/>
      <c r="F40" s="25"/>
      <c r="G40" s="79"/>
      <c r="H40" s="11"/>
    </row>
    <row r="41" spans="1:9" ht="18">
      <c r="A41" s="17" t="s">
        <v>655</v>
      </c>
      <c r="B41" s="17">
        <v>888.03</v>
      </c>
      <c r="C41" s="59"/>
      <c r="D41" s="16"/>
      <c r="E41" s="16"/>
    </row>
    <row r="42" spans="1:9" ht="18">
      <c r="A42" s="17"/>
      <c r="B42" s="17"/>
      <c r="C42" s="39"/>
      <c r="D42" s="39"/>
      <c r="E42" s="16"/>
      <c r="F42" s="16"/>
    </row>
    <row r="43" spans="1:9" ht="18">
      <c r="A43" s="17"/>
      <c r="B43" s="17"/>
      <c r="D43" s="39"/>
      <c r="E43" s="43"/>
      <c r="F43" s="43"/>
      <c r="G43" s="11"/>
      <c r="H43" s="11"/>
    </row>
    <row r="44" spans="1:9" ht="18">
      <c r="A44" s="20"/>
      <c r="B44" s="11"/>
      <c r="D44" s="11"/>
      <c r="E44" s="11"/>
      <c r="F44" s="11"/>
      <c r="G44" s="11"/>
    </row>
    <row r="45" spans="1:9" ht="18">
      <c r="B45" s="11"/>
      <c r="C45" s="184"/>
      <c r="D45" s="11"/>
      <c r="E45" s="11"/>
      <c r="F45" s="11"/>
      <c r="G45" s="11"/>
    </row>
    <row r="46" spans="1:9" ht="18">
      <c r="B46" s="10"/>
      <c r="C46" s="184"/>
      <c r="D46" s="11"/>
      <c r="E46" s="11"/>
      <c r="F46" s="11"/>
      <c r="G46" s="11"/>
    </row>
    <row r="47" spans="1:9" ht="18">
      <c r="B47" s="10"/>
      <c r="C47" s="184"/>
      <c r="E47" s="11"/>
      <c r="F47" s="11"/>
      <c r="G47" s="11"/>
    </row>
    <row r="48" spans="1:9" ht="18">
      <c r="B48" s="10"/>
      <c r="C48" s="184"/>
      <c r="E48" s="11"/>
      <c r="F48" s="11"/>
      <c r="G48" s="11"/>
    </row>
    <row r="49" spans="2:8" ht="18">
      <c r="B49" s="10"/>
      <c r="C49" s="11"/>
      <c r="E49" s="11"/>
      <c r="F49" s="11"/>
      <c r="G49" s="11"/>
    </row>
    <row r="50" spans="2:8" ht="18">
      <c r="B50" s="10"/>
      <c r="C50" s="11"/>
      <c r="E50" s="11"/>
      <c r="F50" s="11"/>
      <c r="G50" s="11"/>
    </row>
    <row r="51" spans="2:8" ht="18">
      <c r="B51" s="10"/>
      <c r="E51" s="11"/>
      <c r="F51" s="11"/>
      <c r="G51" s="11"/>
    </row>
    <row r="52" spans="2:8" ht="18">
      <c r="B52" s="10"/>
      <c r="G52" s="11"/>
    </row>
    <row r="53" spans="2:8" ht="18">
      <c r="B53" s="10"/>
      <c r="G53" s="11"/>
    </row>
    <row r="55" spans="2:8">
      <c r="H55" s="11"/>
    </row>
  </sheetData>
  <mergeCells count="3">
    <mergeCell ref="A20:XFD20"/>
    <mergeCell ref="A31:XFD31"/>
    <mergeCell ref="A35:XFD35"/>
  </mergeCells>
  <conditionalFormatting sqref="G5:G10">
    <cfRule type="cellIs" dxfId="137" priority="14" operator="lessThan">
      <formula>0</formula>
    </cfRule>
    <cfRule type="cellIs" dxfId="136" priority="15" operator="equal">
      <formula>0</formula>
    </cfRule>
    <cfRule type="cellIs" dxfId="135" priority="16" operator="greaterThan">
      <formula>0</formula>
    </cfRule>
  </conditionalFormatting>
  <conditionalFormatting sqref="G14:G19 G32:G34">
    <cfRule type="cellIs" dxfId="134" priority="17" operator="equal">
      <formula>0</formula>
    </cfRule>
    <cfRule type="cellIs" dxfId="133" priority="18" operator="lessThan">
      <formula>0</formula>
    </cfRule>
    <cfRule type="cellIs" dxfId="132" priority="19" operator="greaterThan">
      <formula>0</formula>
    </cfRule>
  </conditionalFormatting>
  <conditionalFormatting sqref="G21:G30">
    <cfRule type="cellIs" dxfId="131" priority="7" operator="equal">
      <formula>0</formula>
    </cfRule>
    <cfRule type="cellIs" dxfId="130" priority="8" operator="lessThan">
      <formula>0</formula>
    </cfRule>
    <cfRule type="cellIs" dxfId="129" priority="9" operator="greaterThan">
      <formula>0</formula>
    </cfRule>
  </conditionalFormatting>
  <conditionalFormatting sqref="G36">
    <cfRule type="cellIs" dxfId="128" priority="4" operator="equal">
      <formula>0</formula>
    </cfRule>
    <cfRule type="cellIs" dxfId="127" priority="5" operator="lessThan">
      <formula>0</formula>
    </cfRule>
    <cfRule type="cellIs" dxfId="126" priority="6"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13" operator="containsText" id="{EE3B8D18-BD19-4F4C-8D08-B3F3E5270EF1}">
            <xm:f>NOT(ISERROR(SEARCH("-",G39)))</xm:f>
            <xm:f>"-"</xm:f>
            <x14:dxf>
              <font>
                <color rgb="FF9C0006"/>
              </font>
              <fill>
                <patternFill>
                  <bgColor rgb="FFFFC7CE"/>
                </patternFill>
              </fill>
            </x14:dxf>
          </x14:cfRule>
          <xm:sqref>G39</xm:sqref>
        </x14:conditionalFormatting>
      </x14:conditionalFormatting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93DE-4FA9-C840-9872-824A6E0BE41D}">
  <sheetPr codeName="Sheet52"/>
  <dimension ref="A1:K57"/>
  <sheetViews>
    <sheetView topLeftCell="A15"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 min="10" max="10" width="12" bestFit="1" customWidth="1"/>
  </cols>
  <sheetData>
    <row r="1" spans="1:11" ht="18">
      <c r="A1" s="180" t="s">
        <v>576</v>
      </c>
      <c r="B1" s="13" t="s">
        <v>164</v>
      </c>
      <c r="C1" s="44" t="str">
        <f>"15/01/19" &amp; " - " &amp; "22/01/19"</f>
        <v>15/01/19 - 22/01/19</v>
      </c>
      <c r="D1" s="44" t="str">
        <f>TEXT(DATEVALUE(RIGHT(C1,8))+1,"dd/mm/yy")&amp; " - "&amp; TEXT(DATEVALUE(RIGHT(C1,8))+7,"dd/mm/yy")</f>
        <v>23/01/19 - 29/01/19</v>
      </c>
      <c r="E1" s="44" t="str">
        <f>"30/01/19" &amp; " - " &amp; "31/01/19"</f>
        <v>30/01/19 - 31/01/19</v>
      </c>
      <c r="F1" s="44"/>
      <c r="G1" s="12" t="s">
        <v>10</v>
      </c>
      <c r="H1" s="9"/>
    </row>
    <row r="2" spans="1:11" ht="18">
      <c r="A2" s="13" t="s">
        <v>165</v>
      </c>
      <c r="B2" s="10">
        <f>SUM(B4,B13)</f>
        <v>845.88</v>
      </c>
      <c r="C2" s="296">
        <f>SUM(C5:C24)</f>
        <v>814.78</v>
      </c>
      <c r="D2" s="296">
        <f>SUM(D5:D24)</f>
        <v>0</v>
      </c>
      <c r="E2" s="296">
        <f>SUM(E5:E24)</f>
        <v>0</v>
      </c>
      <c r="F2" s="296">
        <f>SUM(F5:F24)</f>
        <v>0</v>
      </c>
      <c r="G2" s="10"/>
      <c r="H2" s="9"/>
    </row>
    <row r="3" spans="1:11" ht="18">
      <c r="A3" s="250"/>
      <c r="B3" s="10"/>
      <c r="C3" s="296"/>
      <c r="D3" s="296"/>
      <c r="E3" s="296"/>
      <c r="F3" s="296"/>
      <c r="G3" s="10"/>
      <c r="H3" s="9"/>
    </row>
    <row r="4" spans="1:11" ht="18">
      <c r="A4" s="178" t="s">
        <v>166</v>
      </c>
      <c r="B4" s="183">
        <f>SUM(B5:B9)</f>
        <v>0</v>
      </c>
      <c r="C4" s="296"/>
      <c r="D4" s="296"/>
      <c r="E4" s="296"/>
      <c r="F4" s="296"/>
      <c r="G4" s="184">
        <f>ROUND(SUM(G5:G9),2)</f>
        <v>0</v>
      </c>
      <c r="H4" s="9" t="s">
        <v>10</v>
      </c>
      <c r="I4">
        <f>SUM(I5:I8)+SUM(I15:I18)+SUM(I22:I26)+SUM(I31:I32)+SUM(I37:I38)</f>
        <v>0</v>
      </c>
    </row>
    <row r="5" spans="1:11" ht="18" outlineLevel="1">
      <c r="A5" s="105" t="s">
        <v>167</v>
      </c>
      <c r="B5" s="17">
        <v>0</v>
      </c>
      <c r="C5" s="10"/>
      <c r="D5" s="10"/>
      <c r="E5" s="10"/>
      <c r="F5" s="10"/>
      <c r="G5" s="10">
        <f>IF(B5&lt;&gt;"",B5-C5-D5-E5-F5,"")</f>
        <v>0</v>
      </c>
      <c r="H5" s="12" t="str">
        <f>A5</f>
        <v xml:space="preserve">Car Petrol </v>
      </c>
      <c r="I5">
        <f>IF(G5&lt;0,G5*-1,0)</f>
        <v>0</v>
      </c>
    </row>
    <row r="6" spans="1:11" ht="18" outlineLevel="1">
      <c r="A6" s="105" t="s">
        <v>577</v>
      </c>
      <c r="B6" s="10">
        <v>0</v>
      </c>
      <c r="C6" s="10"/>
      <c r="D6" s="10"/>
      <c r="E6" s="10"/>
      <c r="F6" s="10"/>
      <c r="G6" s="10">
        <f>IF(B6&lt;&gt;"",B6-C6-D6-E6-F6,"")</f>
        <v>0</v>
      </c>
      <c r="H6" s="12" t="str">
        <f>A6</f>
        <v>Food/Bunnies/Toiletries</v>
      </c>
      <c r="I6">
        <f>IF(G6&lt;0,G6*-1,0)</f>
        <v>0</v>
      </c>
    </row>
    <row r="7" spans="1:11" ht="18" outlineLevel="1">
      <c r="A7" s="105" t="s">
        <v>170</v>
      </c>
      <c r="B7" s="10">
        <v>0</v>
      </c>
      <c r="C7" s="10"/>
      <c r="D7" s="10"/>
      <c r="E7" s="10"/>
      <c r="F7" s="10"/>
      <c r="G7" s="10">
        <f>IF(B7&lt;&gt;"",B7-C7-D7-E7-F7,"")</f>
        <v>0</v>
      </c>
      <c r="H7" s="12" t="str">
        <f>A7</f>
        <v>Gift Fund</v>
      </c>
      <c r="I7">
        <f>IF(G7&lt;0,G7*-1,0)</f>
        <v>0</v>
      </c>
    </row>
    <row r="8" spans="1:11" ht="18" outlineLevel="1">
      <c r="A8" s="105" t="s">
        <v>171</v>
      </c>
      <c r="B8" s="10">
        <v>0</v>
      </c>
      <c r="C8" s="10"/>
      <c r="D8" s="10"/>
      <c r="E8" s="10"/>
      <c r="F8" s="10"/>
      <c r="G8" s="10">
        <f>IF(B8&lt;&gt;"",B8-C8-D8-E8-F8,"")</f>
        <v>0</v>
      </c>
      <c r="H8" s="12" t="str">
        <f>A8</f>
        <v>Holiday Fund</v>
      </c>
      <c r="I8">
        <f>IF(G8&lt;0,G8*-1,0)</f>
        <v>0</v>
      </c>
    </row>
    <row r="9" spans="1:11" ht="18" outlineLevel="1">
      <c r="A9" s="105" t="s">
        <v>632</v>
      </c>
      <c r="B9" s="10">
        <v>0</v>
      </c>
      <c r="C9" s="10"/>
      <c r="D9" s="10"/>
      <c r="E9" s="10"/>
      <c r="F9" s="10"/>
      <c r="G9" s="10">
        <f>IF(B9&lt;&gt;"",B9-C9-D9-E9-F9,"")</f>
        <v>0</v>
      </c>
      <c r="H9" s="12" t="str">
        <f>A9</f>
        <v>Shared</v>
      </c>
      <c r="I9">
        <f>IF(G9&lt;0,G9*-1,0)</f>
        <v>0</v>
      </c>
    </row>
    <row r="10" spans="1:11" ht="18" outlineLevel="1">
      <c r="A10" s="105" t="s">
        <v>633</v>
      </c>
      <c r="B10" s="10">
        <f>IF(B41 &lt;&gt; 0,B41-B4-B13,0)</f>
        <v>133.81000000000006</v>
      </c>
      <c r="C10" s="10">
        <f>20+37.99</f>
        <v>57.99</v>
      </c>
      <c r="D10" s="10"/>
      <c r="E10" s="10"/>
      <c r="F10" s="10"/>
      <c r="G10" s="10">
        <f>IF(B10&lt;&gt;"",B10-C10-D10-E10-F10-I4,"")</f>
        <v>75.82000000000005</v>
      </c>
      <c r="H10" s="12" t="s">
        <v>172</v>
      </c>
      <c r="I10" s="11"/>
      <c r="J10" s="11"/>
    </row>
    <row r="11" spans="1:11" ht="18" outlineLevel="1">
      <c r="A11" s="185"/>
      <c r="B11" s="10"/>
      <c r="C11" s="10"/>
      <c r="D11" s="10"/>
      <c r="E11" s="10"/>
      <c r="F11" s="10"/>
      <c r="G11" s="10"/>
      <c r="H11" s="9"/>
      <c r="J11" s="11"/>
    </row>
    <row r="12" spans="1:11" ht="18">
      <c r="A12" s="185"/>
      <c r="B12" s="10"/>
      <c r="C12" s="10"/>
      <c r="D12" s="10"/>
      <c r="E12" s="10"/>
      <c r="F12" s="10"/>
      <c r="G12" s="10"/>
      <c r="H12" s="9"/>
      <c r="J12" s="11"/>
    </row>
    <row r="13" spans="1:11" ht="18">
      <c r="A13" s="177" t="s">
        <v>422</v>
      </c>
      <c r="B13" s="183">
        <f>B14+B21+B30+B36</f>
        <v>845.88</v>
      </c>
      <c r="C13" s="10"/>
      <c r="D13" s="10"/>
      <c r="E13" s="10"/>
      <c r="F13" s="10"/>
      <c r="G13" s="234">
        <f>ROUND(SUM(G14,G21,G30),2)</f>
        <v>0</v>
      </c>
      <c r="H13" s="237" t="s">
        <v>10</v>
      </c>
      <c r="I13" s="11"/>
    </row>
    <row r="14" spans="1:11" ht="18">
      <c r="A14" s="105" t="s">
        <v>594</v>
      </c>
      <c r="B14" s="183">
        <f>SUM(B15:B19)</f>
        <v>756.79</v>
      </c>
      <c r="C14" s="10"/>
      <c r="D14" s="10"/>
      <c r="E14" s="10"/>
      <c r="F14" s="10"/>
      <c r="G14" s="235">
        <f>IF(B14&lt;&gt;"",SUM(G15:G19),0)</f>
        <v>7.1054273576010019E-15</v>
      </c>
      <c r="H14" s="236" t="str">
        <f t="shared" ref="H14:H19" si="0">A14</f>
        <v>House Outgoings</v>
      </c>
    </row>
    <row r="15" spans="1:11" ht="18" outlineLevel="2">
      <c r="A15" s="13" t="s">
        <v>595</v>
      </c>
      <c r="B15" s="184">
        <v>452.64</v>
      </c>
      <c r="C15" s="10">
        <v>452.64</v>
      </c>
      <c r="D15" s="10"/>
      <c r="E15" s="10"/>
      <c r="F15" s="10"/>
      <c r="G15" s="10">
        <f>IF(B15&lt;&gt;"",B15-C15-D15-E15-F15,"")</f>
        <v>0</v>
      </c>
      <c r="H15" s="12" t="str">
        <f t="shared" si="0"/>
        <v>Mortgage</v>
      </c>
      <c r="I15">
        <f>IF(G15&lt;0,G15*-1,0)</f>
        <v>0</v>
      </c>
    </row>
    <row r="16" spans="1:11" ht="18" outlineLevel="2">
      <c r="A16" s="13" t="s">
        <v>596</v>
      </c>
      <c r="B16" s="184">
        <v>187</v>
      </c>
      <c r="C16" s="10">
        <v>187</v>
      </c>
      <c r="D16" s="10"/>
      <c r="E16" s="10"/>
      <c r="F16" s="10"/>
      <c r="G16" s="10">
        <f>IF(B16&lt;&gt;"",B16-C16-D16-E16-F16,"")</f>
        <v>0</v>
      </c>
      <c r="H16" s="12" t="str">
        <f t="shared" si="0"/>
        <v>Council tax</v>
      </c>
      <c r="I16">
        <f>IF(G16&lt;0,G16*-1,0)</f>
        <v>0</v>
      </c>
      <c r="J16" s="11"/>
      <c r="K16" s="238"/>
    </row>
    <row r="17" spans="1:9" ht="18" outlineLevel="2">
      <c r="A17" s="13" t="s">
        <v>634</v>
      </c>
      <c r="B17" s="184">
        <f>17+55</f>
        <v>72</v>
      </c>
      <c r="C17" s="10">
        <v>72</v>
      </c>
      <c r="D17" s="10"/>
      <c r="E17" s="10"/>
      <c r="F17" s="10"/>
      <c r="G17" s="10">
        <f>IF(B17&lt;&gt;"",B17-C17-D17-E17-F17,"")</f>
        <v>0</v>
      </c>
      <c r="H17" s="12" t="str">
        <f t="shared" si="0"/>
        <v>Utilities</v>
      </c>
      <c r="I17">
        <f>IF(G17&lt;0,G17*-1,0)</f>
        <v>0</v>
      </c>
    </row>
    <row r="18" spans="1:9" ht="18" outlineLevel="2">
      <c r="A18" s="13" t="s">
        <v>600</v>
      </c>
      <c r="B18" s="184">
        <f>4.52+15.97+8.56+16.1</f>
        <v>45.150000000000006</v>
      </c>
      <c r="C18" s="10">
        <v>45.15</v>
      </c>
      <c r="D18" s="10"/>
      <c r="E18" s="10"/>
      <c r="F18" s="10"/>
      <c r="G18" s="10">
        <f>IF(B18&lt;&gt;"",B18-C18-D18-E18-F18,"")</f>
        <v>7.1054273576010019E-15</v>
      </c>
      <c r="H18" s="12" t="str">
        <f t="shared" si="0"/>
        <v>Insurance</v>
      </c>
      <c r="I18">
        <f>IF(G18&lt;0,G18*-1,0)</f>
        <v>0</v>
      </c>
    </row>
    <row r="19" spans="1:9" ht="18" outlineLevel="2">
      <c r="A19" s="13" t="s">
        <v>611</v>
      </c>
      <c r="B19" s="184">
        <v>0</v>
      </c>
      <c r="C19" s="10"/>
      <c r="D19" s="10"/>
      <c r="E19" s="10"/>
      <c r="F19" s="10"/>
      <c r="G19" s="10">
        <f>IF(B19&lt;&gt;"",B19-C19-D19-E19-F19,"")</f>
        <v>0</v>
      </c>
      <c r="H19" s="12" t="str">
        <f t="shared" si="0"/>
        <v>The Range</v>
      </c>
    </row>
    <row r="20" spans="1:9" s="747" customFormat="1" ht="18" outlineLevel="2">
      <c r="A20" s="747" t="str">
        <f>IF(B20&lt;&gt;"",B20-C20-D20-E20-F20,"")</f>
        <v/>
      </c>
    </row>
    <row r="21" spans="1:9" ht="18" outlineLevel="1">
      <c r="A21" s="105" t="s">
        <v>601</v>
      </c>
      <c r="B21" s="296">
        <f>SUM(B22:B28)</f>
        <v>0</v>
      </c>
      <c r="C21" s="10"/>
      <c r="D21" s="10"/>
      <c r="E21" s="10"/>
      <c r="F21" s="10"/>
      <c r="G21" s="235">
        <f>IF(B21&lt;&gt;"",SUM(G22:G28),0)</f>
        <v>0</v>
      </c>
      <c r="H21" s="236" t="str">
        <f t="shared" ref="H21:H28" si="1">A21</f>
        <v>Tech</v>
      </c>
      <c r="I21" s="11"/>
    </row>
    <row r="22" spans="1:9" ht="18" outlineLevel="2">
      <c r="A22" s="13" t="s">
        <v>602</v>
      </c>
      <c r="B22" s="33">
        <v>0</v>
      </c>
      <c r="C22" s="10"/>
      <c r="D22" s="10"/>
      <c r="E22" s="10"/>
      <c r="F22" s="10"/>
      <c r="G22" s="10">
        <f t="shared" ref="G22:G28" si="2">IF(B22&lt;&gt;"",B22-C22-D22-E22-F22,"")</f>
        <v>0</v>
      </c>
      <c r="H22" s="12" t="str">
        <f t="shared" si="1"/>
        <v>Broadband / TV</v>
      </c>
      <c r="I22">
        <f t="shared" ref="I22:I28" si="3">IF(G22&lt;0,G22*-1,0)</f>
        <v>0</v>
      </c>
    </row>
    <row r="23" spans="1:9" ht="18" outlineLevel="2">
      <c r="A23" s="13" t="s">
        <v>587</v>
      </c>
      <c r="B23" s="33">
        <v>0</v>
      </c>
      <c r="C23" s="10"/>
      <c r="D23" s="10"/>
      <c r="E23" s="10"/>
      <c r="F23" s="10"/>
      <c r="G23" s="10">
        <f t="shared" si="2"/>
        <v>0</v>
      </c>
      <c r="H23" s="12" t="str">
        <f t="shared" si="1"/>
        <v>Sky Movies (14th)</v>
      </c>
      <c r="I23">
        <f t="shared" si="3"/>
        <v>0</v>
      </c>
    </row>
    <row r="24" spans="1:9" ht="18" outlineLevel="2">
      <c r="A24" s="13" t="s">
        <v>582</v>
      </c>
      <c r="B24" s="33">
        <v>0</v>
      </c>
      <c r="C24" s="10"/>
      <c r="D24" s="10"/>
      <c r="E24" s="10"/>
      <c r="F24" s="10"/>
      <c r="G24" s="10">
        <f t="shared" si="2"/>
        <v>0</v>
      </c>
      <c r="H24" s="12" t="str">
        <f t="shared" si="1"/>
        <v>Onedrive (6th)</v>
      </c>
      <c r="I24">
        <f t="shared" si="3"/>
        <v>0</v>
      </c>
    </row>
    <row r="25" spans="1:9" ht="18" outlineLevel="2">
      <c r="A25" s="13" t="s">
        <v>589</v>
      </c>
      <c r="B25" s="33">
        <v>0</v>
      </c>
      <c r="C25" s="10"/>
      <c r="D25" s="10"/>
      <c r="E25" s="10"/>
      <c r="F25" s="10"/>
      <c r="G25" s="10">
        <f t="shared" si="2"/>
        <v>0</v>
      </c>
      <c r="H25" s="12" t="str">
        <f t="shared" si="1"/>
        <v>Music</v>
      </c>
      <c r="I25">
        <f t="shared" si="3"/>
        <v>0</v>
      </c>
    </row>
    <row r="26" spans="1:9" ht="18" outlineLevel="2" collapsed="1">
      <c r="A26" s="13" t="s">
        <v>603</v>
      </c>
      <c r="B26" s="33">
        <v>0</v>
      </c>
      <c r="C26" s="10"/>
      <c r="D26" s="10"/>
      <c r="E26" s="10"/>
      <c r="F26" s="10"/>
      <c r="G26" s="10">
        <f t="shared" si="2"/>
        <v>0</v>
      </c>
      <c r="H26" s="12" t="str">
        <f t="shared" si="1"/>
        <v>Matt Phone  (21st)</v>
      </c>
      <c r="I26">
        <f t="shared" si="3"/>
        <v>0</v>
      </c>
    </row>
    <row r="27" spans="1:9" ht="18" outlineLevel="2">
      <c r="A27" s="13" t="s">
        <v>662</v>
      </c>
      <c r="B27" s="33">
        <v>0</v>
      </c>
      <c r="C27" s="10"/>
      <c r="D27" s="10"/>
      <c r="E27" s="10"/>
      <c r="F27" s="10"/>
      <c r="G27" s="10">
        <f t="shared" si="2"/>
        <v>0</v>
      </c>
      <c r="H27" s="12" t="str">
        <f t="shared" si="1"/>
        <v>Xbox</v>
      </c>
      <c r="I27">
        <f t="shared" si="3"/>
        <v>0</v>
      </c>
    </row>
    <row r="28" spans="1:9" ht="18" outlineLevel="2">
      <c r="A28" s="13" t="s">
        <v>654</v>
      </c>
      <c r="B28" s="33">
        <v>0</v>
      </c>
      <c r="C28" s="10"/>
      <c r="D28" s="10"/>
      <c r="E28" s="10"/>
      <c r="F28" s="10"/>
      <c r="G28" s="10">
        <f t="shared" si="2"/>
        <v>0</v>
      </c>
      <c r="H28" s="12" t="str">
        <f t="shared" si="1"/>
        <v>Audible</v>
      </c>
      <c r="I28">
        <f t="shared" si="3"/>
        <v>0</v>
      </c>
    </row>
    <row r="29" spans="1:9" s="747" customFormat="1" ht="18" outlineLevel="2">
      <c r="A29" s="747" t="str">
        <f>IF(B29&lt;&gt;"",B29-C29-D29-E29-F29,"")</f>
        <v/>
      </c>
    </row>
    <row r="30" spans="1:9" ht="18" outlineLevel="1">
      <c r="A30" s="105" t="s">
        <v>183</v>
      </c>
      <c r="B30" s="296">
        <f>SUM(B31:B32)</f>
        <v>0</v>
      </c>
      <c r="C30" s="10"/>
      <c r="D30" s="10"/>
      <c r="E30" s="10"/>
      <c r="F30" s="10"/>
      <c r="G30" s="235">
        <f>IF(B30&lt;&gt;"",SUM(G31:G32),0)</f>
        <v>0</v>
      </c>
      <c r="H30" s="236" t="str">
        <f>A30</f>
        <v>Savings</v>
      </c>
    </row>
    <row r="31" spans="1:9" ht="18" outlineLevel="2">
      <c r="A31" s="13" t="s">
        <v>590</v>
      </c>
      <c r="B31" s="33">
        <v>0</v>
      </c>
      <c r="C31" s="10"/>
      <c r="D31" s="10"/>
      <c r="E31" s="10"/>
      <c r="F31" s="10"/>
      <c r="G31" s="10">
        <f>IF(B31&lt;&gt;"",B31-C31-D31-E31-F31,"")</f>
        <v>0</v>
      </c>
      <c r="H31" s="12" t="str">
        <f>A31</f>
        <v>Contingency</v>
      </c>
      <c r="I31">
        <f>IF(G31&lt;0,G31*-1,0)</f>
        <v>0</v>
      </c>
    </row>
    <row r="32" spans="1:9" ht="18" outlineLevel="2">
      <c r="A32" s="13" t="s">
        <v>591</v>
      </c>
      <c r="B32" s="33">
        <v>0</v>
      </c>
      <c r="C32" s="10"/>
      <c r="D32" s="10"/>
      <c r="E32" s="10"/>
      <c r="F32" s="10"/>
      <c r="G32" s="10">
        <f>IF(B32&lt;&gt;"",B32-C32-D32-E32-F32,"")</f>
        <v>0</v>
      </c>
      <c r="H32" s="12" t="str">
        <f>A32</f>
        <v>HTB</v>
      </c>
      <c r="I32">
        <f>IF(G32&lt;0,G32*-1,0)</f>
        <v>0</v>
      </c>
    </row>
    <row r="33" spans="1:11" s="748" customFormat="1" ht="18" outlineLevel="2"/>
    <row r="34" spans="1:11" ht="18" outlineLevel="1">
      <c r="A34" s="185"/>
      <c r="B34" s="10"/>
      <c r="C34" s="10"/>
      <c r="D34" s="10"/>
      <c r="E34" s="10"/>
      <c r="F34" s="10"/>
      <c r="G34" s="10"/>
      <c r="H34" s="9"/>
    </row>
    <row r="35" spans="1:11" ht="18" outlineLevel="1">
      <c r="A35" s="185"/>
      <c r="B35" s="10"/>
      <c r="C35" s="10"/>
      <c r="D35" s="10"/>
      <c r="E35" s="10"/>
      <c r="F35" s="10"/>
      <c r="G35" s="10"/>
      <c r="H35" s="9"/>
    </row>
    <row r="36" spans="1:11" ht="18">
      <c r="A36" s="177" t="s">
        <v>424</v>
      </c>
      <c r="B36" s="183">
        <f>SUM(B37,B38)</f>
        <v>89.09</v>
      </c>
      <c r="C36" s="10"/>
      <c r="D36" s="10"/>
      <c r="E36" s="10"/>
      <c r="F36" s="10"/>
      <c r="G36" s="183">
        <f>SUM(G37,G38)</f>
        <v>0</v>
      </c>
      <c r="H36" s="9" t="s">
        <v>10</v>
      </c>
      <c r="K36" s="11"/>
    </row>
    <row r="37" spans="1:11" ht="18" outlineLevel="1">
      <c r="A37" s="105" t="s">
        <v>359</v>
      </c>
      <c r="B37" s="184">
        <v>0</v>
      </c>
      <c r="C37" s="10"/>
      <c r="D37" s="10"/>
      <c r="E37" s="10"/>
      <c r="F37" s="10"/>
      <c r="G37" s="10">
        <f>IF(B37&lt;&gt;"",B37-C37-D37-E37-F37,"")</f>
        <v>0</v>
      </c>
      <c r="H37" s="12" t="str">
        <f>A37</f>
        <v>TV License</v>
      </c>
      <c r="I37">
        <f>IF(G37&lt;0,G37*-1,0)</f>
        <v>0</v>
      </c>
      <c r="K37" s="11"/>
    </row>
    <row r="38" spans="1:11" ht="18" outlineLevel="1">
      <c r="A38" s="105" t="s">
        <v>606</v>
      </c>
      <c r="B38" s="239">
        <f>89.09</f>
        <v>89.09</v>
      </c>
      <c r="C38" s="10">
        <v>89.09</v>
      </c>
      <c r="D38" s="10"/>
      <c r="E38" s="10"/>
      <c r="F38" s="10"/>
      <c r="G38" s="10">
        <f>IF(B38&lt;&gt;"",B38-C38-D38-E38-F38,"")</f>
        <v>0</v>
      </c>
      <c r="H38" s="12" t="str">
        <f>A38</f>
        <v>Car</v>
      </c>
      <c r="I38">
        <f>IF(G38&lt;0,G38*-1,0)</f>
        <v>0</v>
      </c>
    </row>
    <row r="39" spans="1:11" ht="18" outlineLevel="1">
      <c r="A39" s="208"/>
      <c r="B39" s="10"/>
      <c r="C39" s="10"/>
      <c r="D39" s="10"/>
      <c r="E39" s="10"/>
      <c r="F39" s="10"/>
      <c r="G39" s="10"/>
      <c r="H39" s="48"/>
    </row>
    <row r="40" spans="1:11" ht="18">
      <c r="A40" s="208"/>
      <c r="B40" s="10"/>
      <c r="C40" s="10"/>
      <c r="D40" s="10"/>
      <c r="E40" s="10"/>
      <c r="F40" s="10"/>
      <c r="G40" s="10"/>
      <c r="H40" s="48"/>
    </row>
    <row r="41" spans="1:11" ht="18">
      <c r="A41" s="179" t="s">
        <v>186</v>
      </c>
      <c r="B41" s="296">
        <f>SUM(C41:F41)</f>
        <v>979.69</v>
      </c>
      <c r="C41" s="26">
        <f>936.7+5+37.99</f>
        <v>979.69</v>
      </c>
      <c r="D41" s="26"/>
      <c r="E41" s="27"/>
      <c r="F41" s="36"/>
      <c r="G41" s="46" t="str">
        <f>ROUND(SUM(G4,G10,G13,G36),2) +I4 &amp; " / " &amp; B41</f>
        <v>75.82 / 979.69</v>
      </c>
      <c r="H41" s="10"/>
      <c r="I41" s="11"/>
    </row>
    <row r="42" spans="1:11" ht="18">
      <c r="A42" s="24"/>
      <c r="B42" s="10"/>
      <c r="C42" s="49"/>
      <c r="D42" s="26"/>
      <c r="E42" s="23"/>
      <c r="F42" s="25"/>
      <c r="G42" s="79"/>
      <c r="H42" s="11"/>
    </row>
    <row r="43" spans="1:11" ht="18">
      <c r="A43" s="17"/>
      <c r="B43" s="17"/>
      <c r="C43" s="59"/>
      <c r="D43" s="16"/>
      <c r="E43" s="16"/>
    </row>
    <row r="44" spans="1:11" ht="18">
      <c r="A44" s="17"/>
      <c r="B44" s="17"/>
      <c r="C44" s="751"/>
      <c r="D44" s="752"/>
      <c r="E44" s="16"/>
      <c r="F44" s="749"/>
      <c r="G44" s="750"/>
    </row>
    <row r="45" spans="1:11" ht="18">
      <c r="A45" s="17"/>
      <c r="B45" s="17"/>
      <c r="C45" s="184"/>
      <c r="E45" s="43"/>
      <c r="F45" s="43"/>
      <c r="G45" s="11"/>
      <c r="H45" s="11"/>
    </row>
    <row r="46" spans="1:11" ht="18">
      <c r="A46" s="20"/>
      <c r="B46" s="11"/>
      <c r="C46" s="11"/>
      <c r="E46" s="11"/>
      <c r="F46" s="11"/>
      <c r="G46" s="11"/>
    </row>
    <row r="47" spans="1:11">
      <c r="B47" s="11"/>
      <c r="E47" s="11"/>
      <c r="F47" s="11"/>
      <c r="G47" s="11"/>
    </row>
    <row r="48" spans="1:11" ht="18">
      <c r="B48" s="10"/>
      <c r="C48" s="242"/>
      <c r="E48" s="11"/>
      <c r="F48" s="11"/>
      <c r="G48" s="11"/>
    </row>
    <row r="49" spans="2:8" ht="18">
      <c r="B49" s="10"/>
      <c r="C49" s="184"/>
      <c r="E49" s="11"/>
      <c r="F49" s="11"/>
      <c r="G49" s="11"/>
    </row>
    <row r="50" spans="2:8" ht="18">
      <c r="B50" s="10"/>
      <c r="C50" s="184"/>
      <c r="E50" s="11"/>
      <c r="F50" s="11"/>
      <c r="G50" s="11"/>
    </row>
    <row r="51" spans="2:8" ht="18">
      <c r="B51" s="10"/>
      <c r="C51" s="11"/>
      <c r="E51" s="11"/>
      <c r="F51" s="11"/>
      <c r="G51" s="11"/>
    </row>
    <row r="52" spans="2:8" ht="18">
      <c r="B52" s="10"/>
      <c r="C52" s="11"/>
      <c r="E52" s="11"/>
      <c r="F52" s="11"/>
      <c r="G52" s="238"/>
    </row>
    <row r="53" spans="2:8" ht="18">
      <c r="B53" s="10"/>
      <c r="E53" s="11"/>
      <c r="F53" s="11"/>
      <c r="G53" s="11"/>
    </row>
    <row r="54" spans="2:8" ht="18">
      <c r="B54" s="10"/>
      <c r="G54" s="11"/>
    </row>
    <row r="55" spans="2:8" ht="18">
      <c r="B55" s="10"/>
      <c r="G55" s="11"/>
    </row>
    <row r="57" spans="2:8">
      <c r="H57" s="11"/>
    </row>
  </sheetData>
  <mergeCells count="5">
    <mergeCell ref="A20:XFD20"/>
    <mergeCell ref="A29:XFD29"/>
    <mergeCell ref="A33:XFD33"/>
    <mergeCell ref="F44:G44"/>
    <mergeCell ref="C44:D44"/>
  </mergeCells>
  <conditionalFormatting sqref="G5:G10">
    <cfRule type="cellIs" dxfId="124" priority="5" operator="lessThan">
      <formula>0</formula>
    </cfRule>
    <cfRule type="cellIs" dxfId="123" priority="6" operator="equal">
      <formula>0</formula>
    </cfRule>
    <cfRule type="cellIs" dxfId="122" priority="7" operator="greaterThan">
      <formula>0</formula>
    </cfRule>
  </conditionalFormatting>
  <conditionalFormatting sqref="G14:G19 G21:G28 G30:G32">
    <cfRule type="cellIs" dxfId="121" priority="8" operator="equal">
      <formula>0</formula>
    </cfRule>
    <cfRule type="cellIs" dxfId="120" priority="9" operator="lessThan">
      <formula>0</formula>
    </cfRule>
    <cfRule type="cellIs" dxfId="119" priority="10" operator="greaterThan">
      <formula>0</formula>
    </cfRule>
  </conditionalFormatting>
  <conditionalFormatting sqref="G37:G38">
    <cfRule type="cellIs" dxfId="118" priority="1" operator="equal">
      <formula>0</formula>
    </cfRule>
    <cfRule type="cellIs" dxfId="117" priority="2" operator="lessThan">
      <formula>0</formula>
    </cfRule>
    <cfRule type="cellIs" dxfId="116" priority="3"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4" operator="containsText" id="{98431AA6-0C6A-F74E-84E0-8A05D4911638}">
            <xm:f>NOT(ISERROR(SEARCH("-",G41)))</xm:f>
            <xm:f>"-"</xm:f>
            <x14:dxf>
              <font>
                <color rgb="FF9C0006"/>
              </font>
              <fill>
                <patternFill>
                  <bgColor rgb="FFFFC7CE"/>
                </patternFill>
              </fill>
            </x14:dxf>
          </x14:cfRule>
          <xm:sqref>G41</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BDF6-F744-8B49-A87D-551836A154EE}">
  <sheetPr codeName="Sheet53"/>
  <dimension ref="A1:K53"/>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20.44140625" customWidth="1"/>
    <col min="10" max="10" width="12" bestFit="1" customWidth="1"/>
  </cols>
  <sheetData>
    <row r="1" spans="1:11" ht="18">
      <c r="A1" s="180" t="s">
        <v>576</v>
      </c>
      <c r="B1" s="13" t="s">
        <v>164</v>
      </c>
      <c r="C1" s="44" t="str">
        <f>"18/01/19 - 24/01/19"</f>
        <v>18/01/19 - 24/01/19</v>
      </c>
      <c r="D1" s="44" t="str">
        <f>TEXT(DATEVALUE(RIGHT(C1,8))+1,"dd/mm/yy")&amp; " - "&amp; TEXT(DATEVALUE(RIGHT(C1,8))+7,"dd/mm/yy")</f>
        <v>25/01/19 - 31/01/19</v>
      </c>
      <c r="E1" s="44" t="str">
        <f>TEXT(DATEVALUE(RIGHT(D1,8))+1,"dd/mm/yy")&amp; " - "&amp; TEXT(DATEVALUE(RIGHT(D1,8))+7,"dd/mm/yy")</f>
        <v>01/02/19 - 07/02/19</v>
      </c>
      <c r="F1" s="44" t="str">
        <f>TEXT(DATEVALUE(RIGHT(E1,8))+1,"dd/mm/yy")&amp; " - "&amp; TEXT(DATEVALUE(RIGHT(E1,8))+7,"dd/mm/yy")</f>
        <v>08/02/19 - 14/02/19</v>
      </c>
      <c r="G1" s="12" t="s">
        <v>10</v>
      </c>
      <c r="H1" s="9"/>
    </row>
    <row r="2" spans="1:11" ht="18">
      <c r="A2" s="13" t="s">
        <v>165</v>
      </c>
      <c r="B2" s="10">
        <f>SUM(B4,B12)</f>
        <v>2416.61</v>
      </c>
      <c r="C2" s="296">
        <f>SUM(C5:C23)</f>
        <v>1105.81</v>
      </c>
      <c r="D2" s="296">
        <f>SUM(D5:D23)</f>
        <v>216.49</v>
      </c>
      <c r="E2" s="296">
        <f>SUM(E5:E23)</f>
        <v>39.17</v>
      </c>
      <c r="F2" s="296">
        <f>SUM(F5:F23)</f>
        <v>762.45999999999992</v>
      </c>
      <c r="G2" s="10"/>
      <c r="H2" s="9"/>
    </row>
    <row r="3" spans="1:11" ht="18">
      <c r="A3" s="250"/>
      <c r="B3" s="10"/>
      <c r="C3" s="296"/>
      <c r="D3" s="296"/>
      <c r="E3" s="296"/>
      <c r="F3" s="296"/>
      <c r="G3" s="10"/>
      <c r="H3" s="9"/>
    </row>
    <row r="4" spans="1:11" ht="18">
      <c r="A4" s="178" t="s">
        <v>166</v>
      </c>
      <c r="B4" s="183">
        <f>SUM(B5:B9)</f>
        <v>1201</v>
      </c>
      <c r="C4" s="296"/>
      <c r="D4" s="296"/>
      <c r="E4" s="296"/>
      <c r="F4" s="296"/>
      <c r="G4" s="184">
        <f>ROUND(SUM(G5:G9),2)</f>
        <v>-86.02</v>
      </c>
      <c r="H4" s="9" t="s">
        <v>10</v>
      </c>
      <c r="I4">
        <f>SUM(I5:I8)+SUM(I14:I17)+SUM(I21:I25)+SUM(I31:I32)+SUM(I34:I34)</f>
        <v>70.589999999999989</v>
      </c>
    </row>
    <row r="5" spans="1:11" ht="18" outlineLevel="1">
      <c r="A5" s="105" t="s">
        <v>167</v>
      </c>
      <c r="B5" s="17">
        <f>111</f>
        <v>111</v>
      </c>
      <c r="C5" s="10">
        <v>21</v>
      </c>
      <c r="D5" s="10"/>
      <c r="E5" s="10"/>
      <c r="F5" s="10">
        <v>90</v>
      </c>
      <c r="G5" s="10">
        <f>IF(B5&lt;&gt;"",B5-C5-D5-E5-F5,"")</f>
        <v>0</v>
      </c>
      <c r="H5" s="12" t="str">
        <f>A5</f>
        <v xml:space="preserve">Car Petrol </v>
      </c>
      <c r="I5">
        <f>IF(G5&lt;0,G5*-1,0)</f>
        <v>0</v>
      </c>
    </row>
    <row r="6" spans="1:11" ht="18" outlineLevel="1">
      <c r="A6" s="105" t="s">
        <v>577</v>
      </c>
      <c r="B6" s="10">
        <f>120+50</f>
        <v>170</v>
      </c>
      <c r="C6" s="10">
        <v>60</v>
      </c>
      <c r="D6" s="10"/>
      <c r="E6" s="10"/>
      <c r="F6" s="10">
        <f>50+60+36.79</f>
        <v>146.79</v>
      </c>
      <c r="G6" s="10">
        <f>IF(B6&lt;&gt;"",B6-C6-D6-E6-F6,"")</f>
        <v>-36.789999999999992</v>
      </c>
      <c r="H6" s="12" t="str">
        <f>A6</f>
        <v>Food/Bunnies/Toiletries</v>
      </c>
      <c r="I6">
        <f>IF(G6&lt;0,G6*-1,0)</f>
        <v>36.789999999999992</v>
      </c>
    </row>
    <row r="7" spans="1:11" ht="18" outlineLevel="1">
      <c r="A7" s="105" t="s">
        <v>170</v>
      </c>
      <c r="B7" s="10">
        <v>100</v>
      </c>
      <c r="C7" s="10">
        <v>100</v>
      </c>
      <c r="D7" s="10"/>
      <c r="E7" s="10"/>
      <c r="F7" s="10">
        <f>21.45+6.55+5.8</f>
        <v>33.799999999999997</v>
      </c>
      <c r="G7" s="10">
        <f>IF(B7&lt;&gt;"",B7-C7-D7-E7-F7,"")</f>
        <v>-33.799999999999997</v>
      </c>
      <c r="H7" s="12" t="str">
        <f>A7</f>
        <v>Gift Fund</v>
      </c>
      <c r="I7">
        <f>IF(G7&lt;0,G7*-1,0)</f>
        <v>33.799999999999997</v>
      </c>
    </row>
    <row r="8" spans="1:11" ht="18" outlineLevel="1">
      <c r="A8" s="105" t="s">
        <v>171</v>
      </c>
      <c r="B8" s="10">
        <v>720</v>
      </c>
      <c r="C8" s="10">
        <v>720</v>
      </c>
      <c r="D8" s="10"/>
      <c r="E8" s="10"/>
      <c r="F8" s="10"/>
      <c r="G8" s="10">
        <f>IF(B8&lt;&gt;"",B8-C8-D8-E8-F8,"")</f>
        <v>0</v>
      </c>
      <c r="H8" s="12" t="str">
        <f>A8</f>
        <v>Holiday Fund</v>
      </c>
      <c r="I8">
        <f>IF(G8&lt;0,G8*-1,0)</f>
        <v>0</v>
      </c>
    </row>
    <row r="9" spans="1:11" ht="18" outlineLevel="1">
      <c r="A9" s="105" t="s">
        <v>632</v>
      </c>
      <c r="B9" s="10">
        <v>100</v>
      </c>
      <c r="C9" s="10">
        <f>27.43+11.99</f>
        <v>39.42</v>
      </c>
      <c r="D9" s="10"/>
      <c r="E9" s="10"/>
      <c r="F9" s="10">
        <f>8.3+7.53+2.2+4.75+4.9+2.3+30+0.99+12.05+2.99</f>
        <v>76.010000000000005</v>
      </c>
      <c r="G9" s="10">
        <f>IF(B9&lt;&gt;"",B9-C9-D9-E9-F9,"")</f>
        <v>-15.430000000000007</v>
      </c>
      <c r="H9" s="12" t="str">
        <f>A9</f>
        <v>Shared</v>
      </c>
      <c r="I9">
        <f>IF(G9&lt;0,G9*-1,0)</f>
        <v>15.430000000000007</v>
      </c>
    </row>
    <row r="10" spans="1:11" ht="18" outlineLevel="1">
      <c r="A10" s="105" t="s">
        <v>633</v>
      </c>
      <c r="B10" s="10">
        <f>IF(B36 &lt;&gt; 0,B36-B4-B12,0)</f>
        <v>575.38999999999987</v>
      </c>
      <c r="C10" s="10">
        <f>70.92</f>
        <v>70.92</v>
      </c>
      <c r="D10" s="10">
        <f>153.5+53</f>
        <v>206.5</v>
      </c>
      <c r="E10" s="10">
        <f>29.05+4.49+0.85+4.78</f>
        <v>39.17</v>
      </c>
      <c r="F10" s="10">
        <f>1.99+18+170</f>
        <v>189.99</v>
      </c>
      <c r="G10" s="10">
        <f>IF(B10&lt;&gt;"",B10-C10-D10-E10-F10-I4,"")</f>
        <v>-1.7800000000001575</v>
      </c>
      <c r="H10" s="12" t="s">
        <v>172</v>
      </c>
      <c r="I10" s="11"/>
      <c r="J10" s="11"/>
    </row>
    <row r="11" spans="1:11" ht="18">
      <c r="A11" s="185"/>
      <c r="B11" s="10"/>
      <c r="C11" s="10"/>
      <c r="D11" s="10"/>
      <c r="E11" s="10"/>
      <c r="F11" s="10"/>
      <c r="G11" s="10"/>
      <c r="H11" s="9"/>
      <c r="J11" s="11"/>
    </row>
    <row r="12" spans="1:11" ht="18">
      <c r="A12" s="177" t="s">
        <v>422</v>
      </c>
      <c r="B12" s="183">
        <f>B13+B20+B30+B34</f>
        <v>1215.6100000000001</v>
      </c>
      <c r="C12" s="10"/>
      <c r="D12" s="10"/>
      <c r="E12" s="10"/>
      <c r="F12" s="10"/>
      <c r="G12" s="234">
        <f>ROUND(SUM(G13,G20,G30,G34),2)</f>
        <v>654.88</v>
      </c>
      <c r="H12" s="237" t="s">
        <v>10</v>
      </c>
      <c r="I12" s="11"/>
    </row>
    <row r="13" spans="1:11" ht="18">
      <c r="A13" s="105" t="s">
        <v>594</v>
      </c>
      <c r="B13" s="183">
        <f>SUM(B14:B18)</f>
        <v>835.66</v>
      </c>
      <c r="C13" s="10"/>
      <c r="D13" s="10"/>
      <c r="E13" s="10"/>
      <c r="F13" s="10"/>
      <c r="G13" s="235">
        <f>IF(B13&lt;&gt;"",SUM(G14:G18),0)</f>
        <v>569.79</v>
      </c>
      <c r="H13" s="236" t="str">
        <f t="shared" ref="H13:H18" si="0">A13</f>
        <v>House Outgoings</v>
      </c>
    </row>
    <row r="14" spans="1:11" ht="18" outlineLevel="2">
      <c r="A14" s="13" t="s">
        <v>595</v>
      </c>
      <c r="B14" s="184">
        <v>452.64</v>
      </c>
      <c r="C14" s="10"/>
      <c r="D14" s="10"/>
      <c r="E14" s="10"/>
      <c r="F14" s="10"/>
      <c r="G14" s="10">
        <f>IF(B14&lt;&gt;"",B14-C14-D14-E14-F14,"")</f>
        <v>452.64</v>
      </c>
      <c r="H14" s="12" t="str">
        <f t="shared" si="0"/>
        <v>Mortgage</v>
      </c>
      <c r="I14">
        <f>IF(G14&lt;0,G14*-1,0)</f>
        <v>0</v>
      </c>
    </row>
    <row r="15" spans="1:11" ht="18" outlineLevel="2">
      <c r="A15" s="13" t="s">
        <v>596</v>
      </c>
      <c r="B15" s="184">
        <v>187</v>
      </c>
      <c r="C15" s="10"/>
      <c r="D15" s="10"/>
      <c r="E15" s="10"/>
      <c r="F15" s="10">
        <v>187</v>
      </c>
      <c r="G15" s="10">
        <f>IF(B15&lt;&gt;"",B15-C15-D15-E15-F15,"")</f>
        <v>0</v>
      </c>
      <c r="H15" s="12" t="str">
        <f t="shared" si="0"/>
        <v>Council tax</v>
      </c>
      <c r="I15">
        <f>IF(G15&lt;0,G15*-1,0)</f>
        <v>0</v>
      </c>
      <c r="J15" s="11"/>
      <c r="K15" s="238"/>
    </row>
    <row r="16" spans="1:11" ht="18" outlineLevel="2">
      <c r="A16" s="13" t="s">
        <v>634</v>
      </c>
      <c r="B16" s="184">
        <f>17+55+38.87</f>
        <v>110.87</v>
      </c>
      <c r="C16" s="10"/>
      <c r="D16" s="10"/>
      <c r="E16" s="10"/>
      <c r="F16" s="10">
        <v>38.869999999999997</v>
      </c>
      <c r="G16" s="10">
        <f>IF(B16&lt;&gt;"",B16-C16-D16-E16-F16,"")</f>
        <v>72</v>
      </c>
      <c r="H16" s="12" t="str">
        <f t="shared" si="0"/>
        <v>Utilities</v>
      </c>
      <c r="I16">
        <f>IF(G16&lt;0,G16*-1,0)</f>
        <v>0</v>
      </c>
    </row>
    <row r="17" spans="1:9" ht="18" outlineLevel="2">
      <c r="A17" s="13" t="s">
        <v>600</v>
      </c>
      <c r="B17" s="184">
        <f>4.52+15.97+8.56+16.1</f>
        <v>45.150000000000006</v>
      </c>
      <c r="C17" s="10"/>
      <c r="D17" s="10"/>
      <c r="E17" s="10"/>
      <c r="F17" s="10"/>
      <c r="G17" s="10">
        <f>IF(B17&lt;&gt;"",B17-C17-D17-E17-F17,"")</f>
        <v>45.150000000000006</v>
      </c>
      <c r="H17" s="12" t="str">
        <f t="shared" si="0"/>
        <v>Insurance</v>
      </c>
      <c r="I17">
        <f>IF(G17&lt;0,G17*-1,0)</f>
        <v>0</v>
      </c>
    </row>
    <row r="18" spans="1:9" ht="18" outlineLevel="2">
      <c r="A18" s="13" t="s">
        <v>611</v>
      </c>
      <c r="B18" s="184">
        <v>40</v>
      </c>
      <c r="C18" s="10">
        <v>40</v>
      </c>
      <c r="D18" s="10"/>
      <c r="E18" s="10"/>
      <c r="F18" s="10"/>
      <c r="G18" s="10">
        <f>IF(B18&lt;&gt;"",B18-C18-D18-E18-F18,"")</f>
        <v>0</v>
      </c>
      <c r="H18" s="12" t="str">
        <f t="shared" si="0"/>
        <v>The Range</v>
      </c>
    </row>
    <row r="19" spans="1:9" s="747" customFormat="1" ht="18" outlineLevel="2">
      <c r="A19" s="747" t="str">
        <f>IF(B19&lt;&gt;"",B19-C19-D19-E19-F19,"")</f>
        <v/>
      </c>
    </row>
    <row r="20" spans="1:9" ht="18" outlineLevel="1">
      <c r="A20" s="105" t="s">
        <v>601</v>
      </c>
      <c r="B20" s="296">
        <f>SUM(B21:B28)</f>
        <v>137.29999999999998</v>
      </c>
      <c r="C20" s="10"/>
      <c r="D20" s="10"/>
      <c r="E20" s="10"/>
      <c r="F20" s="10"/>
      <c r="G20" s="235">
        <f>IF(B20&lt;&gt;"",SUM(G21:G28),0)</f>
        <v>0</v>
      </c>
      <c r="H20" s="236" t="str">
        <f t="shared" ref="H20:H28" si="1">A20</f>
        <v>Tech</v>
      </c>
      <c r="I20" s="11"/>
    </row>
    <row r="21" spans="1:9" ht="18" hidden="1" outlineLevel="2">
      <c r="A21" s="13" t="s">
        <v>602</v>
      </c>
      <c r="B21" s="33">
        <v>38.49</v>
      </c>
      <c r="C21" s="10">
        <v>38.49</v>
      </c>
      <c r="D21" s="10"/>
      <c r="E21" s="10"/>
      <c r="F21" s="10"/>
      <c r="G21" s="10">
        <f t="shared" ref="G21:G28" si="2">IF(B21&lt;&gt;"",B21-C21-D21-E21-F21,"")</f>
        <v>0</v>
      </c>
      <c r="H21" s="12" t="str">
        <f t="shared" si="1"/>
        <v>Broadband / TV</v>
      </c>
      <c r="I21">
        <f t="shared" ref="I21:I28" si="3">IF(G21&lt;0,G21*-1,0)</f>
        <v>0</v>
      </c>
    </row>
    <row r="22" spans="1:9" ht="18" hidden="1" outlineLevel="2">
      <c r="A22" s="13" t="s">
        <v>587</v>
      </c>
      <c r="B22" s="33">
        <f>7.99+9.99</f>
        <v>17.98</v>
      </c>
      <c r="C22" s="10">
        <v>7.99</v>
      </c>
      <c r="D22" s="10">
        <v>9.99</v>
      </c>
      <c r="E22" s="10"/>
      <c r="F22" s="10"/>
      <c r="G22" s="10">
        <f t="shared" si="2"/>
        <v>0</v>
      </c>
      <c r="H22" s="12" t="str">
        <f t="shared" si="1"/>
        <v>Sky Movies (14th)</v>
      </c>
      <c r="I22">
        <f t="shared" si="3"/>
        <v>0</v>
      </c>
    </row>
    <row r="23" spans="1:9" ht="18" hidden="1" outlineLevel="2">
      <c r="A23" s="13" t="s">
        <v>582</v>
      </c>
      <c r="B23" s="33">
        <v>7.99</v>
      </c>
      <c r="C23" s="10">
        <v>7.99</v>
      </c>
      <c r="D23" s="10"/>
      <c r="E23" s="10"/>
      <c r="F23" s="10"/>
      <c r="G23" s="10">
        <f t="shared" si="2"/>
        <v>0</v>
      </c>
      <c r="H23" s="12" t="str">
        <f t="shared" si="1"/>
        <v>Onedrive (6th)</v>
      </c>
      <c r="I23">
        <f t="shared" si="3"/>
        <v>0</v>
      </c>
    </row>
    <row r="24" spans="1:9" ht="18" hidden="1" outlineLevel="2">
      <c r="A24" s="13" t="s">
        <v>589</v>
      </c>
      <c r="B24" s="33">
        <v>14.99</v>
      </c>
      <c r="C24" s="10"/>
      <c r="D24" s="10"/>
      <c r="E24" s="10"/>
      <c r="F24" s="10">
        <v>14.99</v>
      </c>
      <c r="G24" s="10">
        <f t="shared" si="2"/>
        <v>0</v>
      </c>
      <c r="H24" s="12" t="str">
        <f t="shared" si="1"/>
        <v>Music</v>
      </c>
      <c r="I24">
        <f t="shared" si="3"/>
        <v>0</v>
      </c>
    </row>
    <row r="25" spans="1:9" ht="18" hidden="1" outlineLevel="2" collapsed="1">
      <c r="A25" s="13" t="s">
        <v>603</v>
      </c>
      <c r="B25" s="33">
        <v>23.86</v>
      </c>
      <c r="C25" s="10">
        <v>23.86</v>
      </c>
      <c r="D25" s="10"/>
      <c r="E25" s="10"/>
      <c r="F25" s="10"/>
      <c r="G25" s="10">
        <f t="shared" si="2"/>
        <v>0</v>
      </c>
      <c r="H25" s="12" t="str">
        <f t="shared" si="1"/>
        <v>Matt Phone  (21st)</v>
      </c>
      <c r="I25">
        <f t="shared" si="3"/>
        <v>0</v>
      </c>
    </row>
    <row r="26" spans="1:9" ht="18" hidden="1" outlineLevel="2">
      <c r="A26" s="13" t="s">
        <v>662</v>
      </c>
      <c r="B26" s="33">
        <v>2</v>
      </c>
      <c r="C26" s="10"/>
      <c r="D26" s="10"/>
      <c r="E26" s="10"/>
      <c r="F26" s="10">
        <v>2</v>
      </c>
      <c r="G26" s="10">
        <f t="shared" si="2"/>
        <v>0</v>
      </c>
      <c r="H26" s="12" t="str">
        <f t="shared" si="1"/>
        <v>Xbox</v>
      </c>
      <c r="I26">
        <f t="shared" si="3"/>
        <v>0</v>
      </c>
    </row>
    <row r="27" spans="1:9" ht="18" hidden="1" outlineLevel="2">
      <c r="A27" s="13" t="s">
        <v>654</v>
      </c>
      <c r="B27" s="33">
        <v>3.99</v>
      </c>
      <c r="C27" s="10">
        <v>3.99</v>
      </c>
      <c r="D27" s="10"/>
      <c r="E27" s="10"/>
      <c r="F27" s="10"/>
      <c r="G27" s="10">
        <f t="shared" si="2"/>
        <v>0</v>
      </c>
      <c r="H27" s="12" t="str">
        <f t="shared" si="1"/>
        <v>Audible</v>
      </c>
      <c r="I27">
        <f t="shared" si="3"/>
        <v>0</v>
      </c>
    </row>
    <row r="28" spans="1:9" ht="18" hidden="1" outlineLevel="2">
      <c r="A28" s="13" t="s">
        <v>661</v>
      </c>
      <c r="B28" s="33">
        <v>28</v>
      </c>
      <c r="C28" s="10"/>
      <c r="D28" s="10"/>
      <c r="E28" s="10"/>
      <c r="F28" s="10">
        <v>28</v>
      </c>
      <c r="G28" s="10">
        <f t="shared" si="2"/>
        <v>0</v>
      </c>
      <c r="H28" s="12" t="str">
        <f t="shared" si="1"/>
        <v>Kindle</v>
      </c>
      <c r="I28">
        <f t="shared" si="3"/>
        <v>0</v>
      </c>
    </row>
    <row r="29" spans="1:9" s="747" customFormat="1" ht="18" hidden="1" outlineLevel="2">
      <c r="A29" s="747" t="str">
        <f>IF(B29&lt;&gt;"",B29-C29-D29-E29-F29,"")</f>
        <v/>
      </c>
    </row>
    <row r="30" spans="1:9" ht="18" outlineLevel="1" collapsed="1">
      <c r="A30" s="105" t="s">
        <v>183</v>
      </c>
      <c r="B30" s="296">
        <f>SUM(B31:B32)</f>
        <v>126</v>
      </c>
      <c r="C30" s="10"/>
      <c r="D30" s="10"/>
      <c r="E30" s="10"/>
      <c r="F30" s="10"/>
      <c r="G30" s="235">
        <f>IF(B30&lt;&gt;"",SUM(G31:G32),0)</f>
        <v>0</v>
      </c>
      <c r="H30" s="236" t="str">
        <f>A30</f>
        <v>Savings</v>
      </c>
    </row>
    <row r="31" spans="1:9" ht="18" hidden="1" outlineLevel="2">
      <c r="A31" s="13" t="s">
        <v>590</v>
      </c>
      <c r="B31" s="33">
        <v>100</v>
      </c>
      <c r="C31" s="10">
        <v>100</v>
      </c>
      <c r="D31" s="10"/>
      <c r="E31" s="10"/>
      <c r="F31" s="10"/>
      <c r="G31" s="10">
        <f>IF(B31&lt;&gt;"",B31-C31-D31-E31-F31,"")</f>
        <v>0</v>
      </c>
      <c r="H31" s="12" t="str">
        <f>A31</f>
        <v>Contingency</v>
      </c>
      <c r="I31">
        <f>IF(G31&lt;0,G31*-1,0)</f>
        <v>0</v>
      </c>
    </row>
    <row r="32" spans="1:9" ht="18" hidden="1" outlineLevel="2">
      <c r="A32" s="13" t="s">
        <v>591</v>
      </c>
      <c r="B32" s="33">
        <v>26</v>
      </c>
      <c r="C32" s="10">
        <v>1</v>
      </c>
      <c r="D32" s="10"/>
      <c r="E32" s="10"/>
      <c r="F32" s="10">
        <v>25</v>
      </c>
      <c r="G32" s="10">
        <f>IF(B32&lt;&gt;"",B32-C32-D32-E32-F32,"")</f>
        <v>0</v>
      </c>
      <c r="H32" s="12" t="str">
        <f>A32</f>
        <v>HTB</v>
      </c>
      <c r="I32">
        <f>IF(G32&lt;0,G32*-1,0)</f>
        <v>0</v>
      </c>
    </row>
    <row r="33" spans="1:9" s="748" customFormat="1" ht="18" hidden="1" outlineLevel="2"/>
    <row r="34" spans="1:9" ht="18" outlineLevel="1" collapsed="1">
      <c r="A34" s="105" t="s">
        <v>606</v>
      </c>
      <c r="B34" s="46">
        <f>89.09+27.56</f>
        <v>116.65</v>
      </c>
      <c r="C34" s="10">
        <f>27.56+4</f>
        <v>31.56</v>
      </c>
      <c r="D34" s="10"/>
      <c r="E34" s="10"/>
      <c r="F34" s="10"/>
      <c r="G34" s="296">
        <f>IF(B34&lt;&gt;"",B34-C34-D34-E34-F34,"")</f>
        <v>85.09</v>
      </c>
      <c r="H34" s="12" t="str">
        <f>A34</f>
        <v>Car</v>
      </c>
      <c r="I34">
        <f>IF(G34&lt;0,G34*-1,0)</f>
        <v>0</v>
      </c>
    </row>
    <row r="35" spans="1:9" ht="18">
      <c r="A35" s="208"/>
      <c r="B35" s="10"/>
      <c r="C35" s="10"/>
      <c r="D35" s="10"/>
      <c r="E35" s="10"/>
      <c r="F35" s="10"/>
      <c r="G35" s="10"/>
      <c r="H35" s="48"/>
    </row>
    <row r="36" spans="1:9" ht="18">
      <c r="A36" s="179" t="s">
        <v>186</v>
      </c>
      <c r="B36" s="296">
        <f>SUM(C36:F36)</f>
        <v>2992</v>
      </c>
      <c r="C36" s="26">
        <f>1770.21+1000+37.99</f>
        <v>2808.2</v>
      </c>
      <c r="D36" s="26"/>
      <c r="E36" s="27"/>
      <c r="F36" s="36">
        <f>33.8+150</f>
        <v>183.8</v>
      </c>
      <c r="G36" s="46" t="str">
        <f>ROUND(SUM(G4,G10,G12),2) +I4 &amp; " / " &amp; B36</f>
        <v>637.67 / 2992</v>
      </c>
      <c r="H36" s="10"/>
      <c r="I36" s="11"/>
    </row>
    <row r="37" spans="1:9" ht="18">
      <c r="A37" s="24"/>
      <c r="B37" s="10"/>
      <c r="C37" s="49"/>
      <c r="D37" s="26"/>
      <c r="E37" s="23"/>
      <c r="F37" s="25"/>
      <c r="G37" s="79"/>
      <c r="H37" s="11"/>
    </row>
    <row r="38" spans="1:9" ht="18">
      <c r="A38" s="17"/>
      <c r="B38" s="17"/>
      <c r="C38" s="59"/>
      <c r="D38" s="16"/>
      <c r="E38" s="16"/>
      <c r="F38" s="244"/>
      <c r="H38">
        <f>654.88-652.88</f>
        <v>2</v>
      </c>
    </row>
    <row r="39" spans="1:9" ht="18">
      <c r="A39" s="17"/>
      <c r="B39" s="17"/>
      <c r="C39" s="110"/>
      <c r="D39" s="54"/>
      <c r="E39" s="16"/>
      <c r="F39" s="244"/>
    </row>
    <row r="40" spans="1:9" ht="18">
      <c r="A40" s="17"/>
      <c r="B40" s="17"/>
      <c r="C40" s="184"/>
      <c r="E40" s="43"/>
      <c r="F40" s="244"/>
      <c r="H40" s="11"/>
    </row>
    <row r="41" spans="1:9" ht="18">
      <c r="A41" s="20"/>
      <c r="B41" s="11"/>
      <c r="E41" s="11"/>
      <c r="F41" s="11"/>
    </row>
    <row r="42" spans="1:9">
      <c r="B42" s="11"/>
      <c r="E42" s="11"/>
      <c r="F42" s="11"/>
      <c r="G42" s="11"/>
    </row>
    <row r="43" spans="1:9">
      <c r="B43" s="11"/>
      <c r="E43" s="11"/>
      <c r="F43" s="11"/>
      <c r="G43" s="11"/>
    </row>
    <row r="44" spans="1:9" ht="18">
      <c r="B44" s="10"/>
      <c r="C44" s="242"/>
      <c r="E44" s="11">
        <f>711</f>
        <v>711</v>
      </c>
      <c r="F44" s="11"/>
      <c r="G44" s="11"/>
    </row>
    <row r="45" spans="1:9" ht="18">
      <c r="B45" s="10"/>
      <c r="C45" s="184"/>
      <c r="D45" s="11">
        <f>E45-81</f>
        <v>361.57</v>
      </c>
      <c r="E45" s="11">
        <f>E44-268.43</f>
        <v>442.57</v>
      </c>
      <c r="F45" s="11"/>
      <c r="G45" s="243"/>
    </row>
    <row r="46" spans="1:9" ht="18">
      <c r="B46" s="10"/>
      <c r="C46" s="184"/>
      <c r="E46" s="11">
        <f>E45-F46</f>
        <v>192.57</v>
      </c>
      <c r="F46" s="11">
        <v>250</v>
      </c>
      <c r="G46" s="11"/>
    </row>
    <row r="47" spans="1:9" ht="18">
      <c r="B47" s="10"/>
      <c r="C47" s="11"/>
      <c r="E47" s="11">
        <f t="shared" ref="E47:E48" si="4">E46-F47</f>
        <v>92.57</v>
      </c>
      <c r="F47" s="11">
        <v>100</v>
      </c>
      <c r="G47" s="11"/>
    </row>
    <row r="48" spans="1:9" ht="18">
      <c r="B48" s="10"/>
      <c r="C48" s="11"/>
      <c r="D48">
        <f>250-169</f>
        <v>81</v>
      </c>
      <c r="E48" s="11">
        <f t="shared" si="4"/>
        <v>-7.4300000000000068</v>
      </c>
      <c r="F48" s="11">
        <v>100</v>
      </c>
      <c r="G48" s="238"/>
    </row>
    <row r="49" spans="2:8" ht="18">
      <c r="B49" s="10"/>
      <c r="E49" s="11"/>
      <c r="F49" s="11"/>
      <c r="G49" s="11"/>
    </row>
    <row r="50" spans="2:8" ht="18">
      <c r="B50" s="10"/>
      <c r="G50" s="11"/>
    </row>
    <row r="51" spans="2:8" ht="18">
      <c r="B51" s="10"/>
      <c r="G51" s="11"/>
    </row>
    <row r="53" spans="2:8">
      <c r="H53" s="11"/>
    </row>
  </sheetData>
  <mergeCells count="3">
    <mergeCell ref="A19:XFD19"/>
    <mergeCell ref="A29:XFD29"/>
    <mergeCell ref="A33:XFD33"/>
  </mergeCells>
  <conditionalFormatting sqref="G5:G10">
    <cfRule type="cellIs" dxfId="114" priority="5" operator="lessThan">
      <formula>0</formula>
    </cfRule>
    <cfRule type="cellIs" dxfId="113" priority="6" operator="equal">
      <formula>0</formula>
    </cfRule>
    <cfRule type="cellIs" dxfId="112" priority="7" operator="greaterThan">
      <formula>0</formula>
    </cfRule>
  </conditionalFormatting>
  <conditionalFormatting sqref="G13:G18 G20:G28 G30:G32 G34">
    <cfRule type="cellIs" dxfId="111" priority="8" operator="equal">
      <formula>0</formula>
    </cfRule>
    <cfRule type="cellIs" dxfId="110" priority="9" operator="lessThan">
      <formula>0</formula>
    </cfRule>
    <cfRule type="cellIs" dxfId="109" priority="10"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4" operator="containsText" id="{0297250D-00C7-B843-A353-E3BD3E10E2FC}">
            <xm:f>NOT(ISERROR(SEARCH("-",G36)))</xm:f>
            <xm:f>"-"</xm:f>
            <x14:dxf>
              <font>
                <color rgb="FF9C0006"/>
              </font>
              <fill>
                <patternFill>
                  <bgColor rgb="FFFFC7CE"/>
                </patternFill>
              </fill>
            </x14:dxf>
          </x14:cfRule>
          <xm:sqref>G36</xm:sqref>
        </x14:conditionalFormatting>
      </x14:conditionalFormatting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0A824-B504-471E-A161-BEBF05F948B6}">
  <sheetPr codeName="Sheet55"/>
  <dimension ref="A1:K56"/>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20.44140625" customWidth="1"/>
    <col min="10" max="10" width="12" bestFit="1" customWidth="1"/>
  </cols>
  <sheetData>
    <row r="1" spans="1:11" ht="18">
      <c r="A1" s="180" t="s">
        <v>576</v>
      </c>
      <c r="B1" s="13" t="s">
        <v>164</v>
      </c>
      <c r="C1" s="44" t="str">
        <f>"20/02/19 - 26/02/19"</f>
        <v>20/02/19 - 26/02/19</v>
      </c>
      <c r="D1" s="44" t="str">
        <f>TEXT(DATEVALUE(RIGHT(C1,8))+1,"dd/mm/yy")&amp; " - "&amp; TEXT(DATEVALUE(RIGHT(C1,8))+7,"dd/mm/yy")</f>
        <v>27/02/19 - 05/03/19</v>
      </c>
      <c r="E1" s="44" t="str">
        <f>TEXT(DATEVALUE(RIGHT(D1,8))+1,"dd/mm/yy")&amp; " - "&amp; TEXT(DATEVALUE(RIGHT(D1,8))+7,"dd/mm/yy")</f>
        <v>06/03/19 - 12/03/19</v>
      </c>
      <c r="F1" s="44" t="str">
        <f>TEXT(DATEVALUE(RIGHT(E1,8))+1,"dd/mm/yy")&amp; " - "&amp; TEXT(DATEVALUE(RIGHT(E1,8))+7,"dd/mm/yy")</f>
        <v>13/03/19 - 19/03/19</v>
      </c>
      <c r="G1" s="12" t="s">
        <v>10</v>
      </c>
      <c r="H1" s="9"/>
    </row>
    <row r="2" spans="1:11" ht="18">
      <c r="A2" s="13" t="s">
        <v>165</v>
      </c>
      <c r="B2" s="10">
        <f>SUM(B4,B13)</f>
        <v>2826.3</v>
      </c>
      <c r="C2" s="296">
        <f>SUM(C5:C24)</f>
        <v>1970.97</v>
      </c>
      <c r="D2" s="296">
        <f>SUM(D5:D24)</f>
        <v>1105.49</v>
      </c>
      <c r="E2" s="296">
        <f>SUM(E5:E24)</f>
        <v>239</v>
      </c>
      <c r="F2" s="296">
        <f>SUM(F5:F24)</f>
        <v>0</v>
      </c>
      <c r="G2" s="10"/>
      <c r="H2" s="9"/>
    </row>
    <row r="3" spans="1:11" ht="18">
      <c r="A3" s="250"/>
      <c r="B3" s="10"/>
      <c r="C3" s="296"/>
      <c r="D3" s="296"/>
      <c r="E3" s="296"/>
      <c r="F3" s="296"/>
      <c r="G3" s="10"/>
      <c r="H3" s="9"/>
    </row>
    <row r="4" spans="1:11" ht="18">
      <c r="A4" s="178" t="s">
        <v>166</v>
      </c>
      <c r="B4" s="183">
        <f>SUM(B5:B10)</f>
        <v>1621.54</v>
      </c>
      <c r="C4" s="296"/>
      <c r="D4" s="296"/>
      <c r="E4" s="296"/>
      <c r="F4" s="296"/>
      <c r="G4" s="184">
        <f>ROUND(SUM(G5:G10),2)</f>
        <v>-566.02</v>
      </c>
      <c r="H4" s="9" t="s">
        <v>10</v>
      </c>
      <c r="I4">
        <f>SUM(I5:I8)+SUM(I15:I18)+SUM(I22:I26)+SUM(I32:I33)+SUM(I35:I35)</f>
        <v>565.9</v>
      </c>
    </row>
    <row r="5" spans="1:11" ht="18" outlineLevel="1">
      <c r="A5" s="105" t="s">
        <v>167</v>
      </c>
      <c r="B5" s="17">
        <v>260</v>
      </c>
      <c r="C5" s="10">
        <f>250+22.2+20</f>
        <v>292.2</v>
      </c>
      <c r="D5" s="10">
        <v>30</v>
      </c>
      <c r="E5" s="10">
        <v>52</v>
      </c>
      <c r="F5" s="10"/>
      <c r="G5" s="10">
        <f t="shared" ref="G5:G10" si="0">IF(B5&lt;&gt;"",B5-C5-D5-E5-F5,"")</f>
        <v>-114.19999999999999</v>
      </c>
      <c r="H5" s="12" t="str">
        <f t="shared" ref="H5:H10" si="1">A5</f>
        <v xml:space="preserve">Car Petrol </v>
      </c>
      <c r="I5">
        <f t="shared" ref="I5:I10" si="2">IF(G5&lt;0,G5*-1,0)</f>
        <v>114.19999999999999</v>
      </c>
    </row>
    <row r="6" spans="1:11" ht="18" outlineLevel="1">
      <c r="A6" s="105" t="s">
        <v>577</v>
      </c>
      <c r="B6" s="10">
        <v>0</v>
      </c>
      <c r="C6" s="10">
        <f>10+9.47</f>
        <v>19.47</v>
      </c>
      <c r="D6" s="10">
        <f>30+30+10</f>
        <v>70</v>
      </c>
      <c r="E6" s="10"/>
      <c r="F6" s="10"/>
      <c r="G6" s="10">
        <f t="shared" si="0"/>
        <v>-89.47</v>
      </c>
      <c r="H6" s="12" t="str">
        <f t="shared" si="1"/>
        <v>Food/Bunnies/Toiletries</v>
      </c>
      <c r="I6">
        <f t="shared" si="2"/>
        <v>89.47</v>
      </c>
    </row>
    <row r="7" spans="1:11" ht="18" outlineLevel="1">
      <c r="A7" s="105" t="s">
        <v>170</v>
      </c>
      <c r="B7" s="10">
        <v>150</v>
      </c>
      <c r="C7" s="10">
        <v>150</v>
      </c>
      <c r="D7" s="10">
        <v>50.15</v>
      </c>
      <c r="E7" s="10"/>
      <c r="F7" s="10"/>
      <c r="G7" s="10">
        <f t="shared" si="0"/>
        <v>-50.15</v>
      </c>
      <c r="H7" s="12" t="str">
        <f t="shared" si="1"/>
        <v>Gift Fund</v>
      </c>
      <c r="I7">
        <f t="shared" si="2"/>
        <v>50.15</v>
      </c>
    </row>
    <row r="8" spans="1:11" ht="18" outlineLevel="1">
      <c r="A8" s="105" t="s">
        <v>171</v>
      </c>
      <c r="B8" s="10">
        <v>400</v>
      </c>
      <c r="C8" s="10">
        <v>400</v>
      </c>
      <c r="D8" s="10">
        <v>312.08</v>
      </c>
      <c r="E8" s="10"/>
      <c r="F8" s="10"/>
      <c r="G8" s="10">
        <f t="shared" si="0"/>
        <v>-312.08</v>
      </c>
      <c r="H8" s="12" t="str">
        <f t="shared" si="1"/>
        <v>Holiday Fund</v>
      </c>
      <c r="I8">
        <f t="shared" si="2"/>
        <v>312.08</v>
      </c>
    </row>
    <row r="9" spans="1:11" ht="18" outlineLevel="1">
      <c r="A9" s="105" t="s">
        <v>632</v>
      </c>
      <c r="B9" s="10">
        <v>100</v>
      </c>
      <c r="C9" s="10">
        <f>14.03+8.25+15+11.95+6</f>
        <v>55.230000000000004</v>
      </c>
      <c r="D9" s="10">
        <f>4.99+5+28.05+6.85</f>
        <v>44.89</v>
      </c>
      <c r="E9" s="10"/>
      <c r="F9" s="10"/>
      <c r="G9" s="10">
        <f t="shared" si="0"/>
        <v>-0.12000000000000455</v>
      </c>
      <c r="H9" s="12" t="str">
        <f t="shared" si="1"/>
        <v>Shared</v>
      </c>
      <c r="I9">
        <f t="shared" si="2"/>
        <v>0.12000000000000455</v>
      </c>
    </row>
    <row r="10" spans="1:11" ht="18" outlineLevel="1">
      <c r="A10" s="105" t="s">
        <v>663</v>
      </c>
      <c r="B10" s="10">
        <v>711.54</v>
      </c>
      <c r="C10" s="10">
        <v>711.54</v>
      </c>
      <c r="D10" s="10"/>
      <c r="E10" s="10"/>
      <c r="F10" s="10"/>
      <c r="G10" s="10">
        <f t="shared" si="0"/>
        <v>0</v>
      </c>
      <c r="H10" s="12" t="str">
        <f t="shared" si="1"/>
        <v>Credit Card</v>
      </c>
      <c r="I10">
        <f t="shared" si="2"/>
        <v>0</v>
      </c>
    </row>
    <row r="11" spans="1:11" ht="18" outlineLevel="1">
      <c r="A11" s="105" t="s">
        <v>633</v>
      </c>
      <c r="B11" s="10">
        <f>IF(B39 &lt;&gt; 0,B39-B4-B13,0)</f>
        <v>1349.4600000000003</v>
      </c>
      <c r="C11" s="10">
        <f>19+4.5+60.05+114.1+25.05+15.45+16.9</f>
        <v>255.04999999999998</v>
      </c>
      <c r="D11" s="10">
        <f>2.29+540+38.1</f>
        <v>580.39</v>
      </c>
      <c r="E11" s="10"/>
      <c r="F11" s="10"/>
      <c r="G11" s="10">
        <f>IF(B11&lt;&gt;"",B11-C11-D11-E11-F11-I4,"")</f>
        <v>-51.879999999999654</v>
      </c>
      <c r="H11" s="12" t="s">
        <v>172</v>
      </c>
      <c r="I11" s="11"/>
      <c r="J11" s="11"/>
    </row>
    <row r="12" spans="1:11" ht="18">
      <c r="A12" s="185"/>
      <c r="B12" s="10"/>
      <c r="C12" s="10"/>
      <c r="D12" s="10"/>
      <c r="E12" s="10"/>
      <c r="F12" s="10"/>
      <c r="G12" s="10"/>
      <c r="H12" s="9"/>
      <c r="J12" s="11"/>
    </row>
    <row r="13" spans="1:11" ht="18">
      <c r="A13" s="177" t="s">
        <v>422</v>
      </c>
      <c r="B13" s="183">
        <f>B14+B21+B31+B35</f>
        <v>1204.76</v>
      </c>
      <c r="C13" s="10"/>
      <c r="D13" s="10"/>
      <c r="E13" s="10"/>
      <c r="F13" s="10"/>
      <c r="G13" s="234">
        <f>ROUND(SUM(G14,G21,G31,G35),2)</f>
        <v>696.75</v>
      </c>
      <c r="H13" s="237" t="s">
        <v>10</v>
      </c>
      <c r="I13" s="11"/>
    </row>
    <row r="14" spans="1:11" ht="18">
      <c r="A14" s="105" t="s">
        <v>594</v>
      </c>
      <c r="B14" s="183">
        <f>SUM(B15:B19)</f>
        <v>835.66</v>
      </c>
      <c r="C14" s="10"/>
      <c r="D14" s="10"/>
      <c r="E14" s="10"/>
      <c r="F14" s="10"/>
      <c r="G14" s="235">
        <f>IF(B14&lt;&gt;"",SUM(G15:G19),0)</f>
        <v>607.66</v>
      </c>
      <c r="H14" s="236" t="str">
        <f t="shared" ref="H14:H19" si="3">A14</f>
        <v>House Outgoings</v>
      </c>
    </row>
    <row r="15" spans="1:11" ht="18" outlineLevel="2">
      <c r="A15" s="13" t="s">
        <v>595</v>
      </c>
      <c r="B15" s="184">
        <v>452.64</v>
      </c>
      <c r="C15" s="10"/>
      <c r="D15" s="10"/>
      <c r="E15" s="10"/>
      <c r="F15" s="10"/>
      <c r="G15" s="10">
        <f>IF(B15&lt;&gt;"",B15-C15-D15-E15-F15,"")</f>
        <v>452.64</v>
      </c>
      <c r="H15" s="12" t="str">
        <f t="shared" si="3"/>
        <v>Mortgage</v>
      </c>
      <c r="I15">
        <f>IF(G15&lt;0,G15*-1,0)</f>
        <v>0</v>
      </c>
    </row>
    <row r="16" spans="1:11" ht="18" outlineLevel="2">
      <c r="A16" s="13" t="s">
        <v>596</v>
      </c>
      <c r="B16" s="184">
        <v>187</v>
      </c>
      <c r="C16" s="10"/>
      <c r="D16" s="10"/>
      <c r="E16" s="10">
        <v>187</v>
      </c>
      <c r="F16" s="10"/>
      <c r="G16" s="10">
        <f>IF(B16&lt;&gt;"",B16-C16-D16-E16-F16,"")</f>
        <v>0</v>
      </c>
      <c r="H16" s="12" t="str">
        <f t="shared" si="3"/>
        <v>Council tax</v>
      </c>
      <c r="I16">
        <f>IF(G16&lt;0,G16*-1,0)</f>
        <v>0</v>
      </c>
      <c r="J16" s="11"/>
      <c r="K16" s="11"/>
    </row>
    <row r="17" spans="1:9" ht="18" outlineLevel="2">
      <c r="A17" s="13" t="s">
        <v>634</v>
      </c>
      <c r="B17" s="184">
        <f>17+55+38.87</f>
        <v>110.87</v>
      </c>
      <c r="C17" s="10">
        <v>1</v>
      </c>
      <c r="D17" s="10"/>
      <c r="E17" s="10"/>
      <c r="F17" s="10"/>
      <c r="G17" s="10">
        <f>IF(B17&lt;&gt;"",B17-C17-D17-E17-F17,"")</f>
        <v>109.87</v>
      </c>
      <c r="H17" s="12" t="str">
        <f t="shared" si="3"/>
        <v>Utilities</v>
      </c>
      <c r="I17">
        <f>IF(G17&lt;0,G17*-1,0)</f>
        <v>0</v>
      </c>
    </row>
    <row r="18" spans="1:9" ht="18" outlineLevel="2">
      <c r="A18" s="13" t="s">
        <v>600</v>
      </c>
      <c r="B18" s="184">
        <f>4.52+15.97+8.56+16.1</f>
        <v>45.150000000000006</v>
      </c>
      <c r="C18" s="10"/>
      <c r="D18" s="10"/>
      <c r="E18" s="10"/>
      <c r="F18" s="10"/>
      <c r="G18" s="10">
        <f>IF(B18&lt;&gt;"",B18-C18-D18-E18-F18,"")</f>
        <v>45.150000000000006</v>
      </c>
      <c r="H18" s="12" t="str">
        <f t="shared" si="3"/>
        <v>Insurance</v>
      </c>
      <c r="I18">
        <f>IF(G18&lt;0,G18*-1,0)</f>
        <v>0</v>
      </c>
    </row>
    <row r="19" spans="1:9" ht="18" outlineLevel="2">
      <c r="A19" s="13" t="s">
        <v>611</v>
      </c>
      <c r="B19" s="184">
        <v>40</v>
      </c>
      <c r="C19" s="10">
        <v>40</v>
      </c>
      <c r="D19" s="10"/>
      <c r="E19" s="10"/>
      <c r="F19" s="10"/>
      <c r="G19" s="10">
        <f>IF(B19&lt;&gt;"",B19-C19-D19-E19-F19,"")</f>
        <v>0</v>
      </c>
      <c r="H19" s="12" t="str">
        <f t="shared" si="3"/>
        <v>The Range</v>
      </c>
    </row>
    <row r="20" spans="1:9" s="747" customFormat="1" ht="18" outlineLevel="2">
      <c r="A20" s="747" t="str">
        <f>IF(B20&lt;&gt;"",B20-C20-D20-E20-F20,"")</f>
        <v/>
      </c>
    </row>
    <row r="21" spans="1:9" ht="18" outlineLevel="1">
      <c r="A21" s="105" t="s">
        <v>601</v>
      </c>
      <c r="B21" s="296">
        <f>SUM(B22:B29)</f>
        <v>127.44999999999999</v>
      </c>
      <c r="C21" s="10"/>
      <c r="D21" s="10"/>
      <c r="E21" s="10"/>
      <c r="F21" s="10"/>
      <c r="G21" s="235">
        <f>IF(B21&lt;&gt;"",SUM(G22:G29),0)</f>
        <v>0</v>
      </c>
      <c r="H21" s="236" t="str">
        <f t="shared" ref="H21:H29" si="4">A21</f>
        <v>Tech</v>
      </c>
      <c r="I21" s="11"/>
    </row>
    <row r="22" spans="1:9" ht="18" outlineLevel="2">
      <c r="A22" s="13" t="s">
        <v>602</v>
      </c>
      <c r="B22" s="33">
        <v>38.49</v>
      </c>
      <c r="C22" s="10">
        <v>38.49</v>
      </c>
      <c r="D22" s="10"/>
      <c r="E22" s="10"/>
      <c r="F22" s="10"/>
      <c r="G22" s="10">
        <f t="shared" ref="G22:G29" si="5">IF(B22&lt;&gt;"",B22-C22-D22-E22-F22,"")</f>
        <v>0</v>
      </c>
      <c r="H22" s="12" t="str">
        <f t="shared" si="4"/>
        <v>Broadband / TV</v>
      </c>
      <c r="I22">
        <f t="shared" ref="I22:I29" si="6">IF(G22&lt;0,G22*-1,0)</f>
        <v>0</v>
      </c>
    </row>
    <row r="23" spans="1:9" ht="18" outlineLevel="2">
      <c r="A23" s="13" t="s">
        <v>587</v>
      </c>
      <c r="B23" s="33">
        <f>7.99+9.99</f>
        <v>17.98</v>
      </c>
      <c r="C23" s="10">
        <v>7.99</v>
      </c>
      <c r="D23" s="10">
        <v>9.99</v>
      </c>
      <c r="E23" s="10"/>
      <c r="F23" s="10"/>
      <c r="G23" s="10">
        <f t="shared" si="5"/>
        <v>0</v>
      </c>
      <c r="H23" s="12" t="str">
        <f t="shared" si="4"/>
        <v>Sky Movies (14th)</v>
      </c>
      <c r="I23">
        <f t="shared" si="6"/>
        <v>0</v>
      </c>
    </row>
    <row r="24" spans="1:9" ht="18" outlineLevel="2">
      <c r="A24" s="13" t="s">
        <v>582</v>
      </c>
      <c r="B24" s="33">
        <v>7.99</v>
      </c>
      <c r="C24" s="10"/>
      <c r="D24" s="10">
        <v>7.99</v>
      </c>
      <c r="E24" s="10"/>
      <c r="F24" s="10"/>
      <c r="G24" s="10">
        <f t="shared" si="5"/>
        <v>0</v>
      </c>
      <c r="H24" s="12" t="str">
        <f t="shared" si="4"/>
        <v>Onedrive (6th)</v>
      </c>
      <c r="I24">
        <f t="shared" si="6"/>
        <v>0</v>
      </c>
    </row>
    <row r="25" spans="1:9" ht="18" outlineLevel="2">
      <c r="A25" s="13" t="s">
        <v>589</v>
      </c>
      <c r="B25" s="33">
        <v>14.99</v>
      </c>
      <c r="C25" s="10"/>
      <c r="D25" s="10"/>
      <c r="E25" s="10">
        <v>14.99</v>
      </c>
      <c r="F25" s="10"/>
      <c r="G25" s="10">
        <f t="shared" si="5"/>
        <v>0</v>
      </c>
      <c r="H25" s="12" t="str">
        <f t="shared" si="4"/>
        <v>Music</v>
      </c>
      <c r="I25">
        <f t="shared" si="6"/>
        <v>0</v>
      </c>
    </row>
    <row r="26" spans="1:9" ht="18" outlineLevel="2" collapsed="1">
      <c r="A26" s="13" t="s">
        <v>603</v>
      </c>
      <c r="B26" s="33">
        <v>16.010000000000002</v>
      </c>
      <c r="C26" s="10">
        <v>16.010000000000002</v>
      </c>
      <c r="D26" s="10"/>
      <c r="E26" s="10"/>
      <c r="F26" s="10"/>
      <c r="G26" s="10">
        <f t="shared" si="5"/>
        <v>0</v>
      </c>
      <c r="H26" s="12" t="str">
        <f t="shared" si="4"/>
        <v>Matt Phone  (21st)</v>
      </c>
      <c r="I26">
        <f t="shared" si="6"/>
        <v>0</v>
      </c>
    </row>
    <row r="27" spans="1:9" ht="18" outlineLevel="2">
      <c r="A27" s="13" t="s">
        <v>662</v>
      </c>
      <c r="B27" s="33">
        <v>0</v>
      </c>
      <c r="C27" s="10"/>
      <c r="D27" s="10"/>
      <c r="E27" s="10"/>
      <c r="F27" s="10"/>
      <c r="G27" s="10">
        <f t="shared" si="5"/>
        <v>0</v>
      </c>
      <c r="H27" s="12" t="str">
        <f t="shared" si="4"/>
        <v>Xbox</v>
      </c>
      <c r="I27">
        <f t="shared" si="6"/>
        <v>0</v>
      </c>
    </row>
    <row r="28" spans="1:9" ht="18" outlineLevel="2">
      <c r="A28" s="13" t="s">
        <v>654</v>
      </c>
      <c r="B28" s="33">
        <v>3.99</v>
      </c>
      <c r="C28" s="10"/>
      <c r="D28" s="10">
        <v>3.99</v>
      </c>
      <c r="E28" s="10"/>
      <c r="F28" s="10"/>
      <c r="G28" s="10">
        <f t="shared" si="5"/>
        <v>0</v>
      </c>
      <c r="H28" s="12" t="str">
        <f t="shared" si="4"/>
        <v>Audible</v>
      </c>
      <c r="I28">
        <f t="shared" si="6"/>
        <v>0</v>
      </c>
    </row>
    <row r="29" spans="1:9" ht="18" outlineLevel="2">
      <c r="A29" s="13" t="s">
        <v>661</v>
      </c>
      <c r="B29" s="33">
        <v>28</v>
      </c>
      <c r="C29" s="10"/>
      <c r="D29" s="10">
        <v>28</v>
      </c>
      <c r="E29" s="10"/>
      <c r="F29" s="10"/>
      <c r="G29" s="10">
        <f t="shared" si="5"/>
        <v>0</v>
      </c>
      <c r="H29" s="12" t="str">
        <f t="shared" si="4"/>
        <v>Kindle</v>
      </c>
      <c r="I29">
        <f t="shared" si="6"/>
        <v>0</v>
      </c>
    </row>
    <row r="30" spans="1:9" s="747" customFormat="1" ht="18" outlineLevel="2">
      <c r="A30" s="747" t="str">
        <f>IF(B30&lt;&gt;"",B30-C30-D30-E30-F30,"")</f>
        <v/>
      </c>
    </row>
    <row r="31" spans="1:9" ht="18" outlineLevel="1">
      <c r="A31" s="105" t="s">
        <v>183</v>
      </c>
      <c r="B31" s="296">
        <f>SUM(B32:B33)</f>
        <v>125</v>
      </c>
      <c r="C31" s="10"/>
      <c r="D31" s="10"/>
      <c r="E31" s="10"/>
      <c r="F31" s="10"/>
      <c r="G31" s="235">
        <f>IF(B31&lt;&gt;"",SUM(G32:G33),0)</f>
        <v>0</v>
      </c>
      <c r="H31" s="236" t="str">
        <f>A31</f>
        <v>Savings</v>
      </c>
    </row>
    <row r="32" spans="1:9" ht="18" outlineLevel="2">
      <c r="A32" s="13" t="s">
        <v>590</v>
      </c>
      <c r="B32" s="33">
        <v>100</v>
      </c>
      <c r="C32" s="10">
        <v>100</v>
      </c>
      <c r="D32" s="10"/>
      <c r="E32" s="10"/>
      <c r="F32" s="10"/>
      <c r="G32" s="10">
        <f>IF(B32&lt;&gt;"",B32-C32-D32-E32-F32,"")</f>
        <v>0</v>
      </c>
      <c r="H32" s="12" t="str">
        <f>A32</f>
        <v>Contingency</v>
      </c>
      <c r="I32">
        <f>IF(G32&lt;0,G32*-1,0)</f>
        <v>0</v>
      </c>
    </row>
    <row r="33" spans="1:9" ht="18" outlineLevel="2">
      <c r="A33" s="13" t="s">
        <v>591</v>
      </c>
      <c r="B33" s="33">
        <v>25</v>
      </c>
      <c r="C33" s="10"/>
      <c r="D33" s="10">
        <v>25</v>
      </c>
      <c r="E33" s="10"/>
      <c r="F33" s="10"/>
      <c r="G33" s="10">
        <f>IF(B33&lt;&gt;"",B33-C33-D33-E33-F33,"")</f>
        <v>0</v>
      </c>
      <c r="H33" s="12" t="str">
        <f>A33</f>
        <v>HTB</v>
      </c>
      <c r="I33">
        <f>IF(G33&lt;0,G33*-1,0)</f>
        <v>0</v>
      </c>
    </row>
    <row r="34" spans="1:9" s="748" customFormat="1" ht="18" outlineLevel="2"/>
    <row r="35" spans="1:9" ht="18" outlineLevel="1">
      <c r="A35" s="105" t="s">
        <v>606</v>
      </c>
      <c r="B35" s="46">
        <f>89.09+27.56</f>
        <v>116.65</v>
      </c>
      <c r="C35" s="10">
        <v>27.56</v>
      </c>
      <c r="D35" s="10"/>
      <c r="E35" s="10"/>
      <c r="F35" s="10"/>
      <c r="G35" s="296">
        <f>IF(B35&lt;&gt;"",B35-C35-D35-E35-F35,"")</f>
        <v>89.09</v>
      </c>
      <c r="H35" s="12" t="str">
        <f>A35</f>
        <v>Car</v>
      </c>
      <c r="I35">
        <f>IF(G35&lt;0,G35*-1,0)</f>
        <v>0</v>
      </c>
    </row>
    <row r="36" spans="1:9" ht="18">
      <c r="A36" s="208"/>
      <c r="B36" s="10"/>
      <c r="C36" s="10"/>
      <c r="D36" s="10"/>
      <c r="E36" s="10"/>
      <c r="F36" s="10"/>
      <c r="G36" s="10"/>
      <c r="H36" s="48"/>
    </row>
    <row r="37" spans="1:9" ht="18">
      <c r="A37" s="245" t="s">
        <v>663</v>
      </c>
      <c r="B37" s="46">
        <v>946.46</v>
      </c>
      <c r="C37" s="10"/>
      <c r="D37" s="10"/>
      <c r="E37" s="10"/>
      <c r="F37" s="10"/>
      <c r="G37" s="246">
        <f>IF(B37&lt;&gt;"",B37-C37-D37-E37-F37,"")</f>
        <v>946.46</v>
      </c>
      <c r="H37" s="12" t="str">
        <f>A37</f>
        <v>Credit Card</v>
      </c>
    </row>
    <row r="38" spans="1:9" ht="18">
      <c r="A38" s="208"/>
      <c r="B38" s="10"/>
      <c r="C38" s="10"/>
      <c r="D38" s="10"/>
      <c r="E38" s="10"/>
      <c r="F38" s="10"/>
      <c r="G38" s="10"/>
      <c r="H38" s="48"/>
    </row>
    <row r="39" spans="1:9" ht="18">
      <c r="A39" s="179" t="s">
        <v>186</v>
      </c>
      <c r="B39" s="296">
        <f>SUM(C39:F39)</f>
        <v>4175.76</v>
      </c>
      <c r="C39" s="26">
        <f>2268.58+567+268.47</f>
        <v>3104.05</v>
      </c>
      <c r="D39" s="26">
        <f>28+30+540+315+50+12+15</f>
        <v>990</v>
      </c>
      <c r="E39" s="27">
        <v>81.709999999999994</v>
      </c>
      <c r="F39" s="36"/>
      <c r="G39" s="46" t="str">
        <f>(ROUND(SUM(G4,G11,G13),2) +I4) &amp; " / " &amp; B39</f>
        <v>644.75 / 4175.76</v>
      </c>
      <c r="H39" s="10"/>
      <c r="I39" s="11"/>
    </row>
    <row r="40" spans="1:9" ht="18">
      <c r="A40" s="24"/>
      <c r="B40" s="10"/>
      <c r="C40" s="49"/>
      <c r="D40" s="26"/>
      <c r="E40" s="23"/>
      <c r="F40" s="25"/>
      <c r="G40" s="79"/>
      <c r="H40" s="11"/>
    </row>
    <row r="41" spans="1:9" ht="18">
      <c r="A41" s="17"/>
      <c r="B41" s="17"/>
      <c r="C41" s="59"/>
      <c r="D41" s="16"/>
      <c r="E41" s="16"/>
      <c r="F41" s="244"/>
      <c r="G41" s="11" t="str">
        <f>"£"&amp;G13-(ROUND(SUM(G4,G11,G13),2) +I4) &amp;" Short"</f>
        <v>£52 Short</v>
      </c>
    </row>
    <row r="42" spans="1:9" ht="18">
      <c r="A42" s="17"/>
      <c r="B42" s="17"/>
      <c r="C42" s="110"/>
      <c r="D42" s="54"/>
      <c r="E42" s="16"/>
      <c r="F42" s="244"/>
    </row>
    <row r="43" spans="1:9" ht="18">
      <c r="A43" s="17"/>
      <c r="B43" s="17"/>
      <c r="C43" s="184"/>
      <c r="E43" s="43"/>
      <c r="F43" s="244"/>
      <c r="H43" s="11"/>
    </row>
    <row r="44" spans="1:9" ht="18">
      <c r="A44" s="20"/>
      <c r="B44" s="11"/>
      <c r="E44" s="11"/>
      <c r="F44" s="11"/>
    </row>
    <row r="45" spans="1:9">
      <c r="B45" s="11" t="s">
        <v>650</v>
      </c>
      <c r="C45">
        <v>100</v>
      </c>
      <c r="E45" s="11"/>
      <c r="F45" s="11"/>
    </row>
    <row r="46" spans="1:9">
      <c r="B46" s="11" t="s">
        <v>11</v>
      </c>
      <c r="C46">
        <v>4000</v>
      </c>
      <c r="E46" s="11"/>
      <c r="F46" s="11"/>
    </row>
    <row r="47" spans="1:9" ht="18">
      <c r="B47" s="10" t="s">
        <v>10</v>
      </c>
      <c r="C47">
        <f>C46-C45</f>
        <v>3900</v>
      </c>
      <c r="E47" s="11"/>
      <c r="F47" s="11"/>
    </row>
    <row r="48" spans="1:9" ht="18">
      <c r="B48" s="10" t="s">
        <v>664</v>
      </c>
      <c r="C48" s="184">
        <f>720*3</f>
        <v>2160</v>
      </c>
      <c r="D48" s="11"/>
      <c r="E48" s="11"/>
      <c r="F48" s="11"/>
    </row>
    <row r="49" spans="2:8" ht="18">
      <c r="B49" s="10" t="s">
        <v>10</v>
      </c>
      <c r="C49" s="184">
        <f>C47-C48</f>
        <v>1740</v>
      </c>
      <c r="E49" s="11"/>
      <c r="F49" s="11"/>
      <c r="G49" s="11"/>
    </row>
    <row r="50" spans="2:8" ht="18">
      <c r="B50" s="10" t="s">
        <v>665</v>
      </c>
      <c r="C50">
        <f>(60*2)+(80*2)</f>
        <v>280</v>
      </c>
      <c r="E50" s="11"/>
      <c r="F50" s="11"/>
      <c r="G50" s="11"/>
      <c r="H50" s="11"/>
    </row>
    <row r="51" spans="2:8" ht="18">
      <c r="B51" s="10" t="s">
        <v>10</v>
      </c>
      <c r="C51" s="11">
        <f>C49-C50</f>
        <v>1460</v>
      </c>
      <c r="E51" s="11"/>
      <c r="F51" s="11"/>
      <c r="G51" s="11"/>
    </row>
    <row r="52" spans="2:8" ht="18">
      <c r="B52" s="10"/>
      <c r="E52" s="11"/>
      <c r="F52" s="11"/>
      <c r="G52" s="11"/>
    </row>
    <row r="53" spans="2:8" ht="18">
      <c r="B53" s="10"/>
      <c r="G53" s="11"/>
    </row>
    <row r="54" spans="2:8" ht="18">
      <c r="B54" s="10"/>
      <c r="G54" s="11"/>
    </row>
    <row r="56" spans="2:8">
      <c r="H56" s="11"/>
    </row>
  </sheetData>
  <mergeCells count="3">
    <mergeCell ref="A20:XFD20"/>
    <mergeCell ref="A30:XFD30"/>
    <mergeCell ref="A34:XFD34"/>
  </mergeCells>
  <conditionalFormatting sqref="G5:G11">
    <cfRule type="cellIs" dxfId="107" priority="6" operator="lessThan">
      <formula>0</formula>
    </cfRule>
    <cfRule type="cellIs" dxfId="106" priority="7" operator="equal">
      <formula>0</formula>
    </cfRule>
    <cfRule type="cellIs" dxfId="105" priority="8" operator="greaterThan">
      <formula>0</formula>
    </cfRule>
  </conditionalFormatting>
  <conditionalFormatting sqref="G14:G19 G21:G29 G31:G33 G35">
    <cfRule type="cellIs" dxfId="104" priority="9" operator="equal">
      <formula>0</formula>
    </cfRule>
    <cfRule type="cellIs" dxfId="103" priority="10" operator="lessThan">
      <formula>0</formula>
    </cfRule>
    <cfRule type="cellIs" dxfId="102" priority="11" operator="greaterThan">
      <formula>0</formula>
    </cfRule>
  </conditionalFormatting>
  <conditionalFormatting sqref="G37">
    <cfRule type="cellIs" dxfId="101" priority="1" operator="greaterThan">
      <formula>0</formula>
    </cfRule>
    <cfRule type="cellIs" dxfId="100" priority="2" operator="equal">
      <formula>0</formula>
    </cfRule>
    <cfRule type="cellIs" dxfId="99" priority="3" operator="lessThan">
      <formula>0</formula>
    </cfRule>
    <cfRule type="cellIs" dxfId="98" priority="4" operator="greaterThan">
      <formula>0</formula>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5" operator="containsText" id="{105770C8-D718-4DD4-9F76-617E77D6FA29}">
            <xm:f>NOT(ISERROR(SEARCH("-",G39)))</xm:f>
            <xm:f>"-"</xm:f>
            <x14:dxf>
              <font>
                <color rgb="FF9C0006"/>
              </font>
              <fill>
                <patternFill>
                  <bgColor rgb="FFFFC7CE"/>
                </patternFill>
              </fill>
            </x14:dxf>
          </x14:cfRule>
          <xm:sqref>G39</xm:sqref>
        </x14:conditionalFormatting>
      </x14:conditionalFormatting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931E-C680-47B4-A7E6-85DED5EB59A9}">
  <sheetPr codeName="Sheet56"/>
  <dimension ref="A1:K86"/>
  <sheetViews>
    <sheetView workbookViewId="0">
      <selection sqref="A1:H1"/>
    </sheetView>
  </sheetViews>
  <sheetFormatPr defaultColWidth="11.33203125" defaultRowHeight="14.4" outlineLevelRow="3"/>
  <cols>
    <col min="1" max="1" width="23.109375" customWidth="1"/>
    <col min="2" max="2" width="28.109375" customWidth="1"/>
    <col min="3" max="6" width="25" customWidth="1"/>
    <col min="7" max="7" width="32.44140625" customWidth="1"/>
    <col min="8" max="8" width="20.44140625" customWidth="1"/>
    <col min="10" max="10" width="12" bestFit="1" customWidth="1"/>
    <col min="11" max="11" width="18.33203125" customWidth="1"/>
  </cols>
  <sheetData>
    <row r="1" spans="1:11" ht="39" customHeight="1">
      <c r="A1" s="753" t="str">
        <f ca="1">MID(CELL("filename",A1),FIND("]",CELL("filename",A1))+1,255)</f>
        <v>MAR-APR 2019</v>
      </c>
      <c r="B1" s="753"/>
      <c r="C1" s="753"/>
      <c r="D1" s="753"/>
      <c r="E1" s="753"/>
      <c r="F1" s="753"/>
      <c r="G1" s="753"/>
      <c r="H1" s="753"/>
    </row>
    <row r="2" spans="1:11" ht="18">
      <c r="A2" s="256" t="str">
        <f ca="1">UPPER(TEXT((1&amp;LEFT(A$1,3))-1,"MMM"))&amp;"-"&amp;UPPER(TEXT((1&amp;RIGHT(LEFT(A$1,7),3))-1,"MMM"))&amp;" "&amp;RIGHT(A$1,4)</f>
        <v>FEB-MAR 2019</v>
      </c>
      <c r="B2" s="13" t="s">
        <v>164</v>
      </c>
      <c r="C2" s="44" t="str">
        <f>"20/03/19 - 26/03/19"</f>
        <v>20/03/19 - 26/03/19</v>
      </c>
      <c r="D2" s="44" t="str">
        <f>TEXT(DATEVALUE(RIGHT(C2,8))+1,"dd/mm/yy")&amp; " - "&amp; TEXT(DATEVALUE(RIGHT(C2,8))+7,"dd/mm/yy")</f>
        <v>27/03/19 - 02/04/19</v>
      </c>
      <c r="E2" s="44" t="str">
        <f>TEXT(DATEVALUE(RIGHT(D2,8))+1,"dd/mm/yy")&amp; " - "&amp; TEXT(DATEVALUE(RIGHT(D2,8))+7,"dd/mm/yy")</f>
        <v>03/04/19 - 09/04/19</v>
      </c>
      <c r="F2" s="44" t="str">
        <f>TEXT(DATEVALUE(RIGHT(E2,8))+1,"dd/mm/yy")&amp; " - "&amp; TEXT(DATEVALUE(RIGHT(E2,8))+7,"dd/mm/yy")</f>
        <v>10/04/19 - 16/04/19</v>
      </c>
      <c r="G2" s="12" t="s">
        <v>10</v>
      </c>
      <c r="H2" s="257"/>
    </row>
    <row r="3" spans="1:11" ht="18">
      <c r="A3" s="13" t="s">
        <v>165</v>
      </c>
      <c r="B3" s="10">
        <f>SUM(B5,B13)</f>
        <v>10005.285</v>
      </c>
      <c r="C3" s="296">
        <f>SUM(C6:C24)</f>
        <v>1443.76</v>
      </c>
      <c r="D3" s="296">
        <f>SUM(D6:D24)</f>
        <v>558.58000000000004</v>
      </c>
      <c r="E3" s="296">
        <f>SUM(E6:E24)</f>
        <v>693.74</v>
      </c>
      <c r="F3" s="296">
        <f>SUM(F6:F24)</f>
        <v>1399.4699999999998</v>
      </c>
      <c r="G3" s="10"/>
      <c r="H3" s="9"/>
    </row>
    <row r="4" spans="1:11" ht="18">
      <c r="A4" s="250"/>
      <c r="B4" s="10"/>
      <c r="C4" s="296"/>
      <c r="D4" s="296"/>
      <c r="E4" s="296"/>
      <c r="F4" s="296"/>
      <c r="G4" s="10"/>
      <c r="H4" s="9"/>
      <c r="I4" s="7" t="s">
        <v>666</v>
      </c>
    </row>
    <row r="5" spans="1:11" ht="18">
      <c r="A5" s="178" t="s">
        <v>166</v>
      </c>
      <c r="B5" s="183">
        <f>SUM(B6:B10)</f>
        <v>1729</v>
      </c>
      <c r="C5" s="296"/>
      <c r="D5" s="296"/>
      <c r="E5" s="296"/>
      <c r="F5" s="296"/>
      <c r="G5" s="184">
        <f>ROUND(SUMIF(G6:G10,"&gt;0"),2)</f>
        <v>18.190000000000001</v>
      </c>
      <c r="H5" s="9" t="s">
        <v>10</v>
      </c>
      <c r="I5" s="11">
        <f>SUM(I6:I10)+SUM(I15:I18)+SUM(I22:I27)+SUM(I30:I31)+SUM(I34:I45)</f>
        <v>1924.2883333333334</v>
      </c>
    </row>
    <row r="6" spans="1:11" ht="18" outlineLevel="1">
      <c r="A6" s="105" t="s">
        <v>167</v>
      </c>
      <c r="B6" s="17">
        <f>250</f>
        <v>250</v>
      </c>
      <c r="C6" s="10">
        <f>40+50</f>
        <v>90</v>
      </c>
      <c r="D6" s="10">
        <f>25.04+30</f>
        <v>55.04</v>
      </c>
      <c r="E6" s="10">
        <f>50.02+50+20</f>
        <v>120.02000000000001</v>
      </c>
      <c r="F6" s="10"/>
      <c r="G6" s="10">
        <f t="shared" ref="G6:G10" si="0">IF(B6&lt;&gt;"",B6-C6-D6-E6-F6,"")</f>
        <v>-15.060000000000002</v>
      </c>
      <c r="H6" s="12" t="str">
        <f t="shared" ref="H6:H10" si="1">A6</f>
        <v xml:space="preserve">Car Petrol </v>
      </c>
      <c r="I6">
        <f t="shared" ref="I6:I10" si="2">IF(G6&lt;0,G6*-1,0)</f>
        <v>15.060000000000002</v>
      </c>
    </row>
    <row r="7" spans="1:11" ht="18" outlineLevel="1">
      <c r="A7" s="105" t="s">
        <v>577</v>
      </c>
      <c r="B7" s="10">
        <v>0</v>
      </c>
      <c r="C7" s="10"/>
      <c r="D7" s="10">
        <f>8.89+8.97</f>
        <v>17.86</v>
      </c>
      <c r="E7" s="10">
        <v>10.5</v>
      </c>
      <c r="F7" s="10"/>
      <c r="G7" s="10">
        <f t="shared" si="0"/>
        <v>-28.36</v>
      </c>
      <c r="H7" s="12" t="str">
        <f t="shared" si="1"/>
        <v>Food/Bunnies/Toiletries</v>
      </c>
      <c r="I7">
        <f t="shared" si="2"/>
        <v>28.36</v>
      </c>
    </row>
    <row r="8" spans="1:11" ht="18" outlineLevel="1">
      <c r="A8" s="105" t="s">
        <v>170</v>
      </c>
      <c r="B8" s="10">
        <v>150</v>
      </c>
      <c r="C8" s="10">
        <v>150</v>
      </c>
      <c r="D8" s="10"/>
      <c r="E8" s="10"/>
      <c r="F8" s="10"/>
      <c r="G8" s="10">
        <f t="shared" si="0"/>
        <v>0</v>
      </c>
      <c r="H8" s="12" t="str">
        <f t="shared" si="1"/>
        <v>Gift Fund</v>
      </c>
      <c r="I8">
        <f t="shared" si="2"/>
        <v>0</v>
      </c>
    </row>
    <row r="9" spans="1:11" ht="18" outlineLevel="1">
      <c r="A9" s="105" t="s">
        <v>171</v>
      </c>
      <c r="B9" s="10">
        <v>1179</v>
      </c>
      <c r="C9" s="10">
        <v>1000</v>
      </c>
      <c r="D9" s="10">
        <f>179+125.45</f>
        <v>304.45</v>
      </c>
      <c r="E9" s="10"/>
      <c r="F9" s="10"/>
      <c r="G9" s="10">
        <f t="shared" si="0"/>
        <v>-125.44999999999999</v>
      </c>
      <c r="H9" s="12" t="str">
        <f t="shared" si="1"/>
        <v>Holiday Fund</v>
      </c>
      <c r="I9">
        <f t="shared" si="2"/>
        <v>125.44999999999999</v>
      </c>
    </row>
    <row r="10" spans="1:11" ht="18" outlineLevel="1">
      <c r="A10" s="105" t="s">
        <v>632</v>
      </c>
      <c r="B10" s="10">
        <f>75+75</f>
        <v>150</v>
      </c>
      <c r="C10" s="10">
        <f>75+10+9.19</f>
        <v>94.19</v>
      </c>
      <c r="D10" s="10"/>
      <c r="E10" s="10">
        <f>10.99+10+3.57+2.78</f>
        <v>27.340000000000003</v>
      </c>
      <c r="F10" s="10">
        <v>10.28</v>
      </c>
      <c r="G10" s="10">
        <f t="shared" si="0"/>
        <v>18.189999999999998</v>
      </c>
      <c r="H10" s="12" t="str">
        <f t="shared" si="1"/>
        <v>Shared</v>
      </c>
      <c r="I10">
        <f t="shared" si="2"/>
        <v>0</v>
      </c>
    </row>
    <row r="11" spans="1:11" ht="18" outlineLevel="1">
      <c r="A11" s="105" t="s">
        <v>633</v>
      </c>
      <c r="B11" s="10">
        <f>IF(B48 &lt;&gt; 0,B48-B5-B13-I5,0)</f>
        <v>785.74666666666644</v>
      </c>
      <c r="C11" s="10">
        <f>5.09+10+8</f>
        <v>23.09</v>
      </c>
      <c r="D11" s="10">
        <f>3.99+2.75+20+10+10+9.99+9.99+8.99+0.99+9.6+5.09+23.95+20+37.9</f>
        <v>173.23999999999998</v>
      </c>
      <c r="E11" s="10">
        <f>26.73+10+20+4.05+11.99+30+25.39+31.98+48.85+18.99+121.98+170.93+7</f>
        <v>527.89</v>
      </c>
      <c r="F11" s="10">
        <f>50+5.99</f>
        <v>55.99</v>
      </c>
      <c r="G11" s="10">
        <f>IF(B11&lt;&gt;"",B11-C11-D11-E11-F11,"")</f>
        <v>5.5366666666664131</v>
      </c>
      <c r="H11" s="12" t="s">
        <v>172</v>
      </c>
      <c r="I11" s="11"/>
      <c r="J11" s="11"/>
    </row>
    <row r="12" spans="1:11" ht="18">
      <c r="A12" s="185"/>
      <c r="B12" s="10"/>
      <c r="C12" s="10"/>
      <c r="D12" s="10"/>
      <c r="E12" s="10"/>
      <c r="F12" s="10"/>
      <c r="G12" s="10"/>
      <c r="H12" s="9"/>
      <c r="J12" s="11"/>
    </row>
    <row r="13" spans="1:11" ht="18">
      <c r="A13" s="177" t="s">
        <v>422</v>
      </c>
      <c r="B13" s="183">
        <f>B14+B21+B29+B33+B45</f>
        <v>8276.2849999999999</v>
      </c>
      <c r="C13" s="10"/>
      <c r="D13" s="10"/>
      <c r="E13" s="10"/>
      <c r="F13" s="10"/>
      <c r="G13" s="234">
        <f>ROUND(SUM(G14,G21,G29,G33,IF(B45-SUM(C45,D45,E45,F45)&lt;0,0,B45-C45-D45-E45-F45)),2)</f>
        <v>0</v>
      </c>
      <c r="H13" s="237" t="s">
        <v>10</v>
      </c>
      <c r="I13" s="11"/>
    </row>
    <row r="14" spans="1:11" ht="18">
      <c r="A14" s="105" t="s">
        <v>594</v>
      </c>
      <c r="B14" s="183">
        <f>SUM(B15:B19)</f>
        <v>733.79</v>
      </c>
      <c r="C14" s="10"/>
      <c r="D14" s="10"/>
      <c r="E14" s="10"/>
      <c r="F14" s="10"/>
      <c r="G14" s="235">
        <f>IF(B14&lt;&gt;"",SUMIF(G15:G19,"&gt;0"),0)</f>
        <v>0</v>
      </c>
      <c r="H14" s="236" t="str">
        <f t="shared" ref="H14:H19" si="3">A14</f>
        <v>House Outgoings</v>
      </c>
    </row>
    <row r="15" spans="1:11" ht="18" outlineLevel="2">
      <c r="A15" s="13" t="s">
        <v>595</v>
      </c>
      <c r="B15" s="184">
        <v>452.64</v>
      </c>
      <c r="C15" s="10"/>
      <c r="D15" s="10"/>
      <c r="E15" s="10"/>
      <c r="F15" s="10">
        <f>452.64*2</f>
        <v>905.28</v>
      </c>
      <c r="G15" s="10">
        <f>IF(B15&lt;&gt;"",B15-C15-D15-E15-F15,"")</f>
        <v>-452.64</v>
      </c>
      <c r="H15" s="12" t="str">
        <f t="shared" si="3"/>
        <v>Mortgage</v>
      </c>
      <c r="I15">
        <f>IF(G15&lt;0,G15*-1,0)</f>
        <v>452.64</v>
      </c>
    </row>
    <row r="16" spans="1:11" ht="18" outlineLevel="2">
      <c r="A16" s="13" t="s">
        <v>596</v>
      </c>
      <c r="B16" s="184">
        <v>124</v>
      </c>
      <c r="C16" s="10"/>
      <c r="D16" s="10"/>
      <c r="E16" s="10"/>
      <c r="F16" s="10">
        <f>124+124.05</f>
        <v>248.05</v>
      </c>
      <c r="G16" s="10">
        <f>IF(B16&lt;&gt;"",B16-C16-D16-E16-F16,"")</f>
        <v>-124.05000000000001</v>
      </c>
      <c r="H16" s="12" t="str">
        <f t="shared" si="3"/>
        <v>Council tax</v>
      </c>
      <c r="I16">
        <f>IF(G16&lt;0,G16*-1,0)</f>
        <v>124.05000000000001</v>
      </c>
      <c r="J16" s="11"/>
      <c r="K16" s="11"/>
    </row>
    <row r="17" spans="1:9" ht="18" outlineLevel="2">
      <c r="A17" s="13" t="s">
        <v>634</v>
      </c>
      <c r="B17" s="184">
        <f>17+55</f>
        <v>72</v>
      </c>
      <c r="C17" s="10"/>
      <c r="D17" s="10"/>
      <c r="E17" s="10"/>
      <c r="F17" s="10">
        <f>72+17</f>
        <v>89</v>
      </c>
      <c r="G17" s="10">
        <f>IF(B17&lt;&gt;"",B17-C17-D17-E17-F17,"")</f>
        <v>-17</v>
      </c>
      <c r="H17" s="12" t="str">
        <f t="shared" si="3"/>
        <v>Utilities</v>
      </c>
      <c r="I17">
        <f>IF(G17&lt;0,G17*-1,0)</f>
        <v>17</v>
      </c>
    </row>
    <row r="18" spans="1:9" ht="18" outlineLevel="2">
      <c r="A18" s="13" t="s">
        <v>600</v>
      </c>
      <c r="B18" s="184">
        <f>4.52+15.97+8.56+16.1</f>
        <v>45.150000000000006</v>
      </c>
      <c r="C18" s="10"/>
      <c r="D18" s="10"/>
      <c r="E18" s="10"/>
      <c r="F18" s="10">
        <f>45.15+8.56+15.97+4.52+16.67</f>
        <v>90.87</v>
      </c>
      <c r="G18" s="10">
        <f>IF(B18&lt;&gt;"",B18-C18-D18-E18-F18,"")</f>
        <v>-45.72</v>
      </c>
      <c r="H18" s="12" t="str">
        <f t="shared" si="3"/>
        <v>Insurance</v>
      </c>
      <c r="I18">
        <f>IF(G18&lt;0,G18*-1,0)</f>
        <v>45.72</v>
      </c>
    </row>
    <row r="19" spans="1:9" ht="18" outlineLevel="2">
      <c r="A19" s="13" t="s">
        <v>611</v>
      </c>
      <c r="B19" s="184">
        <v>40</v>
      </c>
      <c r="C19" s="10">
        <v>40</v>
      </c>
      <c r="D19" s="10"/>
      <c r="E19" s="10"/>
      <c r="F19" s="10"/>
      <c r="G19" s="10">
        <f>IF(B19&lt;&gt;"",B19-C19-D19-E19-F19,"")</f>
        <v>0</v>
      </c>
      <c r="H19" s="12" t="str">
        <f t="shared" si="3"/>
        <v>The Range</v>
      </c>
    </row>
    <row r="20" spans="1:9" s="747" customFormat="1" ht="18" outlineLevel="2">
      <c r="A20" s="747" t="str">
        <f>IF(B20&lt;&gt;"",B20-C20-D20-E20-F20,"")</f>
        <v/>
      </c>
    </row>
    <row r="21" spans="1:9" ht="18" outlineLevel="1">
      <c r="A21" s="105" t="s">
        <v>601</v>
      </c>
      <c r="B21" s="296">
        <f>SUM(B22:B27)</f>
        <v>113.62</v>
      </c>
      <c r="C21" s="10"/>
      <c r="D21" s="10"/>
      <c r="E21" s="10"/>
      <c r="F21" s="10"/>
      <c r="G21" s="235">
        <f>IF(B21&lt;&gt;"",SUMIF(G22:G27,"&gt;0"),0)</f>
        <v>0</v>
      </c>
      <c r="H21" s="236" t="str">
        <f t="shared" ref="H21:H27" si="4">A21</f>
        <v>Tech</v>
      </c>
      <c r="I21" s="11"/>
    </row>
    <row r="22" spans="1:9" ht="18" outlineLevel="2">
      <c r="A22" s="13" t="s">
        <v>602</v>
      </c>
      <c r="B22" s="33">
        <v>38.49</v>
      </c>
      <c r="C22" s="10">
        <v>38.49</v>
      </c>
      <c r="D22" s="10"/>
      <c r="E22" s="10"/>
      <c r="F22" s="10"/>
      <c r="G22" s="10">
        <f t="shared" ref="G22:G27" si="5">IF(B22&lt;&gt;"",B22-C22-D22-E22-F22,"")</f>
        <v>0</v>
      </c>
      <c r="H22" s="12" t="str">
        <f t="shared" si="4"/>
        <v>Broadband / TV</v>
      </c>
      <c r="I22">
        <f t="shared" ref="I22:I27" si="6">IF(G22&lt;0,G22*-1,0)</f>
        <v>0</v>
      </c>
    </row>
    <row r="23" spans="1:9" ht="18" outlineLevel="2">
      <c r="A23" s="13" t="s">
        <v>587</v>
      </c>
      <c r="B23" s="33">
        <f>7.99</f>
        <v>7.99</v>
      </c>
      <c r="C23" s="10">
        <v>7.99</v>
      </c>
      <c r="D23" s="10"/>
      <c r="E23" s="10"/>
      <c r="F23" s="10"/>
      <c r="G23" s="10">
        <f t="shared" si="5"/>
        <v>0</v>
      </c>
      <c r="H23" s="12" t="str">
        <f t="shared" si="4"/>
        <v>Sky Movies (14th)</v>
      </c>
      <c r="I23">
        <f t="shared" si="6"/>
        <v>0</v>
      </c>
    </row>
    <row r="24" spans="1:9" ht="18" outlineLevel="2">
      <c r="A24" s="13" t="s">
        <v>582</v>
      </c>
      <c r="B24" s="33">
        <v>7.99</v>
      </c>
      <c r="C24" s="10"/>
      <c r="D24" s="10">
        <v>7.99</v>
      </c>
      <c r="E24" s="10">
        <v>7.99</v>
      </c>
      <c r="F24" s="10"/>
      <c r="G24" s="10">
        <f t="shared" si="5"/>
        <v>-7.99</v>
      </c>
      <c r="H24" s="12" t="str">
        <f t="shared" si="4"/>
        <v>Onedrive (6th)</v>
      </c>
      <c r="I24">
        <f t="shared" si="6"/>
        <v>7.99</v>
      </c>
    </row>
    <row r="25" spans="1:9" ht="18" outlineLevel="2">
      <c r="A25" s="13" t="s">
        <v>589</v>
      </c>
      <c r="B25" s="33">
        <v>14.99</v>
      </c>
      <c r="C25" s="10"/>
      <c r="D25" s="10">
        <v>14.99</v>
      </c>
      <c r="E25" s="10"/>
      <c r="F25" s="10">
        <v>14.99</v>
      </c>
      <c r="G25" s="10">
        <f t="shared" si="5"/>
        <v>-14.99</v>
      </c>
      <c r="H25" s="12" t="str">
        <f t="shared" si="4"/>
        <v>Music</v>
      </c>
      <c r="I25">
        <f t="shared" si="6"/>
        <v>14.99</v>
      </c>
    </row>
    <row r="26" spans="1:9" ht="18" outlineLevel="2" collapsed="1">
      <c r="A26" s="13" t="s">
        <v>603</v>
      </c>
      <c r="B26" s="33">
        <v>16.16</v>
      </c>
      <c r="C26" s="10">
        <v>16.16</v>
      </c>
      <c r="D26" s="10"/>
      <c r="E26" s="10"/>
      <c r="F26" s="10"/>
      <c r="G26" s="10">
        <f t="shared" si="5"/>
        <v>0</v>
      </c>
      <c r="H26" s="12" t="str">
        <f t="shared" si="4"/>
        <v>Matt Phone  (21st)</v>
      </c>
      <c r="I26">
        <f t="shared" si="6"/>
        <v>0</v>
      </c>
    </row>
    <row r="27" spans="1:9" ht="18" outlineLevel="2">
      <c r="A27" s="13" t="s">
        <v>661</v>
      </c>
      <c r="B27" s="33">
        <v>28</v>
      </c>
      <c r="C27" s="10"/>
      <c r="D27" s="10">
        <f>28+7.99</f>
        <v>35.99</v>
      </c>
      <c r="E27" s="10"/>
      <c r="F27" s="10"/>
      <c r="G27" s="10">
        <f t="shared" si="5"/>
        <v>-7.990000000000002</v>
      </c>
      <c r="H27" s="12" t="str">
        <f t="shared" si="4"/>
        <v>Kindle</v>
      </c>
      <c r="I27">
        <f t="shared" si="6"/>
        <v>7.990000000000002</v>
      </c>
    </row>
    <row r="28" spans="1:9" s="747" customFormat="1" ht="18" outlineLevel="2">
      <c r="A28" s="747" t="str">
        <f>IF(B28&lt;&gt;"",B28-C28-D28-E28-F28,"")</f>
        <v/>
      </c>
    </row>
    <row r="29" spans="1:9" ht="18" outlineLevel="1">
      <c r="A29" s="105" t="s">
        <v>183</v>
      </c>
      <c r="B29" s="296">
        <f>SUM(B30:B31)</f>
        <v>75</v>
      </c>
      <c r="C29" s="10"/>
      <c r="D29" s="10"/>
      <c r="E29" s="10"/>
      <c r="F29" s="10"/>
      <c r="G29" s="235">
        <f>IF(B29&lt;&gt;"",SUMIF(G30:G31,"&gt;0"),0)</f>
        <v>0</v>
      </c>
      <c r="H29" s="236" t="str">
        <f>A29</f>
        <v>Savings</v>
      </c>
    </row>
    <row r="30" spans="1:9" ht="18" outlineLevel="2">
      <c r="A30" s="13" t="s">
        <v>590</v>
      </c>
      <c r="B30" s="33">
        <v>50</v>
      </c>
      <c r="C30" s="10">
        <v>50</v>
      </c>
      <c r="D30" s="10"/>
      <c r="E30" s="10"/>
      <c r="F30" s="10"/>
      <c r="G30" s="10">
        <f>IF(B30&lt;&gt;"",B30-C30-D30-E30-F30,"")</f>
        <v>0</v>
      </c>
      <c r="H30" s="12" t="str">
        <f>A30</f>
        <v>Contingency</v>
      </c>
      <c r="I30">
        <f>IF(G30&lt;0,G30*-1,0)</f>
        <v>0</v>
      </c>
    </row>
    <row r="31" spans="1:9" ht="18" outlineLevel="2">
      <c r="A31" s="13" t="s">
        <v>591</v>
      </c>
      <c r="B31" s="33">
        <v>25</v>
      </c>
      <c r="C31" s="10"/>
      <c r="D31" s="10">
        <v>25</v>
      </c>
      <c r="E31" s="10"/>
      <c r="F31" s="10"/>
      <c r="G31" s="10">
        <f>IF(B31&lt;&gt;"",B31-C31-D31-E31-F31,"")</f>
        <v>0</v>
      </c>
      <c r="H31" s="12" t="str">
        <f>A31</f>
        <v>HTB</v>
      </c>
      <c r="I31">
        <f>IF(G31&lt;0,G31*-1,0)</f>
        <v>0</v>
      </c>
    </row>
    <row r="32" spans="1:9" s="748" customFormat="1" ht="18" outlineLevel="2"/>
    <row r="33" spans="1:9" ht="18" outlineLevel="1">
      <c r="A33" s="105" t="s">
        <v>606</v>
      </c>
      <c r="B33" s="46">
        <f>SUM(B34:B42)</f>
        <v>7025.2933333333331</v>
      </c>
      <c r="C33" s="10"/>
      <c r="D33" s="10"/>
      <c r="E33" s="10"/>
      <c r="F33" s="10"/>
      <c r="G33" s="235">
        <f>IF(B33&lt;&gt;"",SUMIF(G34:G42,"&gt;0"),0)</f>
        <v>3.3333333333334103E-3</v>
      </c>
      <c r="H33" s="236" t="str">
        <f>A33</f>
        <v>Car</v>
      </c>
      <c r="I33" s="11"/>
    </row>
    <row r="34" spans="1:9" ht="18" outlineLevel="3">
      <c r="A34" s="13" t="s">
        <v>667</v>
      </c>
      <c r="B34" s="46">
        <v>0</v>
      </c>
      <c r="C34" s="10"/>
      <c r="D34" s="10"/>
      <c r="E34" s="10"/>
      <c r="F34" s="10"/>
      <c r="G34" s="296">
        <f t="shared" ref="G34:G42" si="7">IF(B34&lt;&gt;"",B34-C34-D34-E34-F34,"")</f>
        <v>0</v>
      </c>
      <c r="H34" s="12" t="str">
        <f t="shared" ref="H34:H42" si="8">A34</f>
        <v>M - Finance</v>
      </c>
      <c r="I34" s="11">
        <f>IF(G34&lt;0,G34*-1,0)</f>
        <v>0</v>
      </c>
    </row>
    <row r="35" spans="1:9" ht="18" outlineLevel="3">
      <c r="A35" s="13" t="s">
        <v>668</v>
      </c>
      <c r="B35" s="46">
        <f>27.56</f>
        <v>27.56</v>
      </c>
      <c r="C35" s="10"/>
      <c r="D35" s="10">
        <v>27.56</v>
      </c>
      <c r="E35" s="10"/>
      <c r="F35" s="10"/>
      <c r="G35" s="296">
        <f t="shared" si="7"/>
        <v>0</v>
      </c>
      <c r="H35" s="12" t="str">
        <f t="shared" si="8"/>
        <v>M -Tax</v>
      </c>
      <c r="I35" s="11">
        <f t="shared" ref="I35:I42" si="9">IF(G35&lt;0,G35*-1,0)</f>
        <v>0</v>
      </c>
    </row>
    <row r="36" spans="1:9" ht="18" outlineLevel="3">
      <c r="A36" s="13" t="s">
        <v>669</v>
      </c>
      <c r="B36" s="46">
        <f>150/12</f>
        <v>12.5</v>
      </c>
      <c r="C36" s="10"/>
      <c r="D36" s="10">
        <v>12.5</v>
      </c>
      <c r="E36" s="10"/>
      <c r="F36" s="10"/>
      <c r="G36" s="296">
        <f t="shared" si="7"/>
        <v>0</v>
      </c>
      <c r="H36" s="12" t="str">
        <f t="shared" si="8"/>
        <v>M - Service</v>
      </c>
      <c r="I36" s="11">
        <f t="shared" si="9"/>
        <v>0</v>
      </c>
    </row>
    <row r="37" spans="1:9" ht="18" outlineLevel="3">
      <c r="A37" s="13" t="s">
        <v>670</v>
      </c>
      <c r="B37" s="46">
        <v>89.9</v>
      </c>
      <c r="C37" s="10"/>
      <c r="D37" s="10"/>
      <c r="E37" s="10"/>
      <c r="F37" s="10">
        <f>89.9+89.09</f>
        <v>178.99</v>
      </c>
      <c r="G37" s="296">
        <f t="shared" si="7"/>
        <v>-89.09</v>
      </c>
      <c r="H37" s="12" t="str">
        <f t="shared" si="8"/>
        <v>M - Insurance</v>
      </c>
      <c r="I37" s="11">
        <f t="shared" si="9"/>
        <v>89.09</v>
      </c>
    </row>
    <row r="38" spans="1:9" ht="18" outlineLevel="3">
      <c r="A38" s="13" t="s">
        <v>671</v>
      </c>
      <c r="B38" s="46">
        <v>6867</v>
      </c>
      <c r="C38" s="10">
        <f>196.3+6795+72</f>
        <v>7063.3</v>
      </c>
      <c r="D38" s="10"/>
      <c r="E38" s="10">
        <v>24.5</v>
      </c>
      <c r="F38" s="10"/>
      <c r="G38" s="296">
        <f t="shared" si="7"/>
        <v>-220.80000000000018</v>
      </c>
      <c r="H38" s="12" t="str">
        <f t="shared" si="8"/>
        <v>K - Finance</v>
      </c>
      <c r="I38" s="11">
        <f t="shared" si="9"/>
        <v>220.80000000000018</v>
      </c>
    </row>
    <row r="39" spans="1:9" ht="18" outlineLevel="3">
      <c r="A39" s="13" t="s">
        <v>672</v>
      </c>
      <c r="B39" s="46">
        <v>12.5</v>
      </c>
      <c r="C39" s="10"/>
      <c r="D39" s="10">
        <v>12.5</v>
      </c>
      <c r="E39" s="10"/>
      <c r="F39" s="10"/>
      <c r="G39" s="296">
        <f t="shared" si="7"/>
        <v>0</v>
      </c>
      <c r="H39" s="12" t="str">
        <f t="shared" si="8"/>
        <v>K - Tax</v>
      </c>
      <c r="I39" s="11">
        <f t="shared" si="9"/>
        <v>0</v>
      </c>
    </row>
    <row r="40" spans="1:9" ht="18" outlineLevel="3">
      <c r="A40" s="13" t="s">
        <v>673</v>
      </c>
      <c r="B40" s="46">
        <f>150/12</f>
        <v>12.5</v>
      </c>
      <c r="C40" s="10"/>
      <c r="D40" s="10">
        <v>12.5</v>
      </c>
      <c r="E40" s="10"/>
      <c r="F40" s="10"/>
      <c r="G40" s="296">
        <f t="shared" si="7"/>
        <v>0</v>
      </c>
      <c r="H40" s="12" t="str">
        <f t="shared" si="8"/>
        <v>K - Service</v>
      </c>
      <c r="I40" s="11">
        <f t="shared" si="9"/>
        <v>0</v>
      </c>
    </row>
    <row r="41" spans="1:9" ht="18" outlineLevel="3">
      <c r="A41" s="13" t="s">
        <v>674</v>
      </c>
      <c r="B41" s="46">
        <v>0</v>
      </c>
      <c r="C41" s="10"/>
      <c r="D41" s="10"/>
      <c r="E41" s="10"/>
      <c r="F41" s="10"/>
      <c r="G41" s="296">
        <f t="shared" si="7"/>
        <v>0</v>
      </c>
      <c r="H41" s="12" t="str">
        <f t="shared" si="8"/>
        <v>K - Insurance</v>
      </c>
      <c r="I41" s="11">
        <f t="shared" si="9"/>
        <v>0</v>
      </c>
    </row>
    <row r="42" spans="1:9" ht="18" outlineLevel="3">
      <c r="A42" s="13" t="s">
        <v>675</v>
      </c>
      <c r="B42" s="46">
        <f>40/12</f>
        <v>3.3333333333333335</v>
      </c>
      <c r="C42" s="10"/>
      <c r="D42" s="10">
        <v>3.33</v>
      </c>
      <c r="E42" s="10"/>
      <c r="F42" s="10"/>
      <c r="G42" s="296">
        <f t="shared" si="7"/>
        <v>3.3333333333334103E-3</v>
      </c>
      <c r="H42" s="12" t="str">
        <f t="shared" si="8"/>
        <v>MOT's</v>
      </c>
      <c r="I42" s="11">
        <f t="shared" si="9"/>
        <v>0</v>
      </c>
    </row>
    <row r="43" spans="1:9" ht="18" outlineLevel="2">
      <c r="A43" s="250"/>
      <c r="B43" s="46"/>
      <c r="C43" s="10"/>
      <c r="D43" s="10"/>
      <c r="E43" s="10"/>
      <c r="F43" s="10"/>
      <c r="G43" s="296"/>
      <c r="H43" s="12"/>
    </row>
    <row r="44" spans="1:9" ht="18" outlineLevel="2">
      <c r="A44" s="105" t="s">
        <v>676</v>
      </c>
      <c r="B44" s="46"/>
      <c r="C44" s="10"/>
      <c r="D44" s="10"/>
      <c r="E44" s="10"/>
      <c r="F44" s="10">
        <f>(199-25)+21.4+14.99+27.97+15.55+3+23.25+30</f>
        <v>310.16000000000003</v>
      </c>
      <c r="G44" s="296">
        <f>SUM(C44:F44)</f>
        <v>310.16000000000003</v>
      </c>
      <c r="H44" s="12" t="str">
        <f>A44</f>
        <v>Credit Card In</v>
      </c>
    </row>
    <row r="45" spans="1:9" ht="18">
      <c r="A45" s="245" t="s">
        <v>677</v>
      </c>
      <c r="B45" s="46">
        <f>(900+136.37+831.2+103.92)/B46</f>
        <v>328.58166666666665</v>
      </c>
      <c r="C45" s="10">
        <f>136.37+831.2</f>
        <v>967.57</v>
      </c>
      <c r="D45" s="10"/>
      <c r="E45" s="10"/>
      <c r="F45" s="10">
        <v>136.16</v>
      </c>
      <c r="G45" s="246">
        <f>IF(B45&lt;&gt;"",(900+136.37+831.2+103.92+G44)-C45-D45-E45-F45,"")</f>
        <v>1177.9199999999998</v>
      </c>
      <c r="H45" s="12" t="str">
        <f>A45</f>
        <v>Credit Card Out</v>
      </c>
      <c r="I45" s="11">
        <f>(IF(B45-SUM(C45:F45)&lt;0,(B45-SUM(C45:F45))*-1,0))</f>
        <v>775.14833333333331</v>
      </c>
    </row>
    <row r="46" spans="1:9" ht="18">
      <c r="A46" s="245" t="s">
        <v>11</v>
      </c>
      <c r="B46" s="117">
        <v>6</v>
      </c>
      <c r="C46" s="10"/>
      <c r="D46" s="10"/>
      <c r="E46" s="10"/>
      <c r="F46" s="10"/>
      <c r="G46" s="246"/>
      <c r="H46" s="12"/>
    </row>
    <row r="47" spans="1:9" ht="18">
      <c r="A47" s="208"/>
      <c r="B47" s="10"/>
      <c r="C47" s="10"/>
      <c r="D47" s="10"/>
      <c r="E47" s="10"/>
      <c r="F47" s="10"/>
      <c r="G47" s="10"/>
      <c r="H47" s="48"/>
    </row>
    <row r="48" spans="1:9" ht="18">
      <c r="A48" s="179" t="s">
        <v>186</v>
      </c>
      <c r="B48" s="296">
        <f>SUM(C48:F48)</f>
        <v>12715.32</v>
      </c>
      <c r="C48" s="26">
        <f>690+2311.58+8000+75</f>
        <v>11076.58</v>
      </c>
      <c r="D48" s="26">
        <f>125.45+50+40+50</f>
        <v>265.45</v>
      </c>
      <c r="E48" s="27">
        <f>10.5+7.99+18.98+500</f>
        <v>537.47</v>
      </c>
      <c r="F48" s="36">
        <f>5.09+800.8+9.99+19.94</f>
        <v>835.82</v>
      </c>
      <c r="G48" s="46" t="str">
        <f>ROUND((ROUND(SUM(G5,G11,G13),2)),2)&amp;" ("&amp;ROUND((ROUND(SUM(G5,G11,G13),2)),2)+((MID(LEFT(I51,FIND(")",I51)-1),FIND("(",I51)+1,LEN(I51)))-(MID(LEFT(H51,FIND(")",H51)-1),FIND("(",H51)+1,LEN(H51))))&amp;")"&amp;" / "&amp;B48</f>
        <v>23.73 (66.67) / 12715.32</v>
      </c>
      <c r="H48" s="10"/>
      <c r="I48" s="11"/>
    </row>
    <row r="49" spans="1:10" ht="18">
      <c r="A49" s="24"/>
      <c r="B49" s="10"/>
      <c r="C49" s="49"/>
      <c r="D49" s="26"/>
      <c r="E49" s="23"/>
      <c r="F49" s="25"/>
      <c r="G49" s="79"/>
      <c r="H49" s="11"/>
    </row>
    <row r="50" spans="1:10" ht="17.399999999999999">
      <c r="A50" s="754" t="s">
        <v>354</v>
      </c>
      <c r="B50" s="755"/>
      <c r="C50" s="59"/>
      <c r="D50" s="755" t="s">
        <v>663</v>
      </c>
      <c r="E50" s="755"/>
      <c r="F50" s="755"/>
      <c r="G50" s="11"/>
      <c r="H50" s="755" t="s">
        <v>678</v>
      </c>
      <c r="I50" s="755"/>
      <c r="J50" s="755"/>
    </row>
    <row r="51" spans="1:10" ht="18">
      <c r="A51" s="11" t="s">
        <v>650</v>
      </c>
      <c r="B51" s="11">
        <f>1300+100+80</f>
        <v>1480</v>
      </c>
      <c r="C51" s="110"/>
      <c r="D51" s="259" t="s">
        <v>679</v>
      </c>
      <c r="E51" s="259" t="s">
        <v>680</v>
      </c>
      <c r="F51" s="259" t="s">
        <v>681</v>
      </c>
      <c r="H51" s="11" t="str">
        <f>"Out ("&amp;SUM(H52:H60)&amp;")"</f>
        <v>Out (0)</v>
      </c>
      <c r="I51" s="259" t="str">
        <f>"In ("&amp;SUM(I52:I60)&amp;")"</f>
        <v>In (42.94)</v>
      </c>
      <c r="J51" s="259" t="s">
        <v>681</v>
      </c>
    </row>
    <row r="52" spans="1:10" ht="18">
      <c r="A52" s="11" t="s">
        <v>11</v>
      </c>
      <c r="B52">
        <v>4000</v>
      </c>
      <c r="C52" s="184"/>
      <c r="D52" s="260"/>
      <c r="E52" s="260"/>
      <c r="F52" s="261"/>
      <c r="H52" s="260"/>
      <c r="I52" s="261">
        <v>23.95</v>
      </c>
      <c r="J52" s="261" t="s">
        <v>682</v>
      </c>
    </row>
    <row r="53" spans="1:10" ht="18">
      <c r="A53" s="10" t="s">
        <v>10</v>
      </c>
      <c r="B53" s="11">
        <f>B52-B51</f>
        <v>2520</v>
      </c>
      <c r="D53" s="260"/>
      <c r="E53" s="260"/>
      <c r="F53" s="260"/>
      <c r="G53" s="11"/>
      <c r="H53" s="195"/>
      <c r="I53" s="261">
        <v>18.989999999999998</v>
      </c>
      <c r="J53" s="261" t="s">
        <v>682</v>
      </c>
    </row>
    <row r="54" spans="1:10" ht="18">
      <c r="A54" s="10" t="s">
        <v>664</v>
      </c>
      <c r="B54" s="184">
        <f>1500</f>
        <v>1500</v>
      </c>
      <c r="D54" s="260"/>
      <c r="E54" s="260"/>
      <c r="F54" s="260"/>
    </row>
    <row r="55" spans="1:10" ht="18">
      <c r="A55" s="10" t="s">
        <v>10</v>
      </c>
      <c r="B55" s="184">
        <f>B53-B54</f>
        <v>1020</v>
      </c>
      <c r="D55" s="261"/>
      <c r="E55" s="260"/>
      <c r="F55" s="260"/>
    </row>
    <row r="56" spans="1:10" ht="18">
      <c r="A56" s="10" t="s">
        <v>665</v>
      </c>
      <c r="D56" s="260"/>
      <c r="E56" s="260"/>
      <c r="F56" s="260"/>
    </row>
    <row r="57" spans="1:10" ht="18">
      <c r="A57" s="10" t="s">
        <v>10</v>
      </c>
      <c r="B57" s="11">
        <f>B55-B56</f>
        <v>1020</v>
      </c>
      <c r="E57" s="260"/>
      <c r="F57" s="260"/>
    </row>
    <row r="58" spans="1:10" ht="18">
      <c r="A58" s="10" t="s">
        <v>683</v>
      </c>
    </row>
    <row r="59" spans="1:10" ht="18">
      <c r="A59" s="10" t="s">
        <v>10</v>
      </c>
      <c r="B59" s="11">
        <f>B57-B58</f>
        <v>1020</v>
      </c>
      <c r="H59" s="11"/>
    </row>
    <row r="60" spans="1:10" ht="18">
      <c r="A60" s="10" t="s">
        <v>684</v>
      </c>
      <c r="B60">
        <v>250</v>
      </c>
    </row>
    <row r="61" spans="1:10" ht="18">
      <c r="A61" s="10" t="s">
        <v>10</v>
      </c>
      <c r="B61" s="11">
        <f>B59-B60</f>
        <v>770</v>
      </c>
      <c r="H61" s="248"/>
      <c r="I61" s="11"/>
    </row>
    <row r="62" spans="1:10" ht="18">
      <c r="A62" s="10" t="s">
        <v>685</v>
      </c>
      <c r="B62">
        <v>1000</v>
      </c>
    </row>
    <row r="63" spans="1:10">
      <c r="E63" s="11"/>
      <c r="F63" s="11"/>
      <c r="G63" s="11"/>
    </row>
    <row r="64" spans="1:10">
      <c r="B64" t="s">
        <v>686</v>
      </c>
      <c r="E64" s="11"/>
      <c r="F64" s="11"/>
      <c r="G64" s="11"/>
    </row>
    <row r="65" spans="2:10">
      <c r="B65">
        <v>21078084</v>
      </c>
      <c r="E65" s="11"/>
      <c r="F65" s="11"/>
      <c r="G65" s="11"/>
      <c r="H65" s="11"/>
    </row>
    <row r="66" spans="2:10">
      <c r="E66" s="11"/>
      <c r="F66" s="11"/>
      <c r="G66" s="11"/>
    </row>
    <row r="67" spans="2:10">
      <c r="E67" s="11"/>
      <c r="F67" s="11"/>
      <c r="G67" s="11"/>
    </row>
    <row r="68" spans="2:10">
      <c r="E68" s="11"/>
      <c r="F68" s="11"/>
      <c r="G68" s="11"/>
    </row>
    <row r="75" spans="2:10">
      <c r="B75" s="726"/>
      <c r="C75" s="726"/>
      <c r="D75" s="726"/>
      <c r="E75" s="726"/>
      <c r="F75" s="726"/>
      <c r="G75" s="726"/>
      <c r="H75" s="726"/>
      <c r="I75" s="726"/>
      <c r="J75" s="726"/>
    </row>
    <row r="86" spans="2:4">
      <c r="B86" s="258"/>
      <c r="C86" s="258"/>
      <c r="D86" s="258"/>
    </row>
  </sheetData>
  <mergeCells count="10">
    <mergeCell ref="A20:XFD20"/>
    <mergeCell ref="A28:XFD28"/>
    <mergeCell ref="A32:XFD32"/>
    <mergeCell ref="A1:H1"/>
    <mergeCell ref="B75:D75"/>
    <mergeCell ref="E75:G75"/>
    <mergeCell ref="H75:J75"/>
    <mergeCell ref="A50:B50"/>
    <mergeCell ref="D50:F50"/>
    <mergeCell ref="H50:J50"/>
  </mergeCells>
  <conditionalFormatting sqref="G6:G11">
    <cfRule type="cellIs" dxfId="96" priority="9" operator="lessThan">
      <formula>0</formula>
    </cfRule>
    <cfRule type="cellIs" dxfId="95" priority="10" operator="equal">
      <formula>0</formula>
    </cfRule>
    <cfRule type="cellIs" dxfId="94" priority="11" operator="greaterThan">
      <formula>0</formula>
    </cfRule>
  </conditionalFormatting>
  <conditionalFormatting sqref="G14:G19 G21:G27 G29:G31">
    <cfRule type="cellIs" dxfId="93" priority="12" operator="equal">
      <formula>0</formula>
    </cfRule>
    <cfRule type="cellIs" dxfId="92" priority="13" operator="lessThan">
      <formula>0</formula>
    </cfRule>
    <cfRule type="cellIs" dxfId="91" priority="14" operator="greaterThan">
      <formula>0</formula>
    </cfRule>
  </conditionalFormatting>
  <conditionalFormatting sqref="G33:G44">
    <cfRule type="cellIs" dxfId="90" priority="3" operator="greaterThan">
      <formula>0</formula>
    </cfRule>
  </conditionalFormatting>
  <conditionalFormatting sqref="G33:G46">
    <cfRule type="cellIs" dxfId="89" priority="1" operator="equal">
      <formula>0</formula>
    </cfRule>
    <cfRule type="cellIs" dxfId="88" priority="2" operator="lessThan">
      <formula>0</formula>
    </cfRule>
  </conditionalFormatting>
  <conditionalFormatting sqref="G45:G46">
    <cfRule type="cellIs" dxfId="87" priority="4" operator="greaterThan">
      <formula>0</formula>
    </cfRule>
    <cfRule type="cellIs" dxfId="86" priority="7"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8" operator="containsText" id="{051F8BE4-F79B-4612-A460-D03A25546998}">
            <xm:f>NOT(ISERROR(SEARCH("-",G48)))</xm:f>
            <xm:f>"-"</xm:f>
            <x14:dxf>
              <font>
                <color rgb="FF9C0006"/>
              </font>
              <fill>
                <patternFill>
                  <bgColor rgb="FFFFC7CE"/>
                </patternFill>
              </fill>
            </x14:dxf>
          </x14:cfRule>
          <xm:sqref>G48</xm:sqref>
        </x14:conditionalFormatting>
      </x14:conditionalFormatting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8B05-D050-401E-97F6-526E90EFB9F7}">
  <sheetPr codeName="Sheet57"/>
  <dimension ref="A1:K86"/>
  <sheetViews>
    <sheetView workbookViewId="0"/>
  </sheetViews>
  <sheetFormatPr defaultColWidth="11.33203125" defaultRowHeight="14.4" outlineLevelRow="2"/>
  <cols>
    <col min="1" max="1" width="30.109375" customWidth="1"/>
    <col min="2" max="2" width="28.109375" customWidth="1"/>
    <col min="3" max="6" width="25" customWidth="1"/>
    <col min="7" max="7" width="27.33203125" customWidth="1"/>
    <col min="8" max="8" width="20.44140625" customWidth="1"/>
    <col min="10" max="10" width="12" bestFit="1" customWidth="1"/>
  </cols>
  <sheetData>
    <row r="1" spans="1:10" ht="18">
      <c r="A1" s="251" t="str">
        <f ca="1">MID(CELL("filename",A1),FIND("]",CELL("filename",A1))+1,255)</f>
        <v>APR-MAY 2019</v>
      </c>
    </row>
    <row r="2" spans="1:10" ht="18">
      <c r="A2" s="256" t="str">
        <f ca="1">UPPER(TEXT((1&amp;LEFT(A$1,3))-1,"MMM"))&amp;"-"&amp;UPPER(TEXT((1&amp;RIGHT(LEFT(A$1,7),3))-1,"MMM"))&amp;" "&amp;RIGHT(A$1,4)</f>
        <v>MAR-APR 2019</v>
      </c>
      <c r="B2" s="13" t="s">
        <v>164</v>
      </c>
      <c r="C2" s="44" t="str">
        <f>"18/04/19 - 24/04/19"</f>
        <v>18/04/19 - 24/04/19</v>
      </c>
      <c r="D2" s="44" t="str">
        <f>TEXT(DATEVALUE(RIGHT(C2,8))+1,"dd/mm/yy")&amp; " - "&amp; TEXT(DATEVALUE(RIGHT(C2,8))+7,"dd/mm/yy")</f>
        <v>25/04/19 - 01/05/19</v>
      </c>
      <c r="E2" s="44" t="str">
        <f>TEXT(DATEVALUE(RIGHT(D2,8))+1,"dd/mm/yy")&amp; " - "&amp; TEXT(DATEVALUE(RIGHT(D2,8))+7,"dd/mm/yy")</f>
        <v>02/05/19 - 08/05/19</v>
      </c>
      <c r="F2" s="44" t="str">
        <f>TEXT(DATEVALUE(RIGHT(E2,8))+1,"dd/mm/yy")&amp; " - "&amp; TEXT(DATEVALUE(RIGHT(E2,8))+7,"dd/mm/yy")</f>
        <v>09/05/19 - 15/05/19</v>
      </c>
      <c r="G2" s="12" t="s">
        <v>10</v>
      </c>
      <c r="H2" s="9"/>
    </row>
    <row r="3" spans="1:10" ht="18">
      <c r="A3" s="13" t="s">
        <v>165</v>
      </c>
      <c r="B3" s="10">
        <f ca="1">SUM(B5,B14)</f>
        <v>3552.5540000000001</v>
      </c>
      <c r="C3" s="296">
        <f>SUM(C6:C25)</f>
        <v>2317.2599999999998</v>
      </c>
      <c r="D3" s="296">
        <f>SUM(D6:D25)</f>
        <v>164.06</v>
      </c>
      <c r="E3" s="296">
        <f>SUM(E6:E25)</f>
        <v>0</v>
      </c>
      <c r="F3" s="296">
        <f>SUM(F6:F25)</f>
        <v>0</v>
      </c>
      <c r="G3" s="10"/>
      <c r="H3" s="9"/>
    </row>
    <row r="4" spans="1:10" ht="18">
      <c r="A4" s="250"/>
      <c r="B4" s="10"/>
      <c r="C4" s="296"/>
      <c r="D4" s="296"/>
      <c r="E4" s="296"/>
      <c r="F4" s="296"/>
      <c r="G4" s="10"/>
      <c r="H4" s="9"/>
    </row>
    <row r="5" spans="1:10" ht="18">
      <c r="A5" s="178" t="s">
        <v>166</v>
      </c>
      <c r="B5" s="183">
        <f>SUM(B6:B11)</f>
        <v>2000.07</v>
      </c>
      <c r="C5" s="296"/>
      <c r="D5" s="296"/>
      <c r="E5" s="296"/>
      <c r="F5" s="296"/>
      <c r="G5" s="184">
        <f>ROUND(SUM(G6:G11),2)</f>
        <v>-96.43</v>
      </c>
      <c r="H5" s="9" t="s">
        <v>10</v>
      </c>
      <c r="I5">
        <f ca="1">SUM(I6:I11)+SUM(I16:I19)+SUM(I23:I27)+SUM(I30:I31)+SUM(I33:I33)+I45</f>
        <v>96.5</v>
      </c>
    </row>
    <row r="6" spans="1:10" ht="18" outlineLevel="1">
      <c r="A6" s="105" t="s">
        <v>167</v>
      </c>
      <c r="B6" s="17">
        <f>100-50.01</f>
        <v>49.99</v>
      </c>
      <c r="C6" s="10">
        <v>50.02</v>
      </c>
      <c r="D6" s="10"/>
      <c r="E6" s="10"/>
      <c r="F6" s="10"/>
      <c r="G6" s="10">
        <f t="shared" ref="G6:G11" si="0">IF(B6&lt;&gt;"",B6-C6-D6-E6-F6,"")</f>
        <v>-3.0000000000001137E-2</v>
      </c>
      <c r="H6" s="12" t="str">
        <f t="shared" ref="H6:H11" si="1">A6</f>
        <v xml:space="preserve">Car Petrol </v>
      </c>
      <c r="I6">
        <f t="shared" ref="I6:I11" si="2">IF(G6&lt;0,G6*-1,0)</f>
        <v>3.0000000000001137E-2</v>
      </c>
    </row>
    <row r="7" spans="1:10" ht="18" outlineLevel="1">
      <c r="A7" s="105" t="s">
        <v>577</v>
      </c>
      <c r="B7" s="10">
        <f>0</f>
        <v>0</v>
      </c>
      <c r="C7" s="10">
        <v>6.48</v>
      </c>
      <c r="D7" s="10">
        <f>13.99+13.01</f>
        <v>27</v>
      </c>
      <c r="E7" s="10"/>
      <c r="F7" s="10"/>
      <c r="G7" s="10">
        <f t="shared" si="0"/>
        <v>-33.480000000000004</v>
      </c>
      <c r="H7" s="12" t="str">
        <f t="shared" si="1"/>
        <v>Food/Bunnies/Toiletries</v>
      </c>
      <c r="I7">
        <f t="shared" si="2"/>
        <v>33.480000000000004</v>
      </c>
    </row>
    <row r="8" spans="1:10" ht="18" outlineLevel="1">
      <c r="A8" s="105" t="s">
        <v>687</v>
      </c>
      <c r="B8" s="10">
        <v>50</v>
      </c>
      <c r="C8" s="10">
        <v>50</v>
      </c>
      <c r="D8" s="10"/>
      <c r="E8" s="10"/>
      <c r="F8" s="10"/>
      <c r="G8" s="10">
        <f>IF(B8&lt;&gt;"",B8-C8-D8-E8-F8,"")</f>
        <v>0</v>
      </c>
      <c r="H8" s="12" t="str">
        <f>A8</f>
        <v>PT</v>
      </c>
      <c r="I8">
        <f>IF(G8&lt;0,G8*-1,0)</f>
        <v>0</v>
      </c>
    </row>
    <row r="9" spans="1:10" ht="18" outlineLevel="1">
      <c r="A9" s="105" t="s">
        <v>170</v>
      </c>
      <c r="B9" s="10">
        <v>150</v>
      </c>
      <c r="C9" s="10">
        <v>150</v>
      </c>
      <c r="D9" s="10">
        <v>45</v>
      </c>
      <c r="E9" s="10"/>
      <c r="F9" s="10"/>
      <c r="G9" s="10">
        <f t="shared" si="0"/>
        <v>-45</v>
      </c>
      <c r="H9" s="12" t="str">
        <f t="shared" si="1"/>
        <v>Gift Fund</v>
      </c>
      <c r="I9">
        <f t="shared" si="2"/>
        <v>45</v>
      </c>
    </row>
    <row r="10" spans="1:10" ht="18" outlineLevel="1">
      <c r="A10" s="105" t="s">
        <v>171</v>
      </c>
      <c r="B10" s="10">
        <f>2000-250</f>
        <v>1750</v>
      </c>
      <c r="C10" s="10">
        <v>1750</v>
      </c>
      <c r="D10" s="10"/>
      <c r="E10" s="10"/>
      <c r="F10" s="10"/>
      <c r="G10" s="10">
        <f t="shared" si="0"/>
        <v>0</v>
      </c>
      <c r="H10" s="12" t="str">
        <f t="shared" si="1"/>
        <v>Holiday Fund</v>
      </c>
      <c r="I10">
        <f t="shared" si="2"/>
        <v>0</v>
      </c>
    </row>
    <row r="11" spans="1:10" ht="18" outlineLevel="1">
      <c r="A11" s="105" t="s">
        <v>632</v>
      </c>
      <c r="B11" s="10">
        <f>100-99.92</f>
        <v>7.9999999999998295E-2</v>
      </c>
      <c r="C11" s="10">
        <v>18</v>
      </c>
      <c r="D11" s="10"/>
      <c r="E11" s="10"/>
      <c r="F11" s="10"/>
      <c r="G11" s="10">
        <f t="shared" si="0"/>
        <v>-17.920000000000002</v>
      </c>
      <c r="H11" s="12" t="str">
        <f t="shared" si="1"/>
        <v>Shared</v>
      </c>
      <c r="I11">
        <f t="shared" si="2"/>
        <v>17.920000000000002</v>
      </c>
    </row>
    <row r="12" spans="1:10" ht="18" outlineLevel="1">
      <c r="A12" s="105" t="s">
        <v>633</v>
      </c>
      <c r="B12" s="10">
        <f ca="1">IF(B48 &lt;&gt; 0,B48-B5-B14,0)</f>
        <v>418.21599999999967</v>
      </c>
      <c r="C12" s="10">
        <f>10+130+40+14.95+11.33</f>
        <v>206.28</v>
      </c>
      <c r="D12" s="10">
        <f>3.01+2.5+7.77+70+7.78</f>
        <v>91.06</v>
      </c>
      <c r="E12" s="10"/>
      <c r="F12" s="10"/>
      <c r="G12" s="10">
        <f ca="1">IF(B12&lt;&gt;"",B12-C12-D12-E12-F12-I5,"")</f>
        <v>24.375999999999664</v>
      </c>
      <c r="H12" s="12" t="s">
        <v>172</v>
      </c>
      <c r="I12" s="11"/>
      <c r="J12" s="11"/>
    </row>
    <row r="13" spans="1:10" ht="18">
      <c r="A13" s="185"/>
      <c r="B13" s="10"/>
      <c r="C13" s="10"/>
      <c r="D13" s="10"/>
      <c r="E13" s="10"/>
      <c r="F13" s="10"/>
      <c r="G13" s="10"/>
      <c r="H13" s="9"/>
      <c r="J13" s="11"/>
    </row>
    <row r="14" spans="1:10" ht="18">
      <c r="A14" s="177" t="s">
        <v>422</v>
      </c>
      <c r="B14" s="183">
        <f ca="1">B15+B22+B29+B33+B45</f>
        <v>1552.4839999999999</v>
      </c>
      <c r="C14" s="10"/>
      <c r="D14" s="10"/>
      <c r="E14" s="10"/>
      <c r="F14" s="10"/>
      <c r="G14" s="234">
        <f ca="1">ROUND(SUM(G15,G22,G29,G33,(B45-IF(SUM(C45:F45)&gt;B45,B45,SUM(C45:F45)))),2)</f>
        <v>726.34</v>
      </c>
      <c r="H14" s="237" t="s">
        <v>10</v>
      </c>
      <c r="I14" s="11"/>
    </row>
    <row r="15" spans="1:10" ht="18">
      <c r="A15" s="105" t="s">
        <v>594</v>
      </c>
      <c r="B15" s="183">
        <f>SUM(B16:B20)</f>
        <v>719.43</v>
      </c>
      <c r="C15" s="10"/>
      <c r="D15" s="10"/>
      <c r="E15" s="10"/>
      <c r="F15" s="10"/>
      <c r="G15" s="235">
        <f>IF(B15&lt;&gt;"",SUM(G16:G20),0)</f>
        <v>678.43</v>
      </c>
      <c r="H15" s="236" t="str">
        <f t="shared" ref="H15:H20" si="3">A15</f>
        <v>House Outgoings</v>
      </c>
    </row>
    <row r="16" spans="1:10" ht="18" outlineLevel="2">
      <c r="A16" s="13" t="s">
        <v>688</v>
      </c>
      <c r="B16" s="184">
        <v>452.64</v>
      </c>
      <c r="C16" s="10"/>
      <c r="D16" s="10"/>
      <c r="E16" s="10"/>
      <c r="F16" s="10"/>
      <c r="G16" s="10">
        <f>IF(B16&lt;&gt;"",B16-C16-D16-E16-F16,"")</f>
        <v>452.64</v>
      </c>
      <c r="H16" s="12" t="str">
        <f t="shared" si="3"/>
        <v>Mortgage (15th)</v>
      </c>
      <c r="I16">
        <f>IF(G16&lt;0,G16*-1,0)</f>
        <v>0</v>
      </c>
    </row>
    <row r="17" spans="1:11" ht="18" outlineLevel="2">
      <c r="A17" s="13" t="s">
        <v>596</v>
      </c>
      <c r="B17" s="184">
        <v>124</v>
      </c>
      <c r="C17" s="10"/>
      <c r="D17" s="10"/>
      <c r="E17" s="10"/>
      <c r="F17" s="10"/>
      <c r="G17" s="10">
        <f>IF(B17&lt;&gt;"",B17-C17-D17-E17-F17,"")</f>
        <v>124</v>
      </c>
      <c r="H17" s="12" t="str">
        <f t="shared" si="3"/>
        <v>Council tax</v>
      </c>
      <c r="I17">
        <f>IF(G17&lt;0,G17*-1,0)</f>
        <v>0</v>
      </c>
      <c r="J17" s="11"/>
      <c r="K17" s="11"/>
    </row>
    <row r="18" spans="1:11" ht="18" outlineLevel="2">
      <c r="A18" s="13" t="s">
        <v>634</v>
      </c>
      <c r="B18" s="184">
        <f>17+40</f>
        <v>57</v>
      </c>
      <c r="C18" s="10"/>
      <c r="D18" s="10">
        <v>1</v>
      </c>
      <c r="E18" s="10"/>
      <c r="F18" s="10"/>
      <c r="G18" s="10">
        <f>IF(B18&lt;&gt;"",B18-C18-D18-E18-F18,"")</f>
        <v>56</v>
      </c>
      <c r="H18" s="12" t="str">
        <f t="shared" si="3"/>
        <v>Utilities</v>
      </c>
      <c r="I18">
        <f>IF(G18&lt;0,G18*-1,0)</f>
        <v>0</v>
      </c>
    </row>
    <row r="19" spans="1:11" ht="18" outlineLevel="2">
      <c r="A19" s="13" t="s">
        <v>600</v>
      </c>
      <c r="B19" s="184">
        <f>4.52+16.61+8.56+16.1</f>
        <v>45.79</v>
      </c>
      <c r="C19" s="10"/>
      <c r="D19" s="10"/>
      <c r="E19" s="10"/>
      <c r="F19" s="10"/>
      <c r="G19" s="10">
        <f>IF(B19&lt;&gt;"",B19-C19-D19-E19-F19,"")</f>
        <v>45.79</v>
      </c>
      <c r="H19" s="12" t="str">
        <f t="shared" si="3"/>
        <v>Insurance</v>
      </c>
      <c r="I19">
        <f>IF(G19&lt;0,G19*-1,0)</f>
        <v>0</v>
      </c>
    </row>
    <row r="20" spans="1:11" ht="18" outlineLevel="2">
      <c r="A20" s="13" t="s">
        <v>689</v>
      </c>
      <c r="B20" s="184">
        <v>40</v>
      </c>
      <c r="C20" s="10">
        <v>40</v>
      </c>
      <c r="D20" s="10"/>
      <c r="E20" s="10"/>
      <c r="F20" s="10"/>
      <c r="G20" s="10">
        <f>IF(B20&lt;&gt;"",B20-C20-D20-E20-F20,"")</f>
        <v>0</v>
      </c>
      <c r="H20" s="12" t="str">
        <f t="shared" si="3"/>
        <v>The Range (24th)</v>
      </c>
    </row>
    <row r="21" spans="1:11" s="747" customFormat="1" ht="18" outlineLevel="2">
      <c r="A21" s="747" t="str">
        <f>IF(B21&lt;&gt;"",B21-C21-D21-E21-F21,"")</f>
        <v/>
      </c>
    </row>
    <row r="22" spans="1:11" ht="18" outlineLevel="1">
      <c r="A22" s="105" t="s">
        <v>601</v>
      </c>
      <c r="B22" s="296">
        <f>SUM(B23:B27)</f>
        <v>86.01</v>
      </c>
      <c r="C22" s="10"/>
      <c r="D22" s="10"/>
      <c r="E22" s="10"/>
      <c r="F22" s="10"/>
      <c r="G22" s="235">
        <f>IF(B22&lt;&gt;"",SUM(G23:G27),0)</f>
        <v>22.98</v>
      </c>
      <c r="H22" s="236" t="str">
        <f t="shared" ref="H22:H27" si="4">A22</f>
        <v>Tech</v>
      </c>
      <c r="I22" s="11"/>
    </row>
    <row r="23" spans="1:11" ht="18" outlineLevel="2">
      <c r="A23" s="13" t="s">
        <v>602</v>
      </c>
      <c r="B23" s="33">
        <v>38.49</v>
      </c>
      <c r="C23" s="10">
        <v>38.49</v>
      </c>
      <c r="D23" s="10"/>
      <c r="E23" s="10"/>
      <c r="F23" s="10"/>
      <c r="G23" s="10">
        <f t="shared" ref="G23:G27" si="5">IF(B23&lt;&gt;"",B23-C23-D23-E23-F23,"")</f>
        <v>0</v>
      </c>
      <c r="H23" s="12" t="str">
        <f t="shared" si="4"/>
        <v>Broadband / TV</v>
      </c>
      <c r="I23">
        <f t="shared" ref="I23:I27" si="6">IF(G23&lt;0,G23*-1,0)</f>
        <v>0</v>
      </c>
    </row>
    <row r="24" spans="1:11" ht="18" outlineLevel="2">
      <c r="A24" s="13" t="s">
        <v>587</v>
      </c>
      <c r="B24" s="33">
        <v>7.99</v>
      </c>
      <c r="C24" s="10">
        <v>7.99</v>
      </c>
      <c r="D24" s="10"/>
      <c r="E24" s="10"/>
      <c r="F24" s="10"/>
      <c r="G24" s="10">
        <f t="shared" si="5"/>
        <v>0</v>
      </c>
      <c r="H24" s="12" t="str">
        <f t="shared" si="4"/>
        <v>Sky Movies (14th)</v>
      </c>
      <c r="I24">
        <f t="shared" si="6"/>
        <v>0</v>
      </c>
    </row>
    <row r="25" spans="1:11" ht="18" outlineLevel="2">
      <c r="A25" s="13" t="s">
        <v>582</v>
      </c>
      <c r="B25" s="33">
        <v>7.99</v>
      </c>
      <c r="C25" s="10"/>
      <c r="D25" s="10"/>
      <c r="E25" s="10"/>
      <c r="F25" s="10"/>
      <c r="G25" s="10">
        <f t="shared" si="5"/>
        <v>7.99</v>
      </c>
      <c r="H25" s="12" t="str">
        <f t="shared" si="4"/>
        <v>Onedrive (6th)</v>
      </c>
      <c r="I25">
        <f t="shared" si="6"/>
        <v>0</v>
      </c>
    </row>
    <row r="26" spans="1:11" ht="18" outlineLevel="2">
      <c r="A26" s="13" t="s">
        <v>589</v>
      </c>
      <c r="B26" s="33">
        <v>14.99</v>
      </c>
      <c r="C26" s="10"/>
      <c r="D26" s="10"/>
      <c r="E26" s="10"/>
      <c r="F26" s="10"/>
      <c r="G26" s="10">
        <f t="shared" si="5"/>
        <v>14.99</v>
      </c>
      <c r="H26" s="12" t="str">
        <f t="shared" si="4"/>
        <v>Music</v>
      </c>
      <c r="I26">
        <f t="shared" si="6"/>
        <v>0</v>
      </c>
    </row>
    <row r="27" spans="1:11" ht="18" outlineLevel="2" collapsed="1">
      <c r="A27" s="13" t="s">
        <v>603</v>
      </c>
      <c r="B27" s="33">
        <v>16.55</v>
      </c>
      <c r="C27" s="10">
        <v>16.55</v>
      </c>
      <c r="D27" s="10"/>
      <c r="E27" s="10"/>
      <c r="F27" s="10"/>
      <c r="G27" s="10">
        <f t="shared" si="5"/>
        <v>0</v>
      </c>
      <c r="H27" s="12" t="str">
        <f t="shared" si="4"/>
        <v>Matt Phone  (21st)</v>
      </c>
      <c r="I27">
        <f t="shared" si="6"/>
        <v>0</v>
      </c>
    </row>
    <row r="28" spans="1:11" s="747" customFormat="1" ht="18" outlineLevel="2">
      <c r="A28" s="747" t="str">
        <f>IF(B28&lt;&gt;"",B28-C28-D28-E28-F28,"")</f>
        <v/>
      </c>
    </row>
    <row r="29" spans="1:11" ht="18" outlineLevel="1">
      <c r="A29" s="105" t="s">
        <v>183</v>
      </c>
      <c r="B29" s="296">
        <f>SUM(B30:B31)</f>
        <v>25</v>
      </c>
      <c r="C29" s="10"/>
      <c r="D29" s="10"/>
      <c r="E29" s="10"/>
      <c r="F29" s="10"/>
      <c r="G29" s="235">
        <f>IF(B29&lt;&gt;"",SUM(G30:G31),0)</f>
        <v>25</v>
      </c>
      <c r="H29" s="236" t="str">
        <f>A29</f>
        <v>Savings</v>
      </c>
    </row>
    <row r="30" spans="1:11" ht="18" hidden="1" outlineLevel="2">
      <c r="A30" s="13" t="s">
        <v>590</v>
      </c>
      <c r="B30" s="33">
        <v>0</v>
      </c>
      <c r="C30" s="10"/>
      <c r="D30" s="10"/>
      <c r="E30" s="10"/>
      <c r="F30" s="10"/>
      <c r="G30" s="10">
        <f>IF(B30&lt;&gt;"",B30-C30-D30-E30-F30,"")</f>
        <v>0</v>
      </c>
      <c r="H30" s="12" t="str">
        <f>A30</f>
        <v>Contingency</v>
      </c>
      <c r="I30">
        <f>IF(G30&lt;0,G30*-1,0)</f>
        <v>0</v>
      </c>
    </row>
    <row r="31" spans="1:11" ht="18" hidden="1" outlineLevel="2">
      <c r="A31" s="13" t="s">
        <v>591</v>
      </c>
      <c r="B31" s="33">
        <v>25</v>
      </c>
      <c r="C31" s="10"/>
      <c r="D31" s="10"/>
      <c r="E31" s="10"/>
      <c r="F31" s="10"/>
      <c r="G31" s="10">
        <f>IF(B31&lt;&gt;"",B31-C31-D31-E31-F31,"")</f>
        <v>25</v>
      </c>
      <c r="H31" s="12" t="str">
        <f>A31</f>
        <v>HTB</v>
      </c>
      <c r="I31">
        <f>IF(G31&lt;0,G31*-1,0)</f>
        <v>0</v>
      </c>
    </row>
    <row r="32" spans="1:11" s="748" customFormat="1" ht="18" hidden="1" outlineLevel="2"/>
    <row r="33" spans="1:9" ht="18" outlineLevel="1" collapsed="1">
      <c r="A33" s="105" t="s">
        <v>690</v>
      </c>
      <c r="B33" s="46">
        <f>SUM(B34:B42)</f>
        <v>322.04000000000002</v>
      </c>
      <c r="C33" s="10"/>
      <c r="D33" s="10"/>
      <c r="E33" s="10"/>
      <c r="F33" s="10"/>
      <c r="G33" s="235">
        <f>IF(B33&lt;&gt;"",SUM(G34:G42),0)</f>
        <v>-6.9999999999993179E-2</v>
      </c>
      <c r="H33" s="236" t="str">
        <f>A33</f>
        <v>Cars</v>
      </c>
      <c r="I33">
        <f>IF(G33&lt;0,G33*-1,0)</f>
        <v>6.9999999999993179E-2</v>
      </c>
    </row>
    <row r="34" spans="1:9" ht="18" outlineLevel="2">
      <c r="A34" s="13" t="s">
        <v>667</v>
      </c>
      <c r="B34" s="46">
        <v>0</v>
      </c>
      <c r="C34" s="10"/>
      <c r="D34" s="10"/>
      <c r="E34" s="10"/>
      <c r="F34" s="10"/>
      <c r="G34" s="296">
        <f t="shared" ref="G34:G42" si="7">IF(B34&lt;&gt;"",B34-C34-D34-E34-F34,"")</f>
        <v>0</v>
      </c>
      <c r="H34" s="12" t="str">
        <f t="shared" ref="H34:H42" si="8">A34</f>
        <v>M - Finance</v>
      </c>
    </row>
    <row r="35" spans="1:9" ht="18" outlineLevel="2">
      <c r="A35" s="13" t="s">
        <v>691</v>
      </c>
      <c r="B35" s="46">
        <f>27.56</f>
        <v>27.56</v>
      </c>
      <c r="C35" s="10"/>
      <c r="D35" s="10">
        <v>27.56</v>
      </c>
      <c r="E35" s="10"/>
      <c r="F35" s="10"/>
      <c r="G35" s="296">
        <f t="shared" si="7"/>
        <v>0</v>
      </c>
      <c r="H35" s="12" t="str">
        <f t="shared" si="8"/>
        <v>M -Tax (1st)</v>
      </c>
    </row>
    <row r="36" spans="1:9" ht="18" outlineLevel="2">
      <c r="A36" s="13" t="s">
        <v>669</v>
      </c>
      <c r="B36" s="46">
        <v>0</v>
      </c>
      <c r="C36" s="10"/>
      <c r="D36" s="10"/>
      <c r="E36" s="10"/>
      <c r="F36" s="10"/>
      <c r="G36" s="296">
        <f t="shared" si="7"/>
        <v>0</v>
      </c>
      <c r="H36" s="12" t="str">
        <f t="shared" si="8"/>
        <v>M - Service</v>
      </c>
    </row>
    <row r="37" spans="1:9" ht="18" outlineLevel="2">
      <c r="A37" s="13" t="s">
        <v>670</v>
      </c>
      <c r="B37" s="46">
        <v>0</v>
      </c>
      <c r="C37" s="10"/>
      <c r="D37" s="10"/>
      <c r="E37" s="10"/>
      <c r="F37" s="10"/>
      <c r="G37" s="296">
        <f t="shared" si="7"/>
        <v>0</v>
      </c>
      <c r="H37" s="12" t="str">
        <f t="shared" si="8"/>
        <v>M - Insurance</v>
      </c>
    </row>
    <row r="38" spans="1:9" ht="18" outlineLevel="2">
      <c r="A38" s="13" t="s">
        <v>671</v>
      </c>
      <c r="B38" s="46">
        <v>179</v>
      </c>
      <c r="C38" s="10"/>
      <c r="D38" s="10">
        <v>179.07</v>
      </c>
      <c r="E38" s="10"/>
      <c r="F38" s="10"/>
      <c r="G38" s="296">
        <f t="shared" si="7"/>
        <v>-6.9999999999993179E-2</v>
      </c>
      <c r="H38" s="12" t="str">
        <f t="shared" si="8"/>
        <v>K - Finance</v>
      </c>
    </row>
    <row r="39" spans="1:9" ht="18" outlineLevel="2">
      <c r="A39" s="13" t="s">
        <v>692</v>
      </c>
      <c r="B39" s="46">
        <v>12.25</v>
      </c>
      <c r="C39" s="10"/>
      <c r="D39" s="10">
        <v>12.25</v>
      </c>
      <c r="E39" s="10"/>
      <c r="F39" s="10"/>
      <c r="G39" s="296">
        <f t="shared" si="7"/>
        <v>0</v>
      </c>
      <c r="H39" s="12" t="str">
        <f t="shared" si="8"/>
        <v>K - Tax (1st)</v>
      </c>
    </row>
    <row r="40" spans="1:9" ht="18" outlineLevel="2">
      <c r="A40" s="13" t="s">
        <v>673</v>
      </c>
      <c r="B40" s="46">
        <v>0</v>
      </c>
      <c r="C40" s="10"/>
      <c r="D40" s="10"/>
      <c r="E40" s="10"/>
      <c r="F40" s="10"/>
      <c r="G40" s="296">
        <f t="shared" si="7"/>
        <v>0</v>
      </c>
      <c r="H40" s="12" t="str">
        <f t="shared" si="8"/>
        <v>K - Service</v>
      </c>
    </row>
    <row r="41" spans="1:9" ht="18" outlineLevel="2">
      <c r="A41" s="13" t="s">
        <v>674</v>
      </c>
      <c r="B41" s="46">
        <v>103.23</v>
      </c>
      <c r="C41" s="10">
        <v>103.23</v>
      </c>
      <c r="D41" s="10"/>
      <c r="E41" s="10"/>
      <c r="F41" s="10"/>
      <c r="G41" s="296">
        <f t="shared" si="7"/>
        <v>0</v>
      </c>
      <c r="H41" s="12" t="str">
        <f t="shared" si="8"/>
        <v>K - Insurance</v>
      </c>
    </row>
    <row r="42" spans="1:9" ht="18" outlineLevel="2">
      <c r="A42" s="13" t="s">
        <v>675</v>
      </c>
      <c r="B42" s="46">
        <v>0</v>
      </c>
      <c r="C42" s="10"/>
      <c r="D42" s="10"/>
      <c r="E42" s="10"/>
      <c r="F42" s="10"/>
      <c r="G42" s="296">
        <f t="shared" si="7"/>
        <v>0</v>
      </c>
      <c r="H42" s="12" t="str">
        <f t="shared" si="8"/>
        <v>MOT's</v>
      </c>
    </row>
    <row r="43" spans="1:9" ht="18" outlineLevel="1">
      <c r="A43" s="249"/>
      <c r="B43" s="46"/>
      <c r="C43" s="10"/>
      <c r="D43" s="10"/>
      <c r="E43" s="10"/>
      <c r="F43" s="10"/>
      <c r="G43" s="296"/>
      <c r="H43" s="12"/>
    </row>
    <row r="44" spans="1:9" ht="18" outlineLevel="1">
      <c r="A44" s="245" t="s">
        <v>676</v>
      </c>
      <c r="B44" s="46"/>
      <c r="C44" s="10">
        <f>D76</f>
        <v>499.72</v>
      </c>
      <c r="D44" s="10"/>
      <c r="E44" s="10"/>
      <c r="F44" s="10"/>
      <c r="G44" s="296">
        <f>SUM(C44:F44)</f>
        <v>499.72</v>
      </c>
      <c r="H44" s="12" t="str">
        <f>A44</f>
        <v>Credit Card In</v>
      </c>
    </row>
    <row r="45" spans="1:9" ht="18">
      <c r="A45" s="245" t="s">
        <v>677</v>
      </c>
      <c r="B45" s="253">
        <f ca="1">IF(ISREF(INDIRECT(_xlfn.CONCAT("'",A$2,"'","!A1"))),INDIRECT(_xlfn.CONCAT("'",A$2,"'","!",_xlfn.CONCAT("G",MATCH("Credit Card Out",INDIRECT(_xlfn.CONCAT("'",A$2,"'",,"!$A$1:$A$50")),0)))),0)/B46+250-85.58+50.01+35+99.92-34.93-150</f>
        <v>400.00400000000002</v>
      </c>
      <c r="C45" s="10">
        <v>400</v>
      </c>
      <c r="D45" s="10"/>
      <c r="E45" s="10"/>
      <c r="F45" s="10"/>
      <c r="G45" s="246">
        <f ca="1">IF(B45&lt;&gt;"",(IF(ISREF(INDIRECT(_xlfn.CONCAT("'",A$2,"'","!A1"))),INDIRECT(_xlfn.CONCAT("'",A$2,"'","!",_xlfn.CONCAT("G",MATCH("Credit Card Out",INDIRECT(_xlfn.CONCAT("'",A$2,"'",,"!$A$1:$A$50")),0)))),0)+G44)-C45-D45-E45-F45,"")</f>
        <v>1277.6399999999999</v>
      </c>
      <c r="H45" s="12" t="str">
        <f>A45</f>
        <v>Credit Card Out</v>
      </c>
      <c r="I45">
        <f ca="1">IF(B45-SUM(C45:F45)&lt;0,(B45-SUM(C45:F45))*-1,0)</f>
        <v>0</v>
      </c>
    </row>
    <row r="46" spans="1:9" ht="18">
      <c r="A46" s="245" t="s">
        <v>11</v>
      </c>
      <c r="B46" s="255">
        <f ca="1">IF(ISREF(INDIRECT(_xlfn.CONCAT("'",A$2,"'","!A1"))),INDIRECT(_xlfn.CONCAT("'",A$2,"'","!",_xlfn.CONCAT("B",MATCH("Target",INDIRECT(_xlfn.CONCAT("'",A$2,"'",,"!$A$1:$A$50")),0)))),0)-1</f>
        <v>5</v>
      </c>
      <c r="C46" s="10"/>
      <c r="D46" s="10"/>
      <c r="E46" s="10"/>
      <c r="F46" s="10"/>
      <c r="G46" s="246"/>
      <c r="H46" s="12" t="str">
        <f>A46</f>
        <v>Target</v>
      </c>
    </row>
    <row r="47" spans="1:9" ht="18">
      <c r="A47" s="208"/>
      <c r="B47" s="10"/>
      <c r="C47" s="10"/>
      <c r="D47" s="10"/>
      <c r="E47" s="10"/>
      <c r="F47" s="10"/>
      <c r="G47" s="10"/>
      <c r="H47" s="48"/>
    </row>
    <row r="48" spans="1:9" ht="18">
      <c r="A48" s="179" t="s">
        <v>186</v>
      </c>
      <c r="B48" s="296">
        <f>SUM(C48:F48)</f>
        <v>3970.7699999999995</v>
      </c>
      <c r="C48" s="26">
        <f>2221.36+38.24+1415+35+18.99+23.95+103.23</f>
        <v>3855.7699999999995</v>
      </c>
      <c r="D48" s="26">
        <f>45+70</f>
        <v>115</v>
      </c>
      <c r="E48" s="27"/>
      <c r="F48" s="36"/>
      <c r="G48" s="46" t="str">
        <f ca="1">(ROUND(SUM(G5,G12,G14),2) +I5) &amp; " / " &amp; B48</f>
        <v>750.79 / 3970.77</v>
      </c>
      <c r="H48" s="10"/>
      <c r="I48" s="11"/>
    </row>
    <row r="49" spans="1:10" ht="18">
      <c r="A49" s="24"/>
      <c r="B49" s="10"/>
      <c r="C49" s="49"/>
      <c r="D49" s="26"/>
      <c r="E49" s="23"/>
      <c r="F49" s="25"/>
      <c r="G49" s="79"/>
      <c r="H49" s="11"/>
    </row>
    <row r="50" spans="1:10" ht="17.399999999999999">
      <c r="A50" s="754" t="s">
        <v>354</v>
      </c>
      <c r="B50" s="755"/>
      <c r="C50" s="59"/>
      <c r="D50" s="755" t="s">
        <v>663</v>
      </c>
      <c r="E50" s="755"/>
      <c r="F50" s="755"/>
      <c r="G50" s="11"/>
      <c r="H50" s="755" t="s">
        <v>678</v>
      </c>
      <c r="I50" s="755"/>
      <c r="J50" s="755"/>
    </row>
    <row r="51" spans="1:10" ht="18">
      <c r="A51" s="11" t="s">
        <v>650</v>
      </c>
      <c r="B51" s="11">
        <f>3308.9+110.61+100+350</f>
        <v>3869.51</v>
      </c>
      <c r="C51" s="262"/>
      <c r="D51" s="259" t="s">
        <v>679</v>
      </c>
      <c r="E51" s="259" t="s">
        <v>680</v>
      </c>
      <c r="F51" s="259" t="s">
        <v>681</v>
      </c>
      <c r="H51" s="11" t="str">
        <f>"Out ("&amp;SUM(H52:H60)&amp;")"</f>
        <v>Out (0)</v>
      </c>
      <c r="I51" s="259" t="str">
        <f>"In ("&amp;SUM(I52:I60)&amp;")"</f>
        <v>In (42.94)</v>
      </c>
      <c r="J51" s="259" t="s">
        <v>681</v>
      </c>
    </row>
    <row r="52" spans="1:10" ht="18">
      <c r="A52" s="11" t="s">
        <v>11</v>
      </c>
      <c r="B52">
        <v>4000</v>
      </c>
      <c r="C52" s="184"/>
      <c r="D52" s="260">
        <v>13.48</v>
      </c>
      <c r="E52" s="260" t="s">
        <v>693</v>
      </c>
      <c r="F52" s="261" t="s">
        <v>354</v>
      </c>
      <c r="H52" s="260"/>
      <c r="I52" s="261">
        <v>23.95</v>
      </c>
      <c r="J52" s="261" t="s">
        <v>682</v>
      </c>
    </row>
    <row r="53" spans="1:10" ht="18">
      <c r="A53" s="10" t="s">
        <v>10</v>
      </c>
      <c r="B53" s="11">
        <f>B52-B51</f>
        <v>130.48999999999978</v>
      </c>
      <c r="D53" s="260">
        <v>40.01</v>
      </c>
      <c r="E53" s="260" t="s">
        <v>694</v>
      </c>
      <c r="F53" s="261" t="s">
        <v>354</v>
      </c>
      <c r="G53" s="11"/>
      <c r="H53" s="195"/>
      <c r="I53" s="261">
        <v>18.989999999999998</v>
      </c>
      <c r="J53" s="261" t="s">
        <v>682</v>
      </c>
    </row>
    <row r="54" spans="1:10" ht="18">
      <c r="A54" s="10" t="s">
        <v>664</v>
      </c>
      <c r="B54" s="184"/>
      <c r="D54" s="260">
        <f>116.97-(17.99*2)</f>
        <v>80.990000000000009</v>
      </c>
      <c r="E54" s="260" t="s">
        <v>694</v>
      </c>
      <c r="F54" s="261" t="s">
        <v>354</v>
      </c>
      <c r="G54">
        <f>921.98-915.5</f>
        <v>6.4800000000000182</v>
      </c>
    </row>
    <row r="55" spans="1:10" ht="18">
      <c r="A55" s="10" t="s">
        <v>10</v>
      </c>
      <c r="B55" s="184">
        <f>B53-B54</f>
        <v>130.48999999999978</v>
      </c>
      <c r="D55">
        <f>17.99*2</f>
        <v>35.979999999999997</v>
      </c>
      <c r="E55" s="260" t="s">
        <v>695</v>
      </c>
      <c r="F55" s="261" t="s">
        <v>633</v>
      </c>
    </row>
    <row r="56" spans="1:10" ht="18">
      <c r="A56" s="10"/>
      <c r="D56" s="261">
        <v>38</v>
      </c>
      <c r="E56" s="260" t="s">
        <v>696</v>
      </c>
      <c r="F56" s="261" t="s">
        <v>354</v>
      </c>
    </row>
    <row r="57" spans="1:10" ht="18">
      <c r="A57" s="10"/>
      <c r="B57" s="11"/>
      <c r="D57" s="260">
        <v>32.979999999999997</v>
      </c>
      <c r="E57" s="260" t="s">
        <v>697</v>
      </c>
      <c r="F57" s="261" t="s">
        <v>354</v>
      </c>
    </row>
    <row r="58" spans="1:10" ht="18">
      <c r="A58" s="10"/>
      <c r="D58" s="260">
        <v>12</v>
      </c>
      <c r="E58" s="260" t="s">
        <v>698</v>
      </c>
      <c r="F58" s="261" t="s">
        <v>354</v>
      </c>
      <c r="J58">
        <f>688.57-680.79</f>
        <v>7.7800000000000864</v>
      </c>
    </row>
    <row r="59" spans="1:10" ht="18">
      <c r="A59" s="10"/>
      <c r="B59" s="11"/>
      <c r="D59" s="260">
        <v>58.97</v>
      </c>
      <c r="E59" s="260" t="s">
        <v>694</v>
      </c>
      <c r="F59" s="261" t="s">
        <v>354</v>
      </c>
      <c r="G59">
        <f>5000-1431.54-160-914.98-500</f>
        <v>1993.48</v>
      </c>
      <c r="H59" s="11"/>
    </row>
    <row r="60" spans="1:10" ht="18">
      <c r="A60" s="10"/>
      <c r="D60" s="260">
        <v>22.08</v>
      </c>
      <c r="E60" t="s">
        <v>699</v>
      </c>
      <c r="F60" t="s">
        <v>633</v>
      </c>
    </row>
    <row r="61" spans="1:10" ht="18">
      <c r="A61" s="10"/>
      <c r="B61" s="11"/>
      <c r="D61" s="11">
        <v>-24</v>
      </c>
      <c r="E61" s="260" t="s">
        <v>700</v>
      </c>
      <c r="F61" s="261" t="s">
        <v>354</v>
      </c>
      <c r="H61" s="248"/>
      <c r="I61" s="11"/>
    </row>
    <row r="62" spans="1:10" ht="18">
      <c r="A62" s="10"/>
      <c r="D62" s="260">
        <v>15</v>
      </c>
      <c r="E62" s="260" t="s">
        <v>68</v>
      </c>
      <c r="F62" s="261" t="s">
        <v>632</v>
      </c>
    </row>
    <row r="63" spans="1:10">
      <c r="D63" s="260">
        <v>30</v>
      </c>
      <c r="E63" s="260" t="s">
        <v>68</v>
      </c>
      <c r="F63" s="261" t="s">
        <v>701</v>
      </c>
      <c r="G63" s="11"/>
    </row>
    <row r="64" spans="1:10">
      <c r="B64" t="s">
        <v>686</v>
      </c>
      <c r="D64">
        <v>50.01</v>
      </c>
      <c r="E64" s="260" t="s">
        <v>702</v>
      </c>
      <c r="F64" s="261" t="s">
        <v>702</v>
      </c>
      <c r="G64" s="11" t="s">
        <v>703</v>
      </c>
    </row>
    <row r="65" spans="2:11">
      <c r="B65">
        <v>21078084</v>
      </c>
      <c r="D65">
        <f>4.2+3.3+2.5+4.5+7.5+6+11</f>
        <v>39</v>
      </c>
      <c r="E65" s="260" t="s">
        <v>704</v>
      </c>
      <c r="F65" s="261" t="s">
        <v>632</v>
      </c>
      <c r="G65" s="11"/>
      <c r="H65" s="11"/>
    </row>
    <row r="66" spans="2:11">
      <c r="D66">
        <v>38.1</v>
      </c>
      <c r="E66" s="260" t="s">
        <v>705</v>
      </c>
      <c r="F66" s="261" t="s">
        <v>632</v>
      </c>
    </row>
    <row r="67" spans="2:11">
      <c r="D67">
        <v>36.51</v>
      </c>
      <c r="E67" s="260" t="s">
        <v>706</v>
      </c>
    </row>
    <row r="68" spans="2:11">
      <c r="D68">
        <v>9.3000000000000007</v>
      </c>
      <c r="E68" s="260" t="s">
        <v>707</v>
      </c>
      <c r="F68" s="261" t="s">
        <v>633</v>
      </c>
    </row>
    <row r="69" spans="2:11">
      <c r="D69">
        <v>7.82</v>
      </c>
      <c r="E69" s="260" t="s">
        <v>708</v>
      </c>
      <c r="F69" s="261" t="s">
        <v>632</v>
      </c>
      <c r="H69">
        <f>750.79-25-123</f>
        <v>602.79</v>
      </c>
      <c r="I69" t="s">
        <v>709</v>
      </c>
      <c r="J69" t="s">
        <v>710</v>
      </c>
    </row>
    <row r="70" spans="2:11">
      <c r="H70">
        <v>5.69</v>
      </c>
      <c r="I70" t="s">
        <v>711</v>
      </c>
    </row>
    <row r="71" spans="2:11">
      <c r="D71">
        <f>SUMIF(F49:F68,F71,D49:D68)</f>
        <v>30</v>
      </c>
      <c r="F71" s="261" t="s">
        <v>701</v>
      </c>
      <c r="H71">
        <v>81.78</v>
      </c>
      <c r="I71" t="s">
        <v>701</v>
      </c>
    </row>
    <row r="72" spans="2:11">
      <c r="D72">
        <f>SUMIF(F50:F69,F72,D50:D69)</f>
        <v>99.919999999999987</v>
      </c>
      <c r="F72" s="261" t="s">
        <v>632</v>
      </c>
      <c r="H72">
        <f>735.01-38.87-J86</f>
        <v>242.30999999999995</v>
      </c>
      <c r="I72" t="s">
        <v>606</v>
      </c>
      <c r="K72">
        <v>2390.2600000000002</v>
      </c>
    </row>
    <row r="73" spans="2:11">
      <c r="D73">
        <f>SUMIF(F51:F69,F73,D51:D69)</f>
        <v>50.01</v>
      </c>
      <c r="F73" t="s">
        <v>702</v>
      </c>
      <c r="H73">
        <v>0</v>
      </c>
      <c r="I73" t="s">
        <v>712</v>
      </c>
      <c r="K73">
        <v>2382.48</v>
      </c>
    </row>
    <row r="74" spans="2:11">
      <c r="D74">
        <f>SUMIF(F52:F69,F74,D52:D69)</f>
        <v>252.43</v>
      </c>
      <c r="E74" s="11"/>
      <c r="F74" s="11" t="s">
        <v>354</v>
      </c>
      <c r="G74">
        <v>932.57</v>
      </c>
      <c r="H74">
        <f>SUM(H69:H73)</f>
        <v>932.56999999999994</v>
      </c>
      <c r="K74" s="11">
        <f ca="1">K73-G12</f>
        <v>2358.1040000000003</v>
      </c>
    </row>
    <row r="75" spans="2:11">
      <c r="D75">
        <f>SUMIF(F52:F69,F75,D52:D69)</f>
        <v>67.36</v>
      </c>
      <c r="E75" s="11"/>
      <c r="F75" s="11" t="s">
        <v>633</v>
      </c>
    </row>
    <row r="76" spans="2:11">
      <c r="D76" s="11">
        <f>SUM(D71:D75)</f>
        <v>499.72</v>
      </c>
      <c r="E76" s="11"/>
      <c r="F76" s="11" t="s">
        <v>131</v>
      </c>
    </row>
    <row r="78" spans="2:11">
      <c r="D78">
        <v>150</v>
      </c>
      <c r="E78" t="s">
        <v>713</v>
      </c>
    </row>
    <row r="79" spans="2:11">
      <c r="H79" t="s">
        <v>714</v>
      </c>
    </row>
    <row r="81" spans="10:10">
      <c r="J81" t="s">
        <v>354</v>
      </c>
    </row>
    <row r="82" spans="10:10">
      <c r="J82">
        <v>124.56</v>
      </c>
    </row>
    <row r="83" spans="10:10">
      <c r="J83">
        <v>3.46</v>
      </c>
    </row>
    <row r="84" spans="10:10">
      <c r="J84">
        <v>125.81</v>
      </c>
    </row>
    <row r="85" spans="10:10">
      <c r="J85">
        <v>200</v>
      </c>
    </row>
    <row r="86" spans="10:10">
      <c r="J86">
        <f>SUM(J82:J85)</f>
        <v>453.83000000000004</v>
      </c>
    </row>
  </sheetData>
  <mergeCells count="6">
    <mergeCell ref="A21:XFD21"/>
    <mergeCell ref="A28:XFD28"/>
    <mergeCell ref="A32:XFD32"/>
    <mergeCell ref="A50:B50"/>
    <mergeCell ref="D50:F50"/>
    <mergeCell ref="H50:J50"/>
  </mergeCells>
  <conditionalFormatting sqref="G6:G12">
    <cfRule type="cellIs" dxfId="84" priority="9" operator="lessThan">
      <formula>0</formula>
    </cfRule>
    <cfRule type="cellIs" dxfId="83" priority="10" operator="equal">
      <formula>0</formula>
    </cfRule>
    <cfRule type="cellIs" dxfId="82" priority="11" operator="greaterThan">
      <formula>0</formula>
    </cfRule>
  </conditionalFormatting>
  <conditionalFormatting sqref="G15:G20 G22:G27 G29:G31">
    <cfRule type="cellIs" dxfId="81" priority="12" operator="equal">
      <formula>0</formula>
    </cfRule>
    <cfRule type="cellIs" dxfId="80" priority="13" operator="lessThan">
      <formula>0</formula>
    </cfRule>
    <cfRule type="cellIs" dxfId="79" priority="14" operator="greaterThan">
      <formula>0</formula>
    </cfRule>
  </conditionalFormatting>
  <conditionalFormatting sqref="G33:G44">
    <cfRule type="cellIs" dxfId="78" priority="3" operator="greaterThan">
      <formula>0</formula>
    </cfRule>
  </conditionalFormatting>
  <conditionalFormatting sqref="G33:G46">
    <cfRule type="cellIs" dxfId="77" priority="1" operator="equal">
      <formula>0</formula>
    </cfRule>
    <cfRule type="cellIs" dxfId="76" priority="2" operator="lessThan">
      <formula>0</formula>
    </cfRule>
  </conditionalFormatting>
  <conditionalFormatting sqref="G45:G46">
    <cfRule type="cellIs" dxfId="75" priority="4" operator="greaterThan">
      <formula>0</formula>
    </cfRule>
    <cfRule type="cellIs" dxfId="74" priority="7"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8" operator="containsText" id="{02C71D28-CBB0-48C8-9B93-B5BC5B151C02}">
            <xm:f>NOT(ISERROR(SEARCH("-",G48)))</xm:f>
            <xm:f>"-"</xm:f>
            <x14:dxf>
              <font>
                <color rgb="FF9C0006"/>
              </font>
              <fill>
                <patternFill>
                  <bgColor rgb="FFFFC7CE"/>
                </patternFill>
              </fill>
            </x14:dxf>
          </x14:cfRule>
          <xm:sqref>G48</xm:sqref>
        </x14:conditionalFormatting>
      </x14:conditionalFormatting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4CBB-33D4-4A59-90B9-D37C464F1481}">
  <sheetPr codeName="Sheet58"/>
  <dimension ref="A1:V97"/>
  <sheetViews>
    <sheetView workbookViewId="0"/>
  </sheetViews>
  <sheetFormatPr defaultColWidth="11.33203125" defaultRowHeight="14.4" outlineLevelRow="2"/>
  <cols>
    <col min="1" max="1" width="30.109375" customWidth="1"/>
    <col min="2" max="2" width="28.109375" customWidth="1"/>
    <col min="3" max="6" width="25" customWidth="1"/>
    <col min="7" max="7" width="19.44140625" customWidth="1"/>
    <col min="8" max="8" width="20.44140625" customWidth="1"/>
    <col min="10" max="10" width="12" bestFit="1" customWidth="1"/>
    <col min="14" max="14" width="17.44140625" customWidth="1"/>
    <col min="17" max="17" width="16.109375" customWidth="1"/>
  </cols>
  <sheetData>
    <row r="1" spans="1:22" ht="18">
      <c r="A1" s="251" t="str">
        <f ca="1">MID(CELL("filename",A1),FIND("]",CELL("filename",A1))+1,255)</f>
        <v>MAY-JUN 2019</v>
      </c>
    </row>
    <row r="2" spans="1:22" ht="18">
      <c r="A2" s="256" t="str">
        <f ca="1">UPPER(TEXT((1&amp;LEFT(A$1,3))-1,"MMM"))&amp;"-"&amp;UPPER(TEXT((1&amp;RIGHT(LEFT(A$1,7),3))-1,"MMM"))&amp;" "&amp;RIGHT(A$1,4)</f>
        <v>APR-MAY 2019</v>
      </c>
      <c r="B2" s="13" t="s">
        <v>164</v>
      </c>
      <c r="C2" s="44" t="str">
        <f>"20/03/19 - 26/03/19"</f>
        <v>20/03/19 - 26/03/19</v>
      </c>
      <c r="D2" s="44" t="str">
        <f>TEXT(DATEVALUE(RIGHT(C2,8))+1,"dd/mm/yy")&amp; " - "&amp; TEXT(DATEVALUE(RIGHT(C2,8))+7,"dd/mm/yy")</f>
        <v>27/03/19 - 02/04/19</v>
      </c>
      <c r="E2" s="44" t="str">
        <f>TEXT(DATEVALUE(RIGHT(D2,8))+1,"dd/mm/yy")&amp; " - "&amp; TEXT(DATEVALUE(RIGHT(D2,8))+7,"dd/mm/yy")</f>
        <v>03/04/19 - 09/04/19</v>
      </c>
      <c r="F2" s="44" t="str">
        <f>TEXT(DATEVALUE(RIGHT(E2,8))+1,"dd/mm/yy")&amp; " - "&amp; TEXT(DATEVALUE(RIGHT(E2,8))+7,"dd/mm/yy")</f>
        <v>10/04/19 - 16/04/19</v>
      </c>
      <c r="G2" s="12" t="s">
        <v>10</v>
      </c>
      <c r="H2" s="9"/>
    </row>
    <row r="3" spans="1:22" ht="18">
      <c r="A3" s="13" t="s">
        <v>165</v>
      </c>
      <c r="B3" s="10">
        <f>SUM(B5,B17)</f>
        <v>2632.4799999999996</v>
      </c>
      <c r="C3" s="296">
        <f>SUM(C6:C28)</f>
        <v>348.01</v>
      </c>
      <c r="D3" s="296">
        <f>SUM(D6:D28)</f>
        <v>0</v>
      </c>
      <c r="E3" s="296">
        <f>SUM(E6:E28)</f>
        <v>0</v>
      </c>
      <c r="F3" s="296">
        <f>SUM(F6:F28)</f>
        <v>0</v>
      </c>
      <c r="G3" s="10"/>
      <c r="H3" s="9"/>
    </row>
    <row r="4" spans="1:22" ht="18">
      <c r="A4" s="250"/>
      <c r="B4" s="10"/>
      <c r="C4" s="296"/>
      <c r="D4" s="296"/>
      <c r="E4" s="296"/>
      <c r="F4" s="296"/>
      <c r="G4" s="10"/>
      <c r="H4" s="9"/>
    </row>
    <row r="5" spans="1:22" ht="18">
      <c r="A5" s="178" t="s">
        <v>166</v>
      </c>
      <c r="B5" s="183">
        <f>SUM(B6:B13)</f>
        <v>1289.5299999999997</v>
      </c>
      <c r="C5" s="296"/>
      <c r="D5" s="296"/>
      <c r="E5" s="296"/>
      <c r="F5" s="296"/>
      <c r="G5" s="184">
        <f>ROUND(SUM(G6:G13),2)</f>
        <v>1140.17</v>
      </c>
      <c r="H5" s="9" t="s">
        <v>10</v>
      </c>
      <c r="I5" s="11">
        <f>SUM(I6:I11)+SUM(I19:I22)+SUM(I26:I30)+SUM(I33:I33)+SUM(I35:I41)+I43</f>
        <v>0</v>
      </c>
      <c r="K5" s="11" t="s">
        <v>715</v>
      </c>
      <c r="N5" t="s">
        <v>716</v>
      </c>
      <c r="Q5" t="s">
        <v>717</v>
      </c>
      <c r="T5" t="s">
        <v>10</v>
      </c>
    </row>
    <row r="6" spans="1:22" ht="18" outlineLevel="1">
      <c r="A6" s="105" t="s">
        <v>167</v>
      </c>
      <c r="B6" s="17">
        <v>250</v>
      </c>
      <c r="C6" s="10">
        <f>41.97+57.16</f>
        <v>99.13</v>
      </c>
      <c r="D6" s="10"/>
      <c r="E6" s="10"/>
      <c r="F6" s="10"/>
      <c r="G6" s="10">
        <f t="shared" ref="G6:G14" si="0">IF(B6&lt;&gt;"",B6-C6-D6-E6-F6,"")</f>
        <v>150.87</v>
      </c>
      <c r="H6" s="12" t="str">
        <f t="shared" ref="H6:H14" si="1">A6</f>
        <v xml:space="preserve">Car Petrol </v>
      </c>
      <c r="I6">
        <f t="shared" ref="I6:I14" si="2">IF(G6&lt;0,G6*-1,0)</f>
        <v>0</v>
      </c>
      <c r="K6">
        <f>62.31+1.74</f>
        <v>64.05</v>
      </c>
      <c r="L6" t="s">
        <v>632</v>
      </c>
      <c r="N6">
        <f>37+5.54+3.99+19.85</f>
        <v>66.38</v>
      </c>
      <c r="O6" t="s">
        <v>632</v>
      </c>
      <c r="Q6">
        <v>0</v>
      </c>
      <c r="R6" t="s">
        <v>632</v>
      </c>
      <c r="T6">
        <f>K6-N6-Q6</f>
        <v>-2.3299999999999983</v>
      </c>
      <c r="U6" t="s">
        <v>632</v>
      </c>
      <c r="V6">
        <f>IF(T6&lt;0,T6*-1,0)</f>
        <v>2.3299999999999983</v>
      </c>
    </row>
    <row r="7" spans="1:22" ht="18" outlineLevel="1">
      <c r="A7" s="105" t="s">
        <v>577</v>
      </c>
      <c r="B7" s="10">
        <v>300</v>
      </c>
      <c r="C7" s="10">
        <v>80.37</v>
      </c>
      <c r="D7" s="10"/>
      <c r="E7" s="10"/>
      <c r="F7" s="10"/>
      <c r="G7" s="10">
        <f t="shared" si="0"/>
        <v>219.63</v>
      </c>
      <c r="H7" s="12" t="str">
        <f t="shared" si="1"/>
        <v>Food/Bunnies/Toiletries</v>
      </c>
      <c r="I7">
        <f t="shared" si="2"/>
        <v>0</v>
      </c>
      <c r="K7">
        <f>314.72-4.42+4.15-1.74</f>
        <v>312.70999999999998</v>
      </c>
      <c r="L7" t="s">
        <v>718</v>
      </c>
      <c r="N7">
        <f>40+9.2+9.2+73.91+37.43+21.2+71.97+20.62+4+5.2+3.38+16.6</f>
        <v>312.70999999999998</v>
      </c>
      <c r="O7" t="s">
        <v>718</v>
      </c>
      <c r="Q7">
        <v>0</v>
      </c>
      <c r="R7" t="s">
        <v>718</v>
      </c>
      <c r="T7">
        <f t="shared" ref="T7:T16" si="3">K7-N7-Q7</f>
        <v>0</v>
      </c>
      <c r="U7" t="s">
        <v>718</v>
      </c>
      <c r="V7">
        <f t="shared" ref="V7:V16" si="4">IF(T7&lt;0,T7*-1,0)</f>
        <v>0</v>
      </c>
    </row>
    <row r="8" spans="1:22" ht="18" outlineLevel="1">
      <c r="A8" s="105" t="s">
        <v>687</v>
      </c>
      <c r="B8" s="10">
        <v>0</v>
      </c>
      <c r="C8" s="10"/>
      <c r="D8" s="10"/>
      <c r="E8" s="10"/>
      <c r="F8" s="10"/>
      <c r="G8" s="10">
        <f>IF(B8&lt;&gt;"",B8-C8-D8-E8-F8,"")</f>
        <v>0</v>
      </c>
      <c r="H8" s="12" t="str">
        <f>A8</f>
        <v>PT</v>
      </c>
      <c r="I8">
        <f>IF(G8&lt;0,G8*-1,0)</f>
        <v>0</v>
      </c>
      <c r="K8">
        <v>0</v>
      </c>
      <c r="L8" t="s">
        <v>719</v>
      </c>
      <c r="N8">
        <v>0</v>
      </c>
      <c r="O8" t="s">
        <v>719</v>
      </c>
      <c r="Q8">
        <v>0</v>
      </c>
      <c r="R8" t="s">
        <v>719</v>
      </c>
      <c r="T8">
        <f t="shared" si="3"/>
        <v>0</v>
      </c>
      <c r="U8" t="s">
        <v>719</v>
      </c>
      <c r="V8">
        <f t="shared" si="4"/>
        <v>0</v>
      </c>
    </row>
    <row r="9" spans="1:22" ht="18" outlineLevel="1">
      <c r="A9" s="105" t="s">
        <v>170</v>
      </c>
      <c r="B9" s="10">
        <f>150-81.78</f>
        <v>68.22</v>
      </c>
      <c r="C9" s="10"/>
      <c r="D9" s="10"/>
      <c r="E9" s="10"/>
      <c r="F9" s="10"/>
      <c r="G9" s="10">
        <f>IF(B9&lt;&gt;"",B9-C9-D9-E9-F9,"")+81.78</f>
        <v>150</v>
      </c>
      <c r="H9" s="12" t="str">
        <f t="shared" si="1"/>
        <v>Gift Fund</v>
      </c>
      <c r="I9">
        <f t="shared" si="2"/>
        <v>0</v>
      </c>
      <c r="K9">
        <f>208.03-20.16</f>
        <v>187.87</v>
      </c>
      <c r="L9" t="s">
        <v>702</v>
      </c>
      <c r="N9">
        <f>43.47+57.16+43.47+43.77</f>
        <v>187.87</v>
      </c>
      <c r="O9" t="s">
        <v>702</v>
      </c>
      <c r="Q9">
        <v>0</v>
      </c>
      <c r="R9" t="s">
        <v>702</v>
      </c>
      <c r="T9">
        <f t="shared" si="3"/>
        <v>0</v>
      </c>
      <c r="U9" t="s">
        <v>702</v>
      </c>
      <c r="V9">
        <f t="shared" si="4"/>
        <v>0</v>
      </c>
    </row>
    <row r="10" spans="1:22" ht="18" outlineLevel="1">
      <c r="A10" s="105" t="s">
        <v>171</v>
      </c>
      <c r="B10" s="10">
        <v>0</v>
      </c>
      <c r="C10" s="10"/>
      <c r="D10" s="10"/>
      <c r="E10" s="10"/>
      <c r="F10" s="10"/>
      <c r="G10" s="10">
        <f t="shared" si="0"/>
        <v>0</v>
      </c>
      <c r="H10" s="12" t="str">
        <f t="shared" si="1"/>
        <v>Holiday Fund</v>
      </c>
      <c r="I10">
        <f t="shared" si="2"/>
        <v>0</v>
      </c>
      <c r="K10">
        <v>0</v>
      </c>
      <c r="L10" t="s">
        <v>687</v>
      </c>
      <c r="N10">
        <v>0</v>
      </c>
      <c r="O10" t="s">
        <v>687</v>
      </c>
      <c r="Q10">
        <v>0</v>
      </c>
      <c r="R10" t="s">
        <v>687</v>
      </c>
      <c r="T10">
        <f t="shared" si="3"/>
        <v>0</v>
      </c>
      <c r="U10" t="s">
        <v>687</v>
      </c>
      <c r="V10">
        <f t="shared" si="4"/>
        <v>0</v>
      </c>
    </row>
    <row r="11" spans="1:22" ht="18" outlineLevel="1">
      <c r="A11" s="105" t="s">
        <v>632</v>
      </c>
      <c r="B11" s="10">
        <v>71.31</v>
      </c>
      <c r="C11" s="10">
        <f>5.54+9+37.1</f>
        <v>51.64</v>
      </c>
      <c r="D11" s="10"/>
      <c r="E11" s="10"/>
      <c r="F11" s="10"/>
      <c r="G11" s="10">
        <f t="shared" si="0"/>
        <v>19.670000000000002</v>
      </c>
      <c r="H11" s="12" t="str">
        <f t="shared" si="1"/>
        <v>Shared</v>
      </c>
      <c r="I11">
        <f t="shared" si="2"/>
        <v>0</v>
      </c>
      <c r="K11" s="11">
        <f>300-80.37</f>
        <v>219.63</v>
      </c>
      <c r="L11" s="11" t="s">
        <v>169</v>
      </c>
      <c r="N11" s="11">
        <f>120+40.93+3.38+6.6+12+16.8+40+19.8</f>
        <v>259.51</v>
      </c>
      <c r="O11" s="11" t="s">
        <v>169</v>
      </c>
      <c r="Q11" s="11">
        <v>0</v>
      </c>
      <c r="R11" s="11" t="s">
        <v>169</v>
      </c>
      <c r="T11">
        <f t="shared" si="3"/>
        <v>-39.879999999999995</v>
      </c>
      <c r="U11" s="11" t="s">
        <v>169</v>
      </c>
      <c r="V11">
        <f t="shared" si="4"/>
        <v>39.879999999999995</v>
      </c>
    </row>
    <row r="12" spans="1:22" ht="18" outlineLevel="1">
      <c r="A12" s="105" t="s">
        <v>590</v>
      </c>
      <c r="B12" s="10">
        <f>373.8+40+100+81.78+4.42</f>
        <v>599.99999999999989</v>
      </c>
      <c r="C12" s="10"/>
      <c r="D12" s="10"/>
      <c r="E12" s="10"/>
      <c r="F12" s="10"/>
      <c r="G12" s="10">
        <f t="shared" si="0"/>
        <v>599.99999999999989</v>
      </c>
      <c r="H12" s="12" t="str">
        <f t="shared" si="1"/>
        <v>Contingency</v>
      </c>
      <c r="I12">
        <f t="shared" si="2"/>
        <v>0</v>
      </c>
      <c r="K12">
        <f>750.79-25-123+181.89+100+207.25-40</f>
        <v>1051.9299999999998</v>
      </c>
      <c r="L12" t="s">
        <v>720</v>
      </c>
      <c r="N12">
        <f>13+14.56+220.84+15.66+7.99+25+30+39+2.12+15+37.72+123+508.09+95.92+61.18+15.99</f>
        <v>1225.0700000000002</v>
      </c>
      <c r="O12" t="s">
        <v>720</v>
      </c>
      <c r="Q12">
        <v>0</v>
      </c>
      <c r="R12" t="s">
        <v>720</v>
      </c>
      <c r="T12">
        <f t="shared" si="3"/>
        <v>-173.14000000000033</v>
      </c>
      <c r="U12" t="s">
        <v>720</v>
      </c>
      <c r="V12">
        <f t="shared" si="4"/>
        <v>173.14000000000033</v>
      </c>
    </row>
    <row r="13" spans="1:22" ht="18" outlineLevel="1">
      <c r="A13" s="105" t="s">
        <v>721</v>
      </c>
      <c r="B13" s="10">
        <v>0</v>
      </c>
      <c r="C13" s="10"/>
      <c r="D13" s="10"/>
      <c r="E13" s="10"/>
      <c r="F13" s="10"/>
      <c r="G13" s="10">
        <f>IF(B13&lt;&gt;"",B13-C13-D13-E13-F13,"")</f>
        <v>0</v>
      </c>
      <c r="H13" s="12" t="str">
        <f>A13</f>
        <v>Cars (MOT,SVC)</v>
      </c>
      <c r="I13">
        <f>IF(G13&lt;0,G13*-1,0)</f>
        <v>0</v>
      </c>
      <c r="K13">
        <f>5.69+368.11+81.78+100+40+4.42+20.16+42.74</f>
        <v>662.9</v>
      </c>
      <c r="L13" t="s">
        <v>711</v>
      </c>
      <c r="N13">
        <f>500+25</f>
        <v>525</v>
      </c>
      <c r="O13" t="s">
        <v>711</v>
      </c>
      <c r="Q13">
        <v>0</v>
      </c>
      <c r="R13" t="s">
        <v>711</v>
      </c>
      <c r="T13">
        <f>K13-N13-Q13-SUM(V6:V16)</f>
        <v>-77.45000000000033</v>
      </c>
      <c r="U13" t="s">
        <v>711</v>
      </c>
    </row>
    <row r="14" spans="1:22" ht="18" outlineLevel="1">
      <c r="A14" s="105" t="s">
        <v>722</v>
      </c>
      <c r="B14" s="10">
        <v>402.31</v>
      </c>
      <c r="C14" s="10"/>
      <c r="D14" s="10"/>
      <c r="E14" s="10"/>
      <c r="F14" s="10"/>
      <c r="G14" s="10">
        <f t="shared" si="0"/>
        <v>402.31</v>
      </c>
      <c r="H14" s="12" t="str">
        <f t="shared" si="1"/>
        <v>Car Lessons</v>
      </c>
      <c r="I14">
        <f t="shared" si="2"/>
        <v>0</v>
      </c>
      <c r="K14">
        <f>150-42.74</f>
        <v>107.25999999999999</v>
      </c>
      <c r="L14" t="s">
        <v>701</v>
      </c>
      <c r="N14">
        <f>50.05</f>
        <v>50.05</v>
      </c>
      <c r="O14" t="s">
        <v>701</v>
      </c>
      <c r="Q14">
        <f>50.1+7.11</f>
        <v>57.21</v>
      </c>
      <c r="R14" t="s">
        <v>701</v>
      </c>
      <c r="T14">
        <f t="shared" si="3"/>
        <v>0</v>
      </c>
      <c r="U14" t="s">
        <v>701</v>
      </c>
      <c r="V14">
        <f t="shared" si="4"/>
        <v>0</v>
      </c>
    </row>
    <row r="15" spans="1:22" ht="18" outlineLevel="1">
      <c r="A15" s="105" t="s">
        <v>633</v>
      </c>
      <c r="B15" s="10">
        <f>IF(B46 &lt;&gt; 0,B46-B5-B17-I5,0)+0.58</f>
        <v>310.3</v>
      </c>
      <c r="C15" s="10">
        <f>9.2+9.2</f>
        <v>18.399999999999999</v>
      </c>
      <c r="D15" s="10"/>
      <c r="E15" s="10"/>
      <c r="F15" s="10"/>
      <c r="G15" s="10">
        <f>IF(B15&lt;&gt;"",B15-C15-D15-E15-F15,"")</f>
        <v>291.90000000000003</v>
      </c>
      <c r="H15" s="12" t="s">
        <v>172</v>
      </c>
      <c r="I15" s="11"/>
      <c r="J15" s="11"/>
      <c r="K15">
        <f>735.01-38.87-453.83+260-100</f>
        <v>402.31</v>
      </c>
      <c r="L15" t="s">
        <v>723</v>
      </c>
      <c r="N15">
        <f>178.9+25</f>
        <v>203.9</v>
      </c>
      <c r="O15" t="s">
        <v>723</v>
      </c>
      <c r="Q15">
        <v>0</v>
      </c>
      <c r="R15" t="s">
        <v>723</v>
      </c>
      <c r="T15">
        <f t="shared" si="3"/>
        <v>198.41</v>
      </c>
      <c r="U15" t="s">
        <v>723</v>
      </c>
      <c r="V15">
        <f t="shared" si="4"/>
        <v>0</v>
      </c>
    </row>
    <row r="16" spans="1:22" ht="18">
      <c r="A16" s="185"/>
      <c r="B16" s="10"/>
      <c r="C16" s="10"/>
      <c r="D16" s="10"/>
      <c r="E16" s="10"/>
      <c r="F16" s="10"/>
      <c r="G16" s="10"/>
      <c r="H16" s="9"/>
      <c r="J16" s="11"/>
      <c r="K16">
        <v>0</v>
      </c>
      <c r="L16" t="s">
        <v>712</v>
      </c>
      <c r="N16">
        <v>0</v>
      </c>
      <c r="O16" t="s">
        <v>712</v>
      </c>
      <c r="Q16">
        <v>0</v>
      </c>
      <c r="R16" t="s">
        <v>712</v>
      </c>
      <c r="T16">
        <f t="shared" si="3"/>
        <v>0</v>
      </c>
      <c r="U16" t="s">
        <v>712</v>
      </c>
      <c r="V16">
        <f t="shared" si="4"/>
        <v>0</v>
      </c>
    </row>
    <row r="17" spans="1:21" ht="18">
      <c r="A17" s="177" t="s">
        <v>422</v>
      </c>
      <c r="B17" s="183">
        <f>B18+B25+B32+B35+B43</f>
        <v>1342.95</v>
      </c>
      <c r="C17" s="10"/>
      <c r="D17" s="10"/>
      <c r="E17" s="10"/>
      <c r="F17" s="10"/>
      <c r="G17" s="234">
        <f>ROUND(SUM(G18,G25,G32,G35),2)</f>
        <v>1051.93</v>
      </c>
      <c r="H17" s="237" t="s">
        <v>10</v>
      </c>
      <c r="I17" s="11"/>
      <c r="N17">
        <f>70.54+3.75+9.15+9.74+39.26</f>
        <v>132.44</v>
      </c>
      <c r="O17" t="s">
        <v>724</v>
      </c>
      <c r="Q17">
        <v>32.47</v>
      </c>
      <c r="R17" t="s">
        <v>725</v>
      </c>
    </row>
    <row r="18" spans="1:21" ht="18">
      <c r="A18" s="105" t="s">
        <v>594</v>
      </c>
      <c r="B18" s="183">
        <f>SUM(B19:B23)</f>
        <v>827.39</v>
      </c>
      <c r="C18" s="10"/>
      <c r="D18" s="10"/>
      <c r="E18" s="10"/>
      <c r="F18" s="10"/>
      <c r="G18" s="235">
        <f>IF(B18&lt;&gt;"",SUM(G19:G23),0)</f>
        <v>787.39</v>
      </c>
      <c r="H18" s="236" t="str">
        <f t="shared" ref="H18:H23" si="5">A18</f>
        <v>House Outgoings</v>
      </c>
      <c r="K18" s="11">
        <f>SUM(K6:K16)</f>
        <v>3008.6599999999994</v>
      </c>
      <c r="L18" t="s">
        <v>131</v>
      </c>
      <c r="N18" s="263">
        <f>K18-SUM(N6:N17)</f>
        <v>45.729999999999109</v>
      </c>
      <c r="O18" t="s">
        <v>726</v>
      </c>
      <c r="Q18" s="11" t="str">
        <f>SUM(Q6:Q17) &amp; "/"&amp;1685.44+SUM(Q6:Q17)</f>
        <v>89.68/1775.12</v>
      </c>
      <c r="R18" t="s">
        <v>727</v>
      </c>
      <c r="T18" s="11">
        <f>SUMIF(T6:T16,"&gt;0")-N17</f>
        <v>65.97</v>
      </c>
      <c r="U18" t="s">
        <v>728</v>
      </c>
    </row>
    <row r="19" spans="1:21" ht="18" outlineLevel="2">
      <c r="A19" s="13" t="s">
        <v>595</v>
      </c>
      <c r="B19" s="184">
        <v>452.64</v>
      </c>
      <c r="C19" s="10"/>
      <c r="D19" s="10"/>
      <c r="E19" s="10"/>
      <c r="F19" s="10"/>
      <c r="G19" s="10">
        <f t="shared" ref="G19:G23" si="6">IF(B19&lt;&gt;"",B19-C19-D19-E19-F19,"")</f>
        <v>452.64</v>
      </c>
      <c r="H19" s="12" t="str">
        <f t="shared" si="5"/>
        <v>Mortgage</v>
      </c>
      <c r="I19">
        <f>IF(G19&lt;0,G19*-1,0)</f>
        <v>0</v>
      </c>
    </row>
    <row r="20" spans="1:21" ht="18" outlineLevel="2">
      <c r="A20" s="13" t="s">
        <v>729</v>
      </c>
      <c r="B20" s="184">
        <v>124</v>
      </c>
      <c r="C20" s="10"/>
      <c r="D20" s="10"/>
      <c r="E20" s="10"/>
      <c r="F20" s="10"/>
      <c r="G20" s="10">
        <f t="shared" si="6"/>
        <v>124</v>
      </c>
      <c r="H20" s="12" t="str">
        <f t="shared" si="5"/>
        <v>Council tax (15th)</v>
      </c>
      <c r="I20">
        <f>IF(G20&lt;0,G20*-1,0)</f>
        <v>0</v>
      </c>
      <c r="J20" s="11"/>
      <c r="K20" s="11"/>
      <c r="N20" t="s">
        <v>730</v>
      </c>
    </row>
    <row r="21" spans="1:21" ht="18" outlineLevel="2">
      <c r="A21" s="13" t="s">
        <v>731</v>
      </c>
      <c r="B21" s="184">
        <f>17+40+12.96</f>
        <v>69.960000000000008</v>
      </c>
      <c r="C21" s="10"/>
      <c r="D21" s="10"/>
      <c r="E21" s="10"/>
      <c r="F21" s="10"/>
      <c r="G21" s="10">
        <f t="shared" si="6"/>
        <v>69.960000000000008</v>
      </c>
      <c r="H21" s="12" t="str">
        <f t="shared" si="5"/>
        <v>Utilities (G,W,E,TV) (1st)</v>
      </c>
      <c r="I21">
        <f>IF(G21&lt;0,G21*-1,0)</f>
        <v>0</v>
      </c>
      <c r="N21" s="11"/>
    </row>
    <row r="22" spans="1:21" ht="18" outlineLevel="2">
      <c r="A22" s="13" t="s">
        <v>600</v>
      </c>
      <c r="B22" s="184">
        <f>4.52+16.61+8.56+16.1</f>
        <v>45.79</v>
      </c>
      <c r="C22" s="10"/>
      <c r="D22" s="10"/>
      <c r="E22" s="10"/>
      <c r="F22" s="10"/>
      <c r="G22" s="10">
        <f t="shared" si="6"/>
        <v>45.79</v>
      </c>
      <c r="H22" s="12" t="str">
        <f t="shared" si="5"/>
        <v>Insurance</v>
      </c>
      <c r="I22">
        <f>IF(G22&lt;0,G22*-1,0)</f>
        <v>0</v>
      </c>
    </row>
    <row r="23" spans="1:21" ht="18" outlineLevel="2">
      <c r="A23" s="13" t="s">
        <v>732</v>
      </c>
      <c r="B23" s="184">
        <f>40+95</f>
        <v>135</v>
      </c>
      <c r="C23" s="10">
        <v>40</v>
      </c>
      <c r="D23" s="10"/>
      <c r="E23" s="10"/>
      <c r="F23" s="10"/>
      <c r="G23" s="10">
        <f t="shared" si="6"/>
        <v>95</v>
      </c>
      <c r="H23" s="12" t="str">
        <f t="shared" si="5"/>
        <v>Loan (18th)</v>
      </c>
    </row>
    <row r="24" spans="1:21" s="747" customFormat="1" ht="18" outlineLevel="2">
      <c r="A24" s="747" t="str">
        <f>IF(B24&lt;&gt;"",B24-C24-D24-E24-F24,"")</f>
        <v/>
      </c>
    </row>
    <row r="25" spans="1:21" ht="18" outlineLevel="1">
      <c r="A25" s="105" t="s">
        <v>601</v>
      </c>
      <c r="B25" s="296">
        <f>SUM(B26:B30)</f>
        <v>106.96</v>
      </c>
      <c r="C25" s="10"/>
      <c r="D25" s="10"/>
      <c r="E25" s="10"/>
      <c r="F25" s="10"/>
      <c r="G25" s="235">
        <f>IF(B25&lt;&gt;"",SUM(G26:G30),0)</f>
        <v>22.98</v>
      </c>
      <c r="H25" s="236" t="str">
        <f t="shared" ref="H25:H30" si="7">A25</f>
        <v>Tech</v>
      </c>
      <c r="I25" s="11"/>
      <c r="N25" s="11"/>
    </row>
    <row r="26" spans="1:21" ht="18" outlineLevel="2">
      <c r="A26" s="13" t="s">
        <v>733</v>
      </c>
      <c r="B26" s="33">
        <v>38.49</v>
      </c>
      <c r="C26" s="10">
        <v>38.49</v>
      </c>
      <c r="D26" s="10"/>
      <c r="E26" s="10"/>
      <c r="F26" s="10"/>
      <c r="G26" s="10">
        <f t="shared" ref="G26:G30" si="8">IF(B26&lt;&gt;"",B26-C26-D26-E26-F26,"")</f>
        <v>0</v>
      </c>
      <c r="H26" s="12" t="str">
        <f t="shared" si="7"/>
        <v>Broadband / TV (15th)</v>
      </c>
      <c r="I26">
        <f t="shared" ref="I26:I30" si="9">IF(G26&lt;0,G26*-1,0)</f>
        <v>0</v>
      </c>
    </row>
    <row r="27" spans="1:21" ht="18" outlineLevel="2">
      <c r="A27" s="13" t="s">
        <v>734</v>
      </c>
      <c r="B27" s="33">
        <f>7.99+11.99</f>
        <v>19.98</v>
      </c>
      <c r="C27" s="10">
        <f>7.99+11.99</f>
        <v>19.98</v>
      </c>
      <c r="D27" s="10"/>
      <c r="E27" s="10"/>
      <c r="F27" s="10"/>
      <c r="G27" s="10">
        <f t="shared" si="8"/>
        <v>0</v>
      </c>
      <c r="H27" s="12" t="str">
        <f t="shared" si="7"/>
        <v>Sky Movies (28th)</v>
      </c>
      <c r="I27">
        <f t="shared" si="9"/>
        <v>0</v>
      </c>
    </row>
    <row r="28" spans="1:21" ht="18" outlineLevel="2">
      <c r="A28" s="13" t="s">
        <v>735</v>
      </c>
      <c r="B28" s="33">
        <v>7.99</v>
      </c>
      <c r="C28" s="10"/>
      <c r="D28" s="10"/>
      <c r="E28" s="10"/>
      <c r="F28" s="10"/>
      <c r="G28" s="10">
        <f t="shared" si="8"/>
        <v>7.99</v>
      </c>
      <c r="H28" s="12" t="str">
        <f t="shared" si="7"/>
        <v>Onedrive (3rd)</v>
      </c>
      <c r="I28">
        <f t="shared" si="9"/>
        <v>0</v>
      </c>
    </row>
    <row r="29" spans="1:21" ht="18" outlineLevel="2">
      <c r="A29" s="13" t="s">
        <v>736</v>
      </c>
      <c r="B29" s="33">
        <v>14.99</v>
      </c>
      <c r="C29" s="10"/>
      <c r="D29" s="10"/>
      <c r="E29" s="10"/>
      <c r="F29" s="10"/>
      <c r="G29" s="10">
        <f t="shared" si="8"/>
        <v>14.99</v>
      </c>
      <c r="H29" s="12" t="str">
        <f t="shared" si="7"/>
        <v>Music (14th)</v>
      </c>
      <c r="I29">
        <f t="shared" si="9"/>
        <v>0</v>
      </c>
    </row>
    <row r="30" spans="1:21" ht="18" outlineLevel="2" collapsed="1">
      <c r="A30" s="13" t="s">
        <v>737</v>
      </c>
      <c r="B30" s="33">
        <v>25.51</v>
      </c>
      <c r="C30" s="10">
        <v>25.51</v>
      </c>
      <c r="D30" s="10"/>
      <c r="E30" s="10"/>
      <c r="F30" s="10"/>
      <c r="G30" s="10">
        <f t="shared" si="8"/>
        <v>0</v>
      </c>
      <c r="H30" s="12" t="str">
        <f t="shared" si="7"/>
        <v>Matt Phone  (1st)</v>
      </c>
      <c r="I30">
        <f t="shared" si="9"/>
        <v>0</v>
      </c>
    </row>
    <row r="31" spans="1:21" s="747" customFormat="1" ht="18" outlineLevel="2">
      <c r="A31" s="747" t="str">
        <f>IF(B31&lt;&gt;"",B31-C31-D31-E31-F31,"")</f>
        <v/>
      </c>
    </row>
    <row r="32" spans="1:21" ht="18" outlineLevel="1">
      <c r="A32" s="105" t="s">
        <v>183</v>
      </c>
      <c r="B32" s="296">
        <f>SUM(B33:B33)</f>
        <v>25</v>
      </c>
      <c r="C32" s="10"/>
      <c r="D32" s="10"/>
      <c r="E32" s="10"/>
      <c r="F32" s="10"/>
      <c r="G32" s="235">
        <f>IF(B32&lt;&gt;"",SUM(G33:G33),0)</f>
        <v>25</v>
      </c>
      <c r="H32" s="236" t="str">
        <f>A32</f>
        <v>Savings</v>
      </c>
      <c r="K32" s="11"/>
    </row>
    <row r="33" spans="1:9" ht="18" outlineLevel="2">
      <c r="A33" s="13" t="s">
        <v>591</v>
      </c>
      <c r="B33" s="33">
        <v>25</v>
      </c>
      <c r="C33" s="10"/>
      <c r="D33" s="10"/>
      <c r="E33" s="10"/>
      <c r="F33" s="10"/>
      <c r="G33" s="10">
        <f>IF(B33&lt;&gt;"",B33-C33-D33-E33-F33,"")</f>
        <v>25</v>
      </c>
      <c r="H33" s="12" t="str">
        <f>A33</f>
        <v>HTB</v>
      </c>
      <c r="I33">
        <f>IF(G33&lt;0,G33*-1,0)</f>
        <v>0</v>
      </c>
    </row>
    <row r="34" spans="1:9" s="748" customFormat="1" ht="18" outlineLevel="2"/>
    <row r="35" spans="1:9" ht="18" outlineLevel="1">
      <c r="A35" s="105" t="s">
        <v>690</v>
      </c>
      <c r="B35" s="46">
        <f>SUM(B36:B40)</f>
        <v>383.6</v>
      </c>
      <c r="C35" s="10">
        <f>103.23+63.81</f>
        <v>167.04000000000002</v>
      </c>
      <c r="D35" s="10"/>
      <c r="E35" s="10"/>
      <c r="F35" s="10"/>
      <c r="G35" s="296">
        <f>IF(B35&lt;&gt;"",B35-C35-D35-E35-F35,"")</f>
        <v>216.56</v>
      </c>
      <c r="H35" s="12" t="str">
        <f>A35</f>
        <v>Cars</v>
      </c>
      <c r="I35">
        <f>IF(G35&lt;0,G35*-1,0)</f>
        <v>0</v>
      </c>
    </row>
    <row r="36" spans="1:9" ht="18" outlineLevel="2">
      <c r="A36" s="13" t="s">
        <v>691</v>
      </c>
      <c r="B36" s="46">
        <v>27.56</v>
      </c>
      <c r="C36" s="10"/>
      <c r="D36" s="10"/>
      <c r="E36" s="10"/>
      <c r="F36" s="10"/>
      <c r="G36" s="296"/>
      <c r="H36" s="12"/>
    </row>
    <row r="37" spans="1:9" ht="18" outlineLevel="2">
      <c r="A37" s="13" t="s">
        <v>738</v>
      </c>
      <c r="B37" s="46">
        <v>63.81</v>
      </c>
      <c r="C37" s="10"/>
      <c r="D37" s="10"/>
      <c r="E37" s="10"/>
      <c r="F37" s="10"/>
      <c r="G37" s="296"/>
      <c r="H37" s="12"/>
    </row>
    <row r="38" spans="1:9" ht="18" outlineLevel="2">
      <c r="A38" s="13" t="s">
        <v>739</v>
      </c>
      <c r="B38" s="46">
        <v>179</v>
      </c>
      <c r="C38" s="10"/>
      <c r="D38" s="10"/>
      <c r="E38" s="10"/>
      <c r="F38" s="10"/>
      <c r="G38" s="296"/>
      <c r="H38" s="12"/>
    </row>
    <row r="39" spans="1:9" ht="18" outlineLevel="2">
      <c r="A39" s="13" t="s">
        <v>692</v>
      </c>
      <c r="B39" s="46">
        <f>120/12</f>
        <v>10</v>
      </c>
      <c r="C39" s="10"/>
      <c r="D39" s="10"/>
      <c r="E39" s="10"/>
      <c r="F39" s="10"/>
      <c r="G39" s="296"/>
      <c r="H39" s="12"/>
    </row>
    <row r="40" spans="1:9" ht="18" outlineLevel="2">
      <c r="A40" s="13" t="s">
        <v>674</v>
      </c>
      <c r="B40" s="46">
        <v>103.23</v>
      </c>
      <c r="C40" s="10"/>
      <c r="D40" s="10"/>
      <c r="E40" s="10"/>
      <c r="F40" s="10"/>
      <c r="G40" s="296"/>
      <c r="H40" s="12"/>
    </row>
    <row r="41" spans="1:9" ht="18" outlineLevel="1">
      <c r="A41" s="249"/>
      <c r="B41" s="46"/>
      <c r="C41" s="10"/>
      <c r="D41" s="10"/>
      <c r="E41" s="10"/>
      <c r="F41" s="10"/>
      <c r="G41" s="296"/>
      <c r="H41" s="12"/>
    </row>
    <row r="42" spans="1:9" ht="18" outlineLevel="1">
      <c r="A42" s="245" t="s">
        <v>676</v>
      </c>
      <c r="B42" s="46"/>
      <c r="C42" s="10"/>
      <c r="D42" s="10"/>
      <c r="E42" s="10"/>
      <c r="F42" s="10"/>
      <c r="G42" s="296">
        <f>SUM(C42:F42)</f>
        <v>0</v>
      </c>
      <c r="H42" s="12"/>
    </row>
    <row r="43" spans="1:9" ht="18">
      <c r="A43" s="245" t="s">
        <v>677</v>
      </c>
      <c r="B43" s="253">
        <v>0</v>
      </c>
      <c r="C43" s="10"/>
      <c r="D43" s="10"/>
      <c r="E43" s="10"/>
      <c r="F43" s="10"/>
      <c r="G43" s="246">
        <v>1412.13</v>
      </c>
      <c r="H43" s="12" t="str">
        <f>A43</f>
        <v>Credit Card Out</v>
      </c>
      <c r="I43" s="11"/>
    </row>
    <row r="44" spans="1:9" ht="18">
      <c r="A44" s="245" t="s">
        <v>11</v>
      </c>
      <c r="B44" s="255">
        <f ca="1">IF(ISREF(INDIRECT(_xlfn.CONCAT("'",A$2,"'","!A1"))),INDIRECT(_xlfn.CONCAT("'",A$2,"'","!",_xlfn.CONCAT("B",MATCH("Target",INDIRECT(_xlfn.CONCAT("'",A$2,"'",,"!$A$1:$A$50")),0)))),0)-1</f>
        <v>4</v>
      </c>
      <c r="C44" s="10"/>
      <c r="D44" s="10"/>
      <c r="E44" s="10"/>
      <c r="F44" s="10"/>
      <c r="G44" s="246"/>
      <c r="H44" s="12"/>
    </row>
    <row r="45" spans="1:9" ht="18">
      <c r="A45" s="208"/>
      <c r="B45" s="10"/>
      <c r="C45" s="10"/>
      <c r="D45" s="10"/>
      <c r="E45" s="10"/>
      <c r="F45" s="10"/>
      <c r="G45" s="10"/>
      <c r="H45" s="48"/>
    </row>
    <row r="46" spans="1:9" ht="18">
      <c r="A46" s="179" t="s">
        <v>186</v>
      </c>
      <c r="B46" s="296">
        <f>SUM(C46:F46)</f>
        <v>2942.2</v>
      </c>
      <c r="C46" s="26">
        <f>2942.2</f>
        <v>2942.2</v>
      </c>
      <c r="D46" s="26"/>
      <c r="E46" s="27"/>
      <c r="F46" s="36"/>
      <c r="G46" s="46" t="str">
        <f>(ROUND(SUM(G5,G15,G17),2) +I5) &amp; " / " &amp; B46</f>
        <v>2484 / 2942.2</v>
      </c>
      <c r="H46" s="10"/>
      <c r="I46" s="11"/>
    </row>
    <row r="47" spans="1:9" ht="18">
      <c r="A47" s="24"/>
      <c r="B47" s="10"/>
      <c r="C47" s="49"/>
      <c r="D47" s="26"/>
      <c r="E47" s="23"/>
      <c r="F47" s="25"/>
      <c r="G47" s="79"/>
      <c r="H47" s="11"/>
    </row>
    <row r="48" spans="1:9" ht="18">
      <c r="A48" s="17"/>
      <c r="C48" s="252"/>
      <c r="D48" s="16"/>
      <c r="E48" s="16"/>
      <c r="F48" s="244"/>
      <c r="G48" s="11"/>
    </row>
    <row r="49" spans="1:12" ht="18">
      <c r="A49" s="17"/>
      <c r="D49" s="54"/>
      <c r="E49" s="16"/>
      <c r="F49" s="244"/>
    </row>
    <row r="50" spans="1:12" ht="18">
      <c r="A50" s="17"/>
      <c r="B50" s="17"/>
      <c r="C50" s="184"/>
      <c r="E50" s="43"/>
      <c r="F50" s="244"/>
      <c r="H50" s="11"/>
    </row>
    <row r="51" spans="1:12" ht="18">
      <c r="A51" s="20"/>
      <c r="B51" s="11"/>
      <c r="E51" s="11"/>
      <c r="F51" s="11"/>
    </row>
    <row r="52" spans="1:12" ht="18">
      <c r="B52" t="s">
        <v>740</v>
      </c>
      <c r="D52" t="s">
        <v>741</v>
      </c>
      <c r="E52" s="11"/>
      <c r="F52" s="10" t="s">
        <v>742</v>
      </c>
    </row>
    <row r="53" spans="1:12">
      <c r="B53">
        <f>300*(5/100)</f>
        <v>15</v>
      </c>
      <c r="D53">
        <f>2500*(3/100)</f>
        <v>75</v>
      </c>
      <c r="E53" s="11"/>
      <c r="F53">
        <v>300</v>
      </c>
      <c r="G53" t="s">
        <v>702</v>
      </c>
    </row>
    <row r="54" spans="1:12" ht="18">
      <c r="E54" s="10"/>
      <c r="F54">
        <v>300</v>
      </c>
      <c r="G54" t="s">
        <v>169</v>
      </c>
    </row>
    <row r="55" spans="1:12" ht="18">
      <c r="E55" s="10"/>
      <c r="F55" s="184">
        <v>850</v>
      </c>
      <c r="G55" t="s">
        <v>743</v>
      </c>
    </row>
    <row r="56" spans="1:12" ht="18">
      <c r="A56" t="s">
        <v>744</v>
      </c>
      <c r="B56">
        <f>B53*12</f>
        <v>180</v>
      </c>
      <c r="D56">
        <f>D53*12</f>
        <v>900</v>
      </c>
      <c r="E56" s="10"/>
      <c r="F56" s="184">
        <f>((SUM(F53:F55)*(5/100))*3)+((SUM(F53:F55)*(1/100))*9)</f>
        <v>348</v>
      </c>
    </row>
    <row r="57" spans="1:12" ht="18">
      <c r="A57" t="s">
        <v>745</v>
      </c>
      <c r="B57" s="10">
        <f>SUM(B56,D56,F56)</f>
        <v>1428</v>
      </c>
      <c r="E57" s="11"/>
      <c r="F57" s="11"/>
      <c r="G57" s="11"/>
      <c r="H57" s="11"/>
    </row>
    <row r="58" spans="1:12" ht="18">
      <c r="B58" s="10"/>
      <c r="G58" s="11"/>
      <c r="J58">
        <v>-14.56</v>
      </c>
      <c r="K58">
        <v>2</v>
      </c>
      <c r="L58">
        <v>0</v>
      </c>
    </row>
    <row r="59" spans="1:12" ht="18">
      <c r="B59" s="10"/>
      <c r="G59" s="11"/>
      <c r="J59">
        <v>2343.54</v>
      </c>
      <c r="K59">
        <v>6</v>
      </c>
      <c r="L59">
        <f>(J59*(3/100))*K59</f>
        <v>421.83719999999994</v>
      </c>
    </row>
    <row r="60" spans="1:12" ht="18">
      <c r="B60" s="10"/>
      <c r="J60">
        <v>2318.54</v>
      </c>
      <c r="K60">
        <v>4</v>
      </c>
      <c r="L60">
        <f t="shared" ref="L60:L66" si="10">(J60*(3/100))*K60</f>
        <v>278.22479999999996</v>
      </c>
    </row>
    <row r="61" spans="1:12" ht="18">
      <c r="B61" s="10"/>
      <c r="E61">
        <f>2000-6.77-5.54-57.16-9.2-9.2-600</f>
        <v>1312.1299999999999</v>
      </c>
      <c r="J61">
        <v>1509.4</v>
      </c>
      <c r="K61">
        <v>2</v>
      </c>
      <c r="L61">
        <f t="shared" si="10"/>
        <v>90.564000000000007</v>
      </c>
    </row>
    <row r="62" spans="1:12">
      <c r="J62">
        <v>1386.4</v>
      </c>
      <c r="K62">
        <v>5</v>
      </c>
      <c r="L62">
        <f t="shared" si="10"/>
        <v>207.95999999999998</v>
      </c>
    </row>
    <row r="63" spans="1:12">
      <c r="J63">
        <v>1057.1300000000001</v>
      </c>
      <c r="K63">
        <v>3</v>
      </c>
      <c r="L63">
        <f t="shared" si="10"/>
        <v>95.141700000000014</v>
      </c>
    </row>
    <row r="64" spans="1:12">
      <c r="J64">
        <v>932.57</v>
      </c>
      <c r="K64">
        <v>4</v>
      </c>
      <c r="L64">
        <f t="shared" si="10"/>
        <v>111.9084</v>
      </c>
    </row>
    <row r="65" spans="3:12">
      <c r="H65" s="11"/>
      <c r="J65">
        <v>852.2</v>
      </c>
      <c r="K65">
        <v>1</v>
      </c>
      <c r="L65">
        <f t="shared" si="10"/>
        <v>25.565999999999999</v>
      </c>
    </row>
    <row r="66" spans="3:12">
      <c r="J66">
        <v>2112.1999999999998</v>
      </c>
      <c r="K66">
        <v>1</v>
      </c>
      <c r="L66">
        <f t="shared" si="10"/>
        <v>63.365999999999993</v>
      </c>
    </row>
    <row r="67" spans="3:12">
      <c r="K67">
        <f>SUM(K58:K66)</f>
        <v>28</v>
      </c>
      <c r="L67">
        <f>SUM(L58:L66)</f>
        <v>1294.5681</v>
      </c>
    </row>
    <row r="68" spans="3:12">
      <c r="L68">
        <f>L67/K67</f>
        <v>46.234575</v>
      </c>
    </row>
    <row r="70" spans="3:12">
      <c r="C70" s="11"/>
    </row>
    <row r="82" spans="3:7">
      <c r="D82" s="11"/>
    </row>
    <row r="90" spans="3:7">
      <c r="C90" t="s">
        <v>746</v>
      </c>
      <c r="D90" t="s">
        <v>747</v>
      </c>
      <c r="E90" t="s">
        <v>748</v>
      </c>
      <c r="G90" t="s">
        <v>749</v>
      </c>
    </row>
    <row r="91" spans="3:7">
      <c r="C91" t="s">
        <v>750</v>
      </c>
      <c r="D91" t="s">
        <v>750</v>
      </c>
      <c r="E91" t="s">
        <v>751</v>
      </c>
    </row>
    <row r="92" spans="3:7">
      <c r="C92" t="s">
        <v>752</v>
      </c>
      <c r="D92" t="s">
        <v>752</v>
      </c>
      <c r="E92" t="s">
        <v>752</v>
      </c>
    </row>
    <row r="93" spans="3:7">
      <c r="C93" t="s">
        <v>753</v>
      </c>
      <c r="D93" t="s">
        <v>753</v>
      </c>
      <c r="E93" t="s">
        <v>753</v>
      </c>
    </row>
    <row r="94" spans="3:7">
      <c r="D94" t="s">
        <v>754</v>
      </c>
      <c r="E94" t="s">
        <v>597</v>
      </c>
    </row>
    <row r="95" spans="3:7">
      <c r="C95" t="s">
        <v>360</v>
      </c>
      <c r="D95" t="s">
        <v>360</v>
      </c>
    </row>
    <row r="96" spans="3:7">
      <c r="C96" t="s">
        <v>755</v>
      </c>
      <c r="D96" t="s">
        <v>755</v>
      </c>
      <c r="E96" t="s">
        <v>755</v>
      </c>
    </row>
    <row r="97" spans="3:3">
      <c r="C97" t="s">
        <v>756</v>
      </c>
    </row>
  </sheetData>
  <mergeCells count="3">
    <mergeCell ref="A24:XFD24"/>
    <mergeCell ref="A31:XFD31"/>
    <mergeCell ref="A34:XFD34"/>
  </mergeCells>
  <conditionalFormatting sqref="G6:G15">
    <cfRule type="cellIs" dxfId="72" priority="6" operator="lessThan">
      <formula>0</formula>
    </cfRule>
    <cfRule type="cellIs" dxfId="71" priority="7" operator="equal">
      <formula>0</formula>
    </cfRule>
    <cfRule type="cellIs" dxfId="70" priority="8" operator="greaterThan">
      <formula>0</formula>
    </cfRule>
  </conditionalFormatting>
  <conditionalFormatting sqref="G18:G23 G25:G30 G32:G33">
    <cfRule type="cellIs" dxfId="69" priority="9" operator="equal">
      <formula>0</formula>
    </cfRule>
    <cfRule type="cellIs" dxfId="68" priority="10" operator="lessThan">
      <formula>0</formula>
    </cfRule>
    <cfRule type="cellIs" dxfId="67" priority="11" operator="greaterThan">
      <formula>0</formula>
    </cfRule>
  </conditionalFormatting>
  <conditionalFormatting sqref="G35:G44">
    <cfRule type="cellIs" dxfId="66" priority="2" operator="equal">
      <formula>0</formula>
    </cfRule>
    <cfRule type="cellIs" dxfId="65" priority="3" operator="lessThan">
      <formula>0</formula>
    </cfRule>
    <cfRule type="cellIs" dxfId="64" priority="4" operator="greaterThan">
      <formula>0</formula>
    </cfRule>
  </conditionalFormatting>
  <conditionalFormatting sqref="G43:G44">
    <cfRule type="cellIs" dxfId="63" priority="1" operator="greaterThan">
      <formula>0</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5" operator="containsText" id="{29513D84-E8F3-4595-804D-4EA847A96FB8}">
            <xm:f>NOT(ISERROR(SEARCH("-",G46)))</xm:f>
            <xm:f>"-"</xm:f>
            <x14:dxf>
              <font>
                <color rgb="FF9C0006"/>
              </font>
              <fill>
                <patternFill>
                  <bgColor rgb="FFFFC7CE"/>
                </patternFill>
              </fill>
            </x14:dxf>
          </x14:cfRule>
          <xm:sqref>G46</xm:sqref>
        </x14:conditionalFormatting>
      </x14:conditionalFormatting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467D4-0E20-F040-B08D-BF6D0D042927}">
  <sheetPr codeName="Sheet59"/>
  <dimension ref="A1:AD98"/>
  <sheetViews>
    <sheetView workbookViewId="0"/>
  </sheetViews>
  <sheetFormatPr defaultColWidth="11.33203125" defaultRowHeight="14.4" outlineLevelRow="2"/>
  <cols>
    <col min="1" max="1" width="30.109375" customWidth="1"/>
    <col min="2" max="2" width="28.109375" customWidth="1"/>
    <col min="3" max="6" width="25" customWidth="1"/>
    <col min="7" max="7" width="19.44140625" customWidth="1"/>
    <col min="8" max="8" width="20.44140625" customWidth="1"/>
    <col min="10" max="10" width="12" bestFit="1" customWidth="1"/>
    <col min="12" max="12" width="13.44140625" customWidth="1"/>
    <col min="14" max="14" width="17.44140625" customWidth="1"/>
    <col min="15" max="15" width="12.109375" customWidth="1"/>
    <col min="17" max="17" width="16.109375" customWidth="1"/>
    <col min="24" max="24" width="16.109375" customWidth="1"/>
  </cols>
  <sheetData>
    <row r="1" spans="1:30" ht="18">
      <c r="A1" s="251" t="str">
        <f ca="1">MID(CELL("filename",A1),FIND("]",CELL("filename",A1))+1,255)</f>
        <v>JUN-JUL 2019</v>
      </c>
    </row>
    <row r="2" spans="1:30" ht="18">
      <c r="A2" s="256" t="str">
        <f ca="1">UPPER(TEXT((1&amp;LEFT(A$1,3))-1,"MMM"))&amp;"-"&amp;UPPER(TEXT((1&amp;RIGHT(LEFT(A$1,7),3))-1,"MMM"))&amp;" "&amp;RIGHT(A$1,4)</f>
        <v>MAY-JUN 2019</v>
      </c>
      <c r="B2" s="13" t="s">
        <v>164</v>
      </c>
      <c r="C2" s="44" t="str">
        <f>"20/03/19 - 26/03/19"</f>
        <v>20/03/19 - 26/03/19</v>
      </c>
      <c r="D2" s="44" t="str">
        <f>TEXT(DATEVALUE(RIGHT(C2,8))+1,"dd/mm/yy")&amp; " - "&amp; TEXT(DATEVALUE(RIGHT(C2,8))+7,"dd/mm/yy")</f>
        <v>27/03/19 - 02/04/19</v>
      </c>
      <c r="E2" s="44" t="str">
        <f>TEXT(DATEVALUE(RIGHT(D2,8))+1,"dd/mm/yy")&amp; " - "&amp; TEXT(DATEVALUE(RIGHT(D2,8))+7,"dd/mm/yy")</f>
        <v>03/04/19 - 09/04/19</v>
      </c>
      <c r="F2" s="44" t="str">
        <f>TEXT(DATEVALUE(RIGHT(E2,8))+1,"dd/mm/yy")&amp; " - "&amp; TEXT(DATEVALUE(RIGHT(E2,8))+7,"dd/mm/yy")</f>
        <v>10/04/19 - 16/04/19</v>
      </c>
      <c r="G2" s="12" t="s">
        <v>10</v>
      </c>
      <c r="H2" s="9"/>
    </row>
    <row r="3" spans="1:30" ht="18">
      <c r="A3" s="13" t="s">
        <v>165</v>
      </c>
      <c r="B3" s="10">
        <f>SUM(B5,B17)</f>
        <v>2749.34</v>
      </c>
      <c r="C3" s="296">
        <f>SUM(C6:C29)</f>
        <v>0</v>
      </c>
      <c r="D3" s="296">
        <f>SUM(D6:D29)</f>
        <v>0</v>
      </c>
      <c r="E3" s="296">
        <f>SUM(E6:E29)</f>
        <v>0</v>
      </c>
      <c r="F3" s="296">
        <f>SUM(F6:F29)</f>
        <v>0</v>
      </c>
      <c r="G3" s="10"/>
      <c r="H3" s="9"/>
    </row>
    <row r="4" spans="1:30" ht="18">
      <c r="A4" s="250"/>
      <c r="B4" s="10"/>
      <c r="C4" s="296"/>
      <c r="D4" s="296"/>
      <c r="E4" s="296"/>
      <c r="F4" s="296"/>
      <c r="G4" s="10"/>
      <c r="H4" s="9"/>
      <c r="K4" s="756" t="s">
        <v>757</v>
      </c>
      <c r="L4" s="756"/>
      <c r="M4" s="756"/>
      <c r="N4" s="756"/>
      <c r="O4" s="756"/>
      <c r="P4" s="756"/>
      <c r="Q4" s="756"/>
      <c r="R4" s="756"/>
      <c r="S4" s="756"/>
      <c r="T4" s="756"/>
      <c r="U4" s="756"/>
      <c r="V4" s="756"/>
      <c r="X4" s="726" t="s">
        <v>758</v>
      </c>
      <c r="Y4" s="726"/>
      <c r="Z4" s="726"/>
      <c r="AB4" s="726" t="s">
        <v>759</v>
      </c>
      <c r="AC4" s="726"/>
      <c r="AD4" s="726"/>
    </row>
    <row r="5" spans="1:30" ht="18">
      <c r="A5" s="178" t="s">
        <v>166</v>
      </c>
      <c r="B5" s="183">
        <f>SUM(B6:B14)</f>
        <v>1880</v>
      </c>
      <c r="C5" s="296"/>
      <c r="D5" s="296"/>
      <c r="E5" s="296"/>
      <c r="F5" s="296"/>
      <c r="G5" s="184">
        <f>ROUND(SUM(G6:G14),2)</f>
        <v>1880</v>
      </c>
      <c r="H5" s="9" t="s">
        <v>10</v>
      </c>
      <c r="I5" s="11">
        <f>SUM(I6:I11)+SUM(I19:I22)+SUM(I27:I31)+SUM(I34:I34)+SUM(I36:I42)+I44</f>
        <v>0</v>
      </c>
      <c r="K5" s="11" t="s">
        <v>715</v>
      </c>
      <c r="N5" t="s">
        <v>760</v>
      </c>
      <c r="Q5" t="s">
        <v>717</v>
      </c>
      <c r="T5" t="s">
        <v>10</v>
      </c>
      <c r="X5" t="s">
        <v>761</v>
      </c>
      <c r="Y5">
        <v>1676.27</v>
      </c>
      <c r="AB5" t="s">
        <v>761</v>
      </c>
      <c r="AC5">
        <f>Y8</f>
        <v>1226.27</v>
      </c>
    </row>
    <row r="6" spans="1:30" ht="18" outlineLevel="1">
      <c r="A6" s="105" t="s">
        <v>167</v>
      </c>
      <c r="B6" s="17">
        <v>300</v>
      </c>
      <c r="C6" s="10"/>
      <c r="D6" s="10"/>
      <c r="E6" s="10"/>
      <c r="F6" s="10"/>
      <c r="G6" s="10">
        <f t="shared" ref="G6:G14" si="0">IF(B6&lt;&gt;"",B6-C6-D6-E6-F6,"")</f>
        <v>300</v>
      </c>
      <c r="H6" s="12" t="str">
        <f t="shared" ref="H6:H14" si="1">A6</f>
        <v xml:space="preserve">Car Petrol </v>
      </c>
      <c r="I6">
        <f t="shared" ref="I6:I14" si="2">IF(G6&lt;0,G6*-1,0)</f>
        <v>0</v>
      </c>
      <c r="K6">
        <v>300</v>
      </c>
      <c r="L6" t="s">
        <v>702</v>
      </c>
      <c r="N6">
        <f>43.17+42.57+50+26.98+43.83+28.05+14+13.61</f>
        <v>262.21000000000004</v>
      </c>
      <c r="O6" t="str">
        <f>L6</f>
        <v>Petrol</v>
      </c>
      <c r="Q6">
        <f>26.38</f>
        <v>26.38</v>
      </c>
      <c r="R6" t="str">
        <f>L6</f>
        <v>Petrol</v>
      </c>
      <c r="T6">
        <f>K6-N6-Q6</f>
        <v>11.409999999999965</v>
      </c>
      <c r="U6" t="str">
        <f>L6</f>
        <v>Petrol</v>
      </c>
      <c r="V6">
        <f>IF(T6&lt;0,T6*-1,0)</f>
        <v>0</v>
      </c>
      <c r="X6" t="s">
        <v>762</v>
      </c>
      <c r="Y6">
        <f t="shared" ref="Y6" si="3">Y5-Z6</f>
        <v>1626.27</v>
      </c>
      <c r="Z6">
        <v>50</v>
      </c>
      <c r="AB6" t="s">
        <v>166</v>
      </c>
      <c r="AC6">
        <f>AC5-AD6</f>
        <v>676.27</v>
      </c>
      <c r="AD6">
        <f>400+50+100</f>
        <v>550</v>
      </c>
    </row>
    <row r="7" spans="1:30" ht="18" outlineLevel="1">
      <c r="A7" s="105" t="s">
        <v>577</v>
      </c>
      <c r="B7" s="10">
        <v>300</v>
      </c>
      <c r="C7" s="10"/>
      <c r="D7" s="10"/>
      <c r="E7" s="10"/>
      <c r="F7" s="10"/>
      <c r="G7" s="10">
        <f t="shared" si="0"/>
        <v>300</v>
      </c>
      <c r="H7" s="12" t="str">
        <f t="shared" si="1"/>
        <v>Food/Bunnies/Toiletries</v>
      </c>
      <c r="I7">
        <f t="shared" si="2"/>
        <v>0</v>
      </c>
      <c r="K7">
        <v>300</v>
      </c>
      <c r="L7" t="s">
        <v>169</v>
      </c>
      <c r="N7">
        <f>20+6.2+14.42+32+(70.3-16.5-10)+29.5+19.33+12+50+10.44+2.99+3.11+18.48+11.45+45</f>
        <v>318.72000000000003</v>
      </c>
      <c r="O7" t="str">
        <f t="shared" ref="O7:O16" si="4">L7</f>
        <v>Food</v>
      </c>
      <c r="Q7">
        <f>0</f>
        <v>0</v>
      </c>
      <c r="R7" t="str">
        <f t="shared" ref="R7:R16" si="5">L7</f>
        <v>Food</v>
      </c>
      <c r="T7">
        <f t="shared" ref="T7:T16" si="6">K7-N7-Q7</f>
        <v>-18.720000000000027</v>
      </c>
      <c r="U7" t="str">
        <f t="shared" ref="U7:U16" si="7">L7</f>
        <v>Food</v>
      </c>
      <c r="V7">
        <f t="shared" ref="V7:V16" si="8">IF(T7&lt;0,T7*-1,0)</f>
        <v>18.720000000000027</v>
      </c>
      <c r="X7" t="s">
        <v>763</v>
      </c>
      <c r="Y7">
        <f>Y6-Z7</f>
        <v>1526.27</v>
      </c>
      <c r="Z7">
        <v>100</v>
      </c>
      <c r="AB7" t="s">
        <v>684</v>
      </c>
      <c r="AC7">
        <f>AC6-AD7</f>
        <v>376.27</v>
      </c>
      <c r="AD7">
        <v>300</v>
      </c>
    </row>
    <row r="8" spans="1:30" ht="18" outlineLevel="1">
      <c r="A8" s="105" t="s">
        <v>764</v>
      </c>
      <c r="B8" s="10">
        <v>0</v>
      </c>
      <c r="C8" s="10"/>
      <c r="D8" s="10"/>
      <c r="E8" s="10"/>
      <c r="F8" s="10"/>
      <c r="G8" s="10">
        <f>IF(B8&lt;&gt;"",B8-C8-D8-E8-F8,"")</f>
        <v>0</v>
      </c>
      <c r="H8" s="12" t="str">
        <f>A8</f>
        <v>PT / Health</v>
      </c>
      <c r="I8">
        <f>IF(G8&lt;0,G8*-1,0)</f>
        <v>0</v>
      </c>
      <c r="K8">
        <v>0</v>
      </c>
      <c r="L8" t="s">
        <v>765</v>
      </c>
      <c r="N8">
        <f>53.02</f>
        <v>53.02</v>
      </c>
      <c r="O8" t="str">
        <f t="shared" si="4"/>
        <v>Health+Fitness</v>
      </c>
      <c r="Q8">
        <f>0</f>
        <v>0</v>
      </c>
      <c r="R8" t="str">
        <f t="shared" si="5"/>
        <v>Health+Fitness</v>
      </c>
      <c r="T8">
        <f t="shared" si="6"/>
        <v>-53.02</v>
      </c>
      <c r="U8" t="str">
        <f t="shared" si="7"/>
        <v>Health+Fitness</v>
      </c>
      <c r="V8">
        <f t="shared" si="8"/>
        <v>53.02</v>
      </c>
      <c r="X8" t="s">
        <v>766</v>
      </c>
      <c r="Y8">
        <f>Y7-Z8</f>
        <v>1226.27</v>
      </c>
      <c r="Z8">
        <v>300</v>
      </c>
      <c r="AB8" t="s">
        <v>767</v>
      </c>
      <c r="AC8">
        <f>AC7-AD8</f>
        <v>-23.730000000000018</v>
      </c>
      <c r="AD8">
        <v>400</v>
      </c>
    </row>
    <row r="9" spans="1:30" ht="18" outlineLevel="1">
      <c r="A9" s="105" t="s">
        <v>170</v>
      </c>
      <c r="B9" s="10">
        <v>150</v>
      </c>
      <c r="C9" s="10"/>
      <c r="D9" s="10"/>
      <c r="E9" s="10"/>
      <c r="F9" s="10"/>
      <c r="G9" s="10">
        <f>IF(B9&lt;&gt;"",B9-C9-D9-E9-F9,"")</f>
        <v>150</v>
      </c>
      <c r="H9" s="12" t="str">
        <f t="shared" si="1"/>
        <v>Gift Fund</v>
      </c>
      <c r="I9">
        <f t="shared" si="2"/>
        <v>0</v>
      </c>
      <c r="K9">
        <v>150</v>
      </c>
      <c r="L9" t="s">
        <v>701</v>
      </c>
      <c r="N9">
        <v>0</v>
      </c>
      <c r="O9" t="str">
        <f t="shared" si="4"/>
        <v>Gift</v>
      </c>
      <c r="Q9">
        <v>0</v>
      </c>
      <c r="R9" t="str">
        <f t="shared" si="5"/>
        <v>Gift</v>
      </c>
      <c r="T9">
        <f t="shared" si="6"/>
        <v>150</v>
      </c>
      <c r="U9" t="str">
        <f t="shared" si="7"/>
        <v>Gift</v>
      </c>
      <c r="V9">
        <f t="shared" si="8"/>
        <v>0</v>
      </c>
      <c r="Z9">
        <f>SUM(Z6:Z8,AD6:AD8)</f>
        <v>1700</v>
      </c>
    </row>
    <row r="10" spans="1:30" ht="18" outlineLevel="1">
      <c r="A10" s="105" t="s">
        <v>171</v>
      </c>
      <c r="B10" s="10">
        <v>0</v>
      </c>
      <c r="C10" s="10"/>
      <c r="D10" s="10"/>
      <c r="E10" s="10"/>
      <c r="F10" s="10"/>
      <c r="G10" s="10">
        <f t="shared" si="0"/>
        <v>0</v>
      </c>
      <c r="H10" s="12" t="str">
        <f t="shared" si="1"/>
        <v>Holiday Fund</v>
      </c>
      <c r="I10">
        <f t="shared" si="2"/>
        <v>0</v>
      </c>
      <c r="K10">
        <v>0</v>
      </c>
      <c r="L10" t="s">
        <v>712</v>
      </c>
      <c r="N10">
        <v>0</v>
      </c>
      <c r="O10" t="str">
        <f t="shared" si="4"/>
        <v>Hols</v>
      </c>
      <c r="Q10">
        <v>0</v>
      </c>
      <c r="R10" t="str">
        <f t="shared" si="5"/>
        <v>Hols</v>
      </c>
      <c r="T10">
        <f t="shared" si="6"/>
        <v>0</v>
      </c>
      <c r="U10" t="str">
        <f t="shared" si="7"/>
        <v>Hols</v>
      </c>
      <c r="V10">
        <f t="shared" si="8"/>
        <v>0</v>
      </c>
    </row>
    <row r="11" spans="1:30" ht="18" outlineLevel="1">
      <c r="A11" s="105" t="s">
        <v>632</v>
      </c>
      <c r="B11" s="10">
        <v>80</v>
      </c>
      <c r="C11" s="10"/>
      <c r="D11" s="10"/>
      <c r="E11" s="10"/>
      <c r="F11" s="10"/>
      <c r="G11" s="10">
        <f t="shared" si="0"/>
        <v>80</v>
      </c>
      <c r="H11" s="12" t="str">
        <f t="shared" si="1"/>
        <v>Shared</v>
      </c>
      <c r="I11">
        <f t="shared" si="2"/>
        <v>0</v>
      </c>
      <c r="K11" s="11">
        <v>80</v>
      </c>
      <c r="L11" s="11" t="s">
        <v>632</v>
      </c>
      <c r="N11" s="11">
        <f>5.45+10.44+9.85+8.98+9.11+29.51+45.5+14.99+7</f>
        <v>140.83000000000001</v>
      </c>
      <c r="O11" t="str">
        <f t="shared" si="4"/>
        <v>Shared</v>
      </c>
      <c r="Q11" s="11">
        <v>0</v>
      </c>
      <c r="R11" t="str">
        <f t="shared" si="5"/>
        <v>Shared</v>
      </c>
      <c r="T11">
        <f t="shared" si="6"/>
        <v>-60.830000000000013</v>
      </c>
      <c r="U11" t="str">
        <f t="shared" si="7"/>
        <v>Shared</v>
      </c>
      <c r="V11">
        <f t="shared" si="8"/>
        <v>60.830000000000013</v>
      </c>
    </row>
    <row r="12" spans="1:30" ht="18" outlineLevel="1">
      <c r="A12" s="105" t="s">
        <v>590</v>
      </c>
      <c r="B12" s="10">
        <v>500</v>
      </c>
      <c r="C12" s="10"/>
      <c r="D12" s="10"/>
      <c r="E12" s="10"/>
      <c r="F12" s="10"/>
      <c r="G12" s="10">
        <f t="shared" si="0"/>
        <v>500</v>
      </c>
      <c r="H12" s="12" t="str">
        <f t="shared" si="1"/>
        <v>Contingency</v>
      </c>
      <c r="I12">
        <f t="shared" si="2"/>
        <v>0</v>
      </c>
      <c r="K12">
        <v>500</v>
      </c>
      <c r="L12" t="s">
        <v>711</v>
      </c>
      <c r="N12">
        <f>300+18.51</f>
        <v>318.51</v>
      </c>
      <c r="O12" t="str">
        <f t="shared" si="4"/>
        <v>Cont</v>
      </c>
      <c r="Q12">
        <f>0</f>
        <v>0</v>
      </c>
      <c r="R12" t="str">
        <f t="shared" si="5"/>
        <v>Cont</v>
      </c>
      <c r="T12">
        <f>K12-N12-Q12-SUM(V6:V16)</f>
        <v>-90.860000000000468</v>
      </c>
      <c r="U12" t="str">
        <f t="shared" si="7"/>
        <v>Cont</v>
      </c>
      <c r="V12">
        <v>0</v>
      </c>
      <c r="Y12" t="s">
        <v>768</v>
      </c>
    </row>
    <row r="13" spans="1:30" ht="18" outlineLevel="1">
      <c r="A13" s="105" t="s">
        <v>721</v>
      </c>
      <c r="B13" s="10">
        <v>50</v>
      </c>
      <c r="C13" s="10"/>
      <c r="D13" s="10"/>
      <c r="E13" s="10"/>
      <c r="F13" s="10"/>
      <c r="G13" s="10">
        <f>IF(B13&lt;&gt;"",B13-C13-D13-E13-F13,"")</f>
        <v>50</v>
      </c>
      <c r="H13" s="12" t="str">
        <f>A13</f>
        <v>Cars (MOT,SVC)</v>
      </c>
      <c r="I13">
        <f>IF(G13&lt;0,G13*-1,0)</f>
        <v>0</v>
      </c>
      <c r="K13">
        <v>50</v>
      </c>
      <c r="L13" t="s">
        <v>769</v>
      </c>
      <c r="N13">
        <f>11+26.99+346.97-206.83</f>
        <v>178.13000000000002</v>
      </c>
      <c r="O13" t="str">
        <f t="shared" si="4"/>
        <v>Cars (MOT)</v>
      </c>
      <c r="Q13">
        <f>0</f>
        <v>0</v>
      </c>
      <c r="R13" t="str">
        <f t="shared" si="5"/>
        <v>Cars (MOT)</v>
      </c>
      <c r="T13">
        <f>K13-N13-Q13</f>
        <v>-128.13000000000002</v>
      </c>
      <c r="U13" t="str">
        <f t="shared" si="7"/>
        <v>Cars (MOT)</v>
      </c>
      <c r="V13">
        <f t="shared" si="8"/>
        <v>128.13000000000002</v>
      </c>
      <c r="Y13" t="e">
        <f>(3991.65-849.91+Z9)-'JUL-AUG 2019'!#REF!+Z13</f>
        <v>#REF!</v>
      </c>
      <c r="Z13">
        <f>49.5+100</f>
        <v>149.5</v>
      </c>
      <c r="AA13" t="s">
        <v>770</v>
      </c>
    </row>
    <row r="14" spans="1:30" ht="18" outlineLevel="1">
      <c r="A14" s="105" t="s">
        <v>722</v>
      </c>
      <c r="B14" s="10">
        <v>500</v>
      </c>
      <c r="C14" s="10"/>
      <c r="D14" s="10"/>
      <c r="E14" s="10"/>
      <c r="F14" s="10"/>
      <c r="G14" s="10">
        <f t="shared" si="0"/>
        <v>500</v>
      </c>
      <c r="H14" s="12" t="str">
        <f t="shared" si="1"/>
        <v>Car Lessons</v>
      </c>
      <c r="I14">
        <f t="shared" si="2"/>
        <v>0</v>
      </c>
      <c r="K14">
        <v>500</v>
      </c>
      <c r="L14" t="s">
        <v>722</v>
      </c>
      <c r="N14">
        <f>50+50+50+75+100+25</f>
        <v>350</v>
      </c>
      <c r="O14" t="str">
        <f t="shared" si="4"/>
        <v>Car Lessons</v>
      </c>
      <c r="Q14">
        <v>0</v>
      </c>
      <c r="R14" t="str">
        <f t="shared" si="5"/>
        <v>Car Lessons</v>
      </c>
      <c r="T14">
        <f t="shared" si="6"/>
        <v>150</v>
      </c>
      <c r="U14" t="str">
        <f t="shared" si="7"/>
        <v>Car Lessons</v>
      </c>
      <c r="V14">
        <f t="shared" si="8"/>
        <v>0</v>
      </c>
    </row>
    <row r="15" spans="1:30" ht="18" outlineLevel="1">
      <c r="A15" s="105" t="s">
        <v>633</v>
      </c>
      <c r="B15" s="10">
        <f>IF(B47 &lt;&gt; 0,B47-B5-B17-I5,0)</f>
        <v>700.85</v>
      </c>
      <c r="C15" s="10"/>
      <c r="D15" s="10"/>
      <c r="E15" s="10"/>
      <c r="F15" s="10"/>
      <c r="G15" s="10">
        <f>IF(B15&lt;&gt;"",B15-C15-D15-E15-F15,"")</f>
        <v>700.85</v>
      </c>
      <c r="H15" s="12" t="s">
        <v>172</v>
      </c>
      <c r="I15" s="11"/>
      <c r="J15" s="11"/>
      <c r="K15">
        <f>219.87-3.99</f>
        <v>215.88</v>
      </c>
      <c r="L15" t="s">
        <v>633</v>
      </c>
      <c r="N15">
        <f>4.54+19+2.99+4.3+4.3+2.95+16.5+10+10.25+14.49+98.09+12.99+10+20+10.64+3.84+11.5+4.18+-44.97+6.4</f>
        <v>221.99</v>
      </c>
      <c r="O15" t="str">
        <f t="shared" si="4"/>
        <v>Fun</v>
      </c>
      <c r="Q15">
        <f>0</f>
        <v>0</v>
      </c>
      <c r="R15" t="str">
        <f t="shared" si="5"/>
        <v>Fun</v>
      </c>
      <c r="T15">
        <f t="shared" si="6"/>
        <v>-6.1100000000000136</v>
      </c>
      <c r="U15" t="str">
        <f t="shared" si="7"/>
        <v>Fun</v>
      </c>
      <c r="V15">
        <f t="shared" si="8"/>
        <v>6.1100000000000136</v>
      </c>
      <c r="Z15" t="e">
        <f>Y13</f>
        <v>#REF!</v>
      </c>
    </row>
    <row r="16" spans="1:30" ht="18">
      <c r="A16" s="185"/>
      <c r="B16" s="10"/>
      <c r="C16" s="10"/>
      <c r="D16" s="10"/>
      <c r="E16" s="10"/>
      <c r="F16" s="10"/>
      <c r="G16" s="10"/>
      <c r="H16" s="9"/>
      <c r="J16" s="11"/>
      <c r="K16">
        <v>1354.31</v>
      </c>
      <c r="L16" t="s">
        <v>720</v>
      </c>
      <c r="N16">
        <f>143.23+5.49+13+14.56+41.68+3.34+7.99+10+25+1+37.72+63.84+66.72+123+179.07+452.64+75.65+95.92</f>
        <v>1359.8500000000004</v>
      </c>
      <c r="O16" t="str">
        <f t="shared" si="4"/>
        <v>Bills</v>
      </c>
      <c r="Q16">
        <v>0</v>
      </c>
      <c r="R16" t="str">
        <f t="shared" si="5"/>
        <v>Bills</v>
      </c>
      <c r="T16">
        <f t="shared" si="6"/>
        <v>-5.5400000000004184</v>
      </c>
      <c r="U16" t="str">
        <f t="shared" si="7"/>
        <v>Bills</v>
      </c>
      <c r="V16">
        <f t="shared" si="8"/>
        <v>5.5400000000004184</v>
      </c>
      <c r="Z16" t="e">
        <f>Z15-AA16</f>
        <v>#REF!</v>
      </c>
      <c r="AA16">
        <v>100</v>
      </c>
      <c r="AB16" t="s">
        <v>771</v>
      </c>
    </row>
    <row r="17" spans="1:28" ht="18">
      <c r="A17" s="177" t="s">
        <v>720</v>
      </c>
      <c r="B17" s="183">
        <f>B18+B26+B33+B36+B44</f>
        <v>869.34</v>
      </c>
      <c r="C17" s="10"/>
      <c r="D17" s="10"/>
      <c r="E17" s="10"/>
      <c r="F17" s="10"/>
      <c r="G17" s="234">
        <f>ROUND(SUM(G18,G26,G33,G36),2)</f>
        <v>869.34</v>
      </c>
      <c r="H17" s="237" t="s">
        <v>10</v>
      </c>
      <c r="I17" s="11"/>
      <c r="N17">
        <f>-49.5</f>
        <v>-49.5</v>
      </c>
      <c r="O17" t="s">
        <v>772</v>
      </c>
      <c r="Z17" t="e">
        <f>Z16-AA17</f>
        <v>#REF!</v>
      </c>
      <c r="AA17">
        <v>250</v>
      </c>
      <c r="AB17" t="s">
        <v>773</v>
      </c>
    </row>
    <row r="18" spans="1:28" ht="18">
      <c r="A18" s="105" t="s">
        <v>594</v>
      </c>
      <c r="B18" s="183">
        <f>SUM(B19:B24)</f>
        <v>869.34</v>
      </c>
      <c r="C18" s="10"/>
      <c r="D18" s="10"/>
      <c r="E18" s="10"/>
      <c r="F18" s="10"/>
      <c r="G18" s="235">
        <f>IF(B18&lt;&gt;"",SUM(G19:G24),0)</f>
        <v>869.34</v>
      </c>
      <c r="H18" s="236" t="str">
        <f t="shared" ref="H18:H24" si="9">A18</f>
        <v>House Outgoings</v>
      </c>
      <c r="K18" s="11">
        <f>SUM(K6:K16)+3.91</f>
        <v>3454.1</v>
      </c>
      <c r="L18" t="s">
        <v>131</v>
      </c>
      <c r="N18" s="263">
        <f>K18-SUM(N6:N17)</f>
        <v>300.33999999999969</v>
      </c>
      <c r="O18" t="s">
        <v>726</v>
      </c>
      <c r="Q18" s="11">
        <f>SUM(Q6:Q17)</f>
        <v>26.38</v>
      </c>
      <c r="R18" t="s">
        <v>727</v>
      </c>
      <c r="T18" s="11">
        <f>SUMIF(T6:T16,"&gt;0")-N17</f>
        <v>360.90999999999997</v>
      </c>
      <c r="U18" t="s">
        <v>728</v>
      </c>
      <c r="Z18" t="e">
        <f>Z17-AA18</f>
        <v>#REF!</v>
      </c>
      <c r="AA18">
        <v>500</v>
      </c>
      <c r="AB18" t="s">
        <v>774</v>
      </c>
    </row>
    <row r="19" spans="1:28" ht="18" outlineLevel="2">
      <c r="A19" s="13" t="s">
        <v>595</v>
      </c>
      <c r="B19" s="184">
        <v>452.64</v>
      </c>
      <c r="C19" s="10"/>
      <c r="D19" s="10"/>
      <c r="E19" s="10"/>
      <c r="F19" s="10"/>
      <c r="G19" s="10">
        <f t="shared" ref="G19:G24" si="10">IF(B19&lt;&gt;"",B19-C19-D19-E19-F19,"")</f>
        <v>452.64</v>
      </c>
      <c r="H19" s="12" t="str">
        <f t="shared" si="9"/>
        <v>Mortgage</v>
      </c>
      <c r="I19">
        <f>IF(G19&lt;0,G19*-1,0)</f>
        <v>0</v>
      </c>
      <c r="K19" t="s">
        <v>775</v>
      </c>
      <c r="R19" t="s">
        <v>776</v>
      </c>
    </row>
    <row r="20" spans="1:28" ht="18" outlineLevel="2">
      <c r="A20" s="13" t="s">
        <v>729</v>
      </c>
      <c r="B20" s="184">
        <v>124</v>
      </c>
      <c r="C20" s="10"/>
      <c r="D20" s="10"/>
      <c r="E20" s="10"/>
      <c r="F20" s="10"/>
      <c r="G20" s="10">
        <f t="shared" si="10"/>
        <v>124</v>
      </c>
      <c r="H20" s="12" t="str">
        <f t="shared" si="9"/>
        <v>Council tax (15th)</v>
      </c>
      <c r="I20">
        <f>IF(G20&lt;0,G20*-1,0)</f>
        <v>0</v>
      </c>
      <c r="J20" s="11"/>
      <c r="K20" s="11"/>
      <c r="M20" t="s">
        <v>678</v>
      </c>
      <c r="N20" s="11">
        <f>24.04+24.28+55.98</f>
        <v>104.3</v>
      </c>
      <c r="O20" t="s">
        <v>777</v>
      </c>
      <c r="Q20" s="11"/>
      <c r="X20" t="s">
        <v>778</v>
      </c>
    </row>
    <row r="21" spans="1:28" ht="18" outlineLevel="2">
      <c r="A21" s="13" t="s">
        <v>731</v>
      </c>
      <c r="B21" s="184">
        <f>17+40+12.96</f>
        <v>69.960000000000008</v>
      </c>
      <c r="C21" s="10"/>
      <c r="D21" s="10"/>
      <c r="E21" s="10"/>
      <c r="F21" s="10"/>
      <c r="G21" s="10">
        <f t="shared" si="10"/>
        <v>69.960000000000008</v>
      </c>
      <c r="H21" s="12" t="str">
        <f t="shared" si="9"/>
        <v>Utilities (G,W,E,TV) (1st)</v>
      </c>
      <c r="I21">
        <f>IF(G21&lt;0,G21*-1,0)</f>
        <v>0</v>
      </c>
      <c r="N21" s="11">
        <v>7.67</v>
      </c>
      <c r="O21" s="231" t="s">
        <v>779</v>
      </c>
      <c r="X21">
        <f>945.83-95.92</f>
        <v>849.91000000000008</v>
      </c>
    </row>
    <row r="22" spans="1:28" ht="18" outlineLevel="2">
      <c r="A22" s="13" t="s">
        <v>600</v>
      </c>
      <c r="B22" s="184">
        <f>4.52+16.61+8.56+16.1</f>
        <v>45.79</v>
      </c>
      <c r="C22" s="10"/>
      <c r="D22" s="10"/>
      <c r="E22" s="10"/>
      <c r="F22" s="10"/>
      <c r="G22" s="10">
        <f t="shared" si="10"/>
        <v>45.79</v>
      </c>
      <c r="H22" s="12" t="str">
        <f t="shared" si="9"/>
        <v>Insurance</v>
      </c>
      <c r="I22">
        <f>IF(G22&lt;0,G22*-1,0)</f>
        <v>0</v>
      </c>
      <c r="N22" s="11">
        <v>14.83</v>
      </c>
      <c r="O22" s="231" t="s">
        <v>780</v>
      </c>
    </row>
    <row r="23" spans="1:28" ht="18" outlineLevel="2">
      <c r="A23" s="13" t="s">
        <v>781</v>
      </c>
      <c r="B23" s="184">
        <f>37.96+3.99</f>
        <v>41.95</v>
      </c>
      <c r="C23" s="10"/>
      <c r="D23" s="10"/>
      <c r="E23" s="10"/>
      <c r="F23" s="10"/>
      <c r="G23" s="10">
        <f t="shared" si="10"/>
        <v>41.95</v>
      </c>
      <c r="H23" s="12" t="str">
        <f t="shared" si="9"/>
        <v>Subscriptions</v>
      </c>
      <c r="I23">
        <f>IF(G23&lt;0,G23*-1,0)</f>
        <v>0</v>
      </c>
      <c r="N23">
        <v>51.97</v>
      </c>
      <c r="O23" t="s">
        <v>782</v>
      </c>
    </row>
    <row r="24" spans="1:28" ht="18" outlineLevel="2">
      <c r="A24" s="13" t="s">
        <v>732</v>
      </c>
      <c r="B24" s="184">
        <f>95+40</f>
        <v>135</v>
      </c>
      <c r="C24" s="10"/>
      <c r="D24" s="10"/>
      <c r="E24" s="10"/>
      <c r="F24" s="10"/>
      <c r="G24" s="10">
        <f t="shared" si="10"/>
        <v>135</v>
      </c>
      <c r="H24" s="12" t="str">
        <f t="shared" si="9"/>
        <v>Loan (18th)</v>
      </c>
      <c r="N24" s="11">
        <v>28.02</v>
      </c>
      <c r="O24" t="s">
        <v>702</v>
      </c>
    </row>
    <row r="25" spans="1:28" s="747" customFormat="1" ht="18" outlineLevel="2">
      <c r="A25" s="747" t="str">
        <f>IF(B25&lt;&gt;"",B25-C25-D25-E25-F25,"")</f>
        <v/>
      </c>
    </row>
    <row r="26" spans="1:28" ht="18" outlineLevel="1">
      <c r="A26" s="105"/>
      <c r="B26" s="296"/>
      <c r="C26" s="10"/>
      <c r="D26" s="10"/>
      <c r="E26" s="10"/>
      <c r="F26" s="10"/>
      <c r="G26" s="235"/>
      <c r="H26" s="236"/>
      <c r="I26" s="11"/>
      <c r="N26" s="11"/>
      <c r="Q26" s="11"/>
    </row>
    <row r="27" spans="1:28" ht="18" outlineLevel="2">
      <c r="A27" s="13"/>
      <c r="B27" s="33"/>
      <c r="C27" s="10"/>
      <c r="D27" s="10"/>
      <c r="E27" s="10"/>
      <c r="F27" s="10"/>
      <c r="G27" s="10"/>
      <c r="H27" s="12"/>
    </row>
    <row r="28" spans="1:28" ht="18" outlineLevel="2">
      <c r="A28" s="13"/>
      <c r="B28" s="33"/>
      <c r="C28" s="10"/>
      <c r="D28" s="10"/>
      <c r="E28" s="10"/>
      <c r="F28" s="10"/>
      <c r="G28" s="10"/>
      <c r="H28" s="12"/>
    </row>
    <row r="29" spans="1:28" ht="18" outlineLevel="2">
      <c r="A29" s="13"/>
      <c r="B29" s="33"/>
      <c r="C29" s="10"/>
      <c r="D29" s="10"/>
      <c r="E29" s="10"/>
      <c r="F29" s="10"/>
      <c r="G29" s="10"/>
      <c r="H29" s="12"/>
    </row>
    <row r="30" spans="1:28" ht="18" outlineLevel="2">
      <c r="A30" s="13"/>
      <c r="B30" s="33"/>
      <c r="C30" s="10"/>
      <c r="D30" s="10"/>
      <c r="E30" s="10"/>
      <c r="F30" s="10"/>
      <c r="G30" s="10"/>
      <c r="H30" s="12"/>
    </row>
    <row r="31" spans="1:28" ht="18" outlineLevel="2" collapsed="1">
      <c r="A31" s="13"/>
      <c r="B31" s="33"/>
      <c r="C31" s="10"/>
      <c r="D31" s="10"/>
      <c r="E31" s="10"/>
      <c r="F31" s="10"/>
      <c r="G31" s="10"/>
      <c r="H31" s="12"/>
    </row>
    <row r="32" spans="1:28" s="747" customFormat="1" ht="18" outlineLevel="2"/>
    <row r="33" spans="1:18" ht="18" outlineLevel="1">
      <c r="A33" s="105"/>
      <c r="B33" s="296"/>
      <c r="C33" s="10"/>
      <c r="D33" s="10"/>
      <c r="E33" s="10"/>
      <c r="F33" s="10"/>
      <c r="G33" s="235"/>
      <c r="H33" s="236"/>
      <c r="K33" s="11"/>
    </row>
    <row r="34" spans="1:18" ht="18" outlineLevel="2">
      <c r="A34" s="13"/>
      <c r="B34" s="33"/>
      <c r="C34" s="10"/>
      <c r="D34" s="10"/>
      <c r="E34" s="10"/>
      <c r="F34" s="10"/>
      <c r="G34" s="10"/>
      <c r="H34" s="12"/>
    </row>
    <row r="35" spans="1:18" s="748" customFormat="1" ht="18" outlineLevel="2"/>
    <row r="36" spans="1:18" ht="18" outlineLevel="1">
      <c r="A36" s="105"/>
      <c r="B36" s="46"/>
      <c r="C36" s="10"/>
      <c r="D36" s="10"/>
      <c r="E36" s="10"/>
      <c r="F36" s="10"/>
      <c r="G36" s="296"/>
      <c r="H36" s="12"/>
      <c r="R36" s="11"/>
    </row>
    <row r="37" spans="1:18" ht="18" outlineLevel="2">
      <c r="A37" s="13"/>
      <c r="B37" s="46"/>
      <c r="C37" s="10"/>
      <c r="D37" s="10"/>
      <c r="E37" s="10"/>
      <c r="F37" s="10"/>
      <c r="G37" s="296"/>
      <c r="H37" s="12"/>
    </row>
    <row r="38" spans="1:18" ht="18" outlineLevel="2">
      <c r="A38" s="13"/>
      <c r="B38" s="46"/>
      <c r="C38" s="10"/>
      <c r="D38" s="10"/>
      <c r="E38" s="10"/>
      <c r="F38" s="10"/>
      <c r="G38" s="296"/>
      <c r="H38" s="12"/>
    </row>
    <row r="39" spans="1:18" ht="18" outlineLevel="2">
      <c r="A39" s="13"/>
      <c r="B39" s="46"/>
      <c r="C39" s="10"/>
      <c r="D39" s="10"/>
      <c r="E39" s="10"/>
      <c r="F39" s="10"/>
      <c r="G39" s="296"/>
      <c r="H39" s="12"/>
    </row>
    <row r="40" spans="1:18" ht="18" outlineLevel="2">
      <c r="A40" s="13"/>
      <c r="B40" s="46"/>
      <c r="C40" s="10"/>
      <c r="D40" s="10"/>
      <c r="E40" s="10"/>
      <c r="F40" s="10"/>
      <c r="G40" s="296"/>
      <c r="H40" s="12"/>
    </row>
    <row r="41" spans="1:18" ht="18" outlineLevel="2">
      <c r="A41" s="13"/>
      <c r="B41" s="46"/>
      <c r="C41" s="10"/>
      <c r="D41" s="10"/>
      <c r="E41" s="10"/>
      <c r="F41" s="10"/>
      <c r="G41" s="296"/>
      <c r="H41" s="12"/>
    </row>
    <row r="42" spans="1:18" ht="18" outlineLevel="1">
      <c r="A42" s="249"/>
      <c r="B42" s="46"/>
      <c r="C42" s="10"/>
      <c r="D42" s="10"/>
      <c r="E42" s="10"/>
      <c r="F42" s="10"/>
      <c r="G42" s="296"/>
      <c r="H42" s="12"/>
    </row>
    <row r="43" spans="1:18" ht="18" outlineLevel="1">
      <c r="A43" s="245"/>
      <c r="B43" s="46"/>
      <c r="C43" s="10"/>
      <c r="D43" s="10"/>
      <c r="E43" s="10"/>
      <c r="F43" s="10"/>
      <c r="G43" s="296"/>
      <c r="H43" s="12"/>
    </row>
    <row r="44" spans="1:18" ht="18">
      <c r="A44" s="245" t="s">
        <v>677</v>
      </c>
      <c r="B44" s="253">
        <v>0</v>
      </c>
      <c r="C44" s="10"/>
      <c r="D44" s="10"/>
      <c r="E44" s="10"/>
      <c r="F44" s="10"/>
      <c r="G44" s="246">
        <v>1412.13</v>
      </c>
      <c r="H44" s="12" t="str">
        <f>A44</f>
        <v>Credit Card Out</v>
      </c>
      <c r="I44" s="11"/>
    </row>
    <row r="45" spans="1:18" ht="18">
      <c r="A45" s="245" t="s">
        <v>11</v>
      </c>
      <c r="B45" s="255">
        <f ca="1">IF(ISREF(INDIRECT(_xlfn.CONCAT("'",A$2,"'","!A1"))),INDIRECT(_xlfn.CONCAT("'",A$2,"'","!",_xlfn.CONCAT("B",MATCH("Target",INDIRECT(_xlfn.CONCAT("'",A$2,"'",,"!$A$1:$A$50")),0)))),0)-1</f>
        <v>3</v>
      </c>
      <c r="C45" s="10"/>
      <c r="D45" s="10"/>
      <c r="E45" s="10"/>
      <c r="F45" s="10"/>
      <c r="G45" s="246"/>
      <c r="H45" s="12"/>
    </row>
    <row r="46" spans="1:18" ht="18">
      <c r="A46" s="208"/>
      <c r="B46" s="10"/>
      <c r="C46" s="10"/>
      <c r="D46" s="10"/>
      <c r="E46" s="10"/>
      <c r="F46" s="10"/>
      <c r="G46" s="10"/>
      <c r="H46" s="48"/>
    </row>
    <row r="47" spans="1:18" ht="18">
      <c r="A47" s="179" t="s">
        <v>186</v>
      </c>
      <c r="B47" s="296">
        <f>SUM(C47:F47)</f>
        <v>3450.19</v>
      </c>
      <c r="C47" s="26">
        <f>2500.46+949.73</f>
        <v>3450.19</v>
      </c>
      <c r="D47" s="26"/>
      <c r="E47" s="27"/>
      <c r="F47" s="36"/>
      <c r="G47" s="46" t="str">
        <f>(ROUND(SUM(G5,G15,G17),2) +I5) &amp; " / " &amp; B47</f>
        <v>3450.19 / 3450.19</v>
      </c>
      <c r="H47" s="10"/>
      <c r="I47" s="11"/>
    </row>
    <row r="48" spans="1:18" ht="18">
      <c r="A48" s="24"/>
      <c r="B48" s="10"/>
      <c r="C48" s="264"/>
      <c r="D48" s="26"/>
      <c r="E48" s="23"/>
      <c r="F48" s="25"/>
      <c r="G48" s="79"/>
      <c r="H48" s="11"/>
    </row>
    <row r="49" spans="1:8" ht="18">
      <c r="A49" s="17"/>
      <c r="C49" s="252"/>
      <c r="D49" s="16"/>
      <c r="E49" s="16"/>
      <c r="F49" s="244"/>
      <c r="G49" s="11"/>
    </row>
    <row r="50" spans="1:8" ht="18">
      <c r="A50" s="17"/>
      <c r="C50">
        <f>1354.31-452.64</f>
        <v>901.67</v>
      </c>
      <c r="D50" s="54"/>
      <c r="E50" s="16"/>
      <c r="F50" s="244"/>
    </row>
    <row r="51" spans="1:8" ht="18">
      <c r="A51" s="17"/>
      <c r="B51" s="17"/>
      <c r="C51" s="184"/>
      <c r="E51" s="43"/>
      <c r="F51" s="244"/>
      <c r="H51" s="11"/>
    </row>
    <row r="52" spans="1:8" ht="18">
      <c r="A52" s="20"/>
      <c r="B52" s="11"/>
      <c r="E52" s="11"/>
      <c r="F52" s="11"/>
    </row>
    <row r="53" spans="1:8" ht="18">
      <c r="E53" s="11"/>
      <c r="F53" s="10"/>
    </row>
    <row r="54" spans="1:8">
      <c r="E54" s="11"/>
    </row>
    <row r="55" spans="1:8" ht="18">
      <c r="E55" s="10"/>
    </row>
    <row r="56" spans="1:8" ht="18">
      <c r="E56" s="10"/>
      <c r="F56" s="184"/>
    </row>
    <row r="57" spans="1:8" ht="18">
      <c r="E57" s="10"/>
      <c r="F57" s="184"/>
    </row>
    <row r="58" spans="1:8" ht="18">
      <c r="B58" s="10"/>
      <c r="E58" s="11"/>
      <c r="F58" s="11"/>
      <c r="G58" s="11"/>
      <c r="H58" s="11"/>
    </row>
    <row r="59" spans="1:8" ht="18">
      <c r="B59" s="10"/>
      <c r="G59" s="11"/>
    </row>
    <row r="60" spans="1:8" ht="18">
      <c r="B60" s="10"/>
      <c r="G60" s="11"/>
    </row>
    <row r="61" spans="1:8" ht="18">
      <c r="B61" s="10"/>
    </row>
    <row r="62" spans="1:8" ht="18">
      <c r="B62" s="10"/>
    </row>
    <row r="66" spans="3:8">
      <c r="H66" s="11"/>
    </row>
    <row r="71" spans="3:8">
      <c r="C71" s="11"/>
    </row>
    <row r="83" spans="3:7">
      <c r="D83" s="11"/>
    </row>
    <row r="91" spans="3:7">
      <c r="C91" t="s">
        <v>746</v>
      </c>
      <c r="D91" t="s">
        <v>747</v>
      </c>
      <c r="E91" t="s">
        <v>748</v>
      </c>
      <c r="G91" t="s">
        <v>749</v>
      </c>
    </row>
    <row r="92" spans="3:7">
      <c r="C92" t="s">
        <v>750</v>
      </c>
      <c r="D92" t="s">
        <v>750</v>
      </c>
      <c r="E92" t="s">
        <v>751</v>
      </c>
    </row>
    <row r="93" spans="3:7">
      <c r="C93" t="s">
        <v>752</v>
      </c>
      <c r="D93" t="s">
        <v>752</v>
      </c>
      <c r="E93" t="s">
        <v>752</v>
      </c>
    </row>
    <row r="94" spans="3:7">
      <c r="C94" t="s">
        <v>753</v>
      </c>
      <c r="D94" t="s">
        <v>753</v>
      </c>
      <c r="E94" t="s">
        <v>753</v>
      </c>
    </row>
    <row r="95" spans="3:7">
      <c r="D95" t="s">
        <v>754</v>
      </c>
      <c r="E95" t="s">
        <v>597</v>
      </c>
    </row>
    <row r="96" spans="3:7">
      <c r="C96" t="s">
        <v>360</v>
      </c>
      <c r="D96" t="s">
        <v>360</v>
      </c>
    </row>
    <row r="97" spans="3:5">
      <c r="C97" t="s">
        <v>755</v>
      </c>
      <c r="D97" t="s">
        <v>755</v>
      </c>
      <c r="E97" t="s">
        <v>755</v>
      </c>
    </row>
    <row r="98" spans="3:5">
      <c r="C98" t="s">
        <v>756</v>
      </c>
    </row>
  </sheetData>
  <mergeCells count="6">
    <mergeCell ref="A25:XFD25"/>
    <mergeCell ref="A32:XFD32"/>
    <mergeCell ref="A35:XFD35"/>
    <mergeCell ref="X4:Z4"/>
    <mergeCell ref="AB4:AD4"/>
    <mergeCell ref="K4:V4"/>
  </mergeCells>
  <conditionalFormatting sqref="G6:G15">
    <cfRule type="cellIs" dxfId="61" priority="6" operator="lessThan">
      <formula>0</formula>
    </cfRule>
    <cfRule type="cellIs" dxfId="60" priority="7" operator="equal">
      <formula>0</formula>
    </cfRule>
    <cfRule type="cellIs" dxfId="59" priority="8" operator="greaterThan">
      <formula>0</formula>
    </cfRule>
  </conditionalFormatting>
  <conditionalFormatting sqref="G18:G24 G26:G31 G33:G34">
    <cfRule type="cellIs" dxfId="58" priority="9" operator="equal">
      <formula>0</formula>
    </cfRule>
    <cfRule type="cellIs" dxfId="57" priority="10" operator="lessThan">
      <formula>0</formula>
    </cfRule>
    <cfRule type="cellIs" dxfId="56" priority="11" operator="greaterThan">
      <formula>0</formula>
    </cfRule>
  </conditionalFormatting>
  <conditionalFormatting sqref="G36:G45">
    <cfRule type="cellIs" dxfId="55" priority="2" operator="equal">
      <formula>0</formula>
    </cfRule>
    <cfRule type="cellIs" dxfId="54" priority="3" operator="lessThan">
      <formula>0</formula>
    </cfRule>
    <cfRule type="cellIs" dxfId="53" priority="4" operator="greaterThan">
      <formula>0</formula>
    </cfRule>
  </conditionalFormatting>
  <conditionalFormatting sqref="G44:G45">
    <cfRule type="cellIs" dxfId="52" priority="1" operator="greaterThan">
      <formula>0</formula>
    </cfRule>
  </conditionalFormatting>
  <hyperlinks>
    <hyperlink ref="O21" r:id="rId1" display="P@H" xr:uid="{D288ED25-07CE-4C55-83B5-94527C77635D}"/>
    <hyperlink ref="O22" r:id="rId2" xr:uid="{32135FBD-51F7-4001-A2FC-A0592864D061}"/>
  </hyperlinks>
  <pageMargins left="0.7" right="0.7" top="0.75" bottom="0.75" header="0.3" footer="0.3"/>
  <pageSetup paperSize="9" orientation="portrait" r:id="rId3"/>
  <legacyDrawing r:id="rId4"/>
  <extLst>
    <ext xmlns:x14="http://schemas.microsoft.com/office/spreadsheetml/2009/9/main" uri="{78C0D931-6437-407d-A8EE-F0AAD7539E65}">
      <x14:conditionalFormattings>
        <x14:conditionalFormatting xmlns:xm="http://schemas.microsoft.com/office/excel/2006/main">
          <x14:cfRule type="containsText" priority="5" operator="containsText" id="{05720C8E-D41E-F141-A603-722D3DB623EA}">
            <xm:f>NOT(ISERROR(SEARCH("-",G47)))</xm:f>
            <xm:f>"-"</xm:f>
            <x14:dxf>
              <font>
                <color rgb="FF9C0006"/>
              </font>
              <fill>
                <patternFill>
                  <bgColor rgb="FFFFC7CE"/>
                </patternFill>
              </fill>
            </x14:dxf>
          </x14:cfRule>
          <xm:sqref>G47</xm:sqref>
        </x14:conditionalFormatting>
      </x14:conditionalFormatting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28D6-4F1D-451B-9A54-5A6BA1A6B95A}">
  <sheetPr codeName="Sheet60"/>
  <dimension ref="A1:AK79"/>
  <sheetViews>
    <sheetView workbookViewId="0"/>
  </sheetViews>
  <sheetFormatPr defaultColWidth="11.33203125" defaultRowHeight="14.4" outlineLevelRow="2"/>
  <cols>
    <col min="1" max="1" width="30.109375" customWidth="1"/>
    <col min="2" max="2" width="28.109375" customWidth="1"/>
    <col min="3" max="6" width="25" customWidth="1"/>
    <col min="7" max="7" width="19.44140625" customWidth="1"/>
    <col min="8" max="8" width="20.44140625" customWidth="1"/>
    <col min="10" max="10" width="12" bestFit="1" customWidth="1"/>
    <col min="11" max="11" width="17.44140625" customWidth="1"/>
  </cols>
  <sheetData>
    <row r="1" spans="1:37" ht="18">
      <c r="A1" s="251" t="str">
        <f ca="1">MID(CELL("filename",A1),FIND("]",CELL("filename",A1))+1,255)</f>
        <v>JUL-AUG 2019</v>
      </c>
      <c r="J1" s="726" t="s">
        <v>783</v>
      </c>
      <c r="K1" s="726"/>
    </row>
    <row r="2" spans="1:37" ht="18">
      <c r="A2" s="256" t="str">
        <f ca="1">UPPER(TEXT((1&amp;LEFT(A$1,3))-1,"MMM"))&amp;"-"&amp;UPPER(TEXT((1&amp;RIGHT(LEFT(A$1,7),3))-1,"MMM"))&amp;" "&amp;RIGHT(A$1,4)</f>
        <v>JUN-JUL 2019</v>
      </c>
      <c r="B2" s="13" t="s">
        <v>164</v>
      </c>
      <c r="C2" s="44" t="str">
        <f>"20/03/19 - 26/03/19"</f>
        <v>20/03/19 - 26/03/19</v>
      </c>
      <c r="D2" s="44" t="str">
        <f>TEXT(DATEVALUE(RIGHT(C2,8))+1,"dd/mm/yy")&amp; " - "&amp; TEXT(DATEVALUE(RIGHT(C2,8))+7,"dd/mm/yy")</f>
        <v>27/03/19 - 02/04/19</v>
      </c>
      <c r="E2" s="44" t="str">
        <f>TEXT(DATEVALUE(RIGHT(D2,8))+1,"dd/mm/yy")&amp; " - "&amp; TEXT(DATEVALUE(RIGHT(D2,8))+7,"dd/mm/yy")</f>
        <v>03/04/19 - 09/04/19</v>
      </c>
      <c r="F2" s="44" t="str">
        <f>TEXT(DATEVALUE(RIGHT(E2,8))+1,"dd/mm/yy")&amp; " - "&amp; TEXT(DATEVALUE(RIGHT(E2,8))+7,"dd/mm/yy")</f>
        <v>10/04/19 - 16/04/19</v>
      </c>
      <c r="G2" s="12" t="s">
        <v>10</v>
      </c>
      <c r="H2" s="9"/>
      <c r="J2" t="s">
        <v>784</v>
      </c>
      <c r="K2" t="s">
        <v>678</v>
      </c>
    </row>
    <row r="3" spans="1:37" ht="18">
      <c r="A3" s="13" t="s">
        <v>165</v>
      </c>
      <c r="B3" s="10">
        <f>SUM(B5,B16)</f>
        <v>6722.8399999999992</v>
      </c>
      <c r="C3" s="296">
        <f>SUM(C6:C28)</f>
        <v>3216.1099999999997</v>
      </c>
      <c r="D3" s="296">
        <f>SUM(D6:D28)</f>
        <v>108.99</v>
      </c>
      <c r="E3" s="296">
        <f>SUM(E6:E28)</f>
        <v>175.28</v>
      </c>
      <c r="F3" s="296">
        <f>SUM(F6:F28)</f>
        <v>1482.58</v>
      </c>
      <c r="G3" s="10"/>
      <c r="H3" s="9"/>
      <c r="X3" s="726"/>
      <c r="Y3" s="726"/>
      <c r="Z3" s="726"/>
      <c r="AB3" s="726"/>
      <c r="AC3" s="726"/>
      <c r="AD3" s="726"/>
    </row>
    <row r="4" spans="1:37" ht="18">
      <c r="A4" s="250"/>
      <c r="B4" s="10"/>
      <c r="C4" s="296"/>
      <c r="D4" s="296"/>
      <c r="E4" s="296"/>
      <c r="F4" s="296"/>
      <c r="G4" s="10"/>
      <c r="H4" s="9"/>
    </row>
    <row r="5" spans="1:37" ht="18">
      <c r="A5" s="270">
        <v>20</v>
      </c>
      <c r="B5" s="183">
        <f>SUM(B6:B11)</f>
        <v>2079.0299999999997</v>
      </c>
      <c r="C5" s="296"/>
      <c r="D5" s="296"/>
      <c r="E5" s="296"/>
      <c r="F5" s="296"/>
      <c r="G5" s="184">
        <f>ROUND(SUM(G6:G11),2)</f>
        <v>3.59</v>
      </c>
      <c r="H5" s="9" t="s">
        <v>10</v>
      </c>
      <c r="I5">
        <f>SUM(I6:I9)+SUM(I18:I21)+SUM(I26:I30)+SUM(I33:I34)+SUM(I36:I36)</f>
        <v>24.620000000000005</v>
      </c>
      <c r="J5">
        <f>SUM(J6:J12)</f>
        <v>1276.45</v>
      </c>
      <c r="K5">
        <f>SUM(K6:K12)</f>
        <v>0</v>
      </c>
      <c r="Z5" s="756" t="s">
        <v>757</v>
      </c>
      <c r="AA5" s="756"/>
      <c r="AB5" s="756"/>
      <c r="AC5" s="756"/>
      <c r="AD5" s="756"/>
      <c r="AE5" s="756"/>
      <c r="AF5" s="756"/>
      <c r="AG5" s="756"/>
      <c r="AH5" s="756"/>
      <c r="AI5" s="756"/>
      <c r="AJ5" s="756"/>
      <c r="AK5" s="756"/>
    </row>
    <row r="6" spans="1:37" ht="18" outlineLevel="1">
      <c r="A6" s="105" t="s">
        <v>167</v>
      </c>
      <c r="B6" s="17">
        <f>300+0.45+45+1.96</f>
        <v>347.40999999999997</v>
      </c>
      <c r="C6" s="10"/>
      <c r="D6" s="10"/>
      <c r="E6">
        <f>27.78</f>
        <v>27.78</v>
      </c>
      <c r="F6">
        <f>31.3+37.6+25.1</f>
        <v>94</v>
      </c>
      <c r="G6" s="10">
        <f>IF(B6&lt;&gt;"",B6-C6-D6-E6-F6-J6-K6,"")</f>
        <v>0.50999999999999091</v>
      </c>
      <c r="H6" s="12" t="str">
        <f t="shared" ref="H6:H11" si="0">A6</f>
        <v xml:space="preserve">Car Petrol </v>
      </c>
      <c r="I6">
        <f t="shared" ref="I6:I11" si="1">IF(G6&lt;0,G6*-1,0)</f>
        <v>0</v>
      </c>
      <c r="J6">
        <f>28.78+28.82+28.58+27.18+21.57+26.18+28.98+35.03</f>
        <v>225.12</v>
      </c>
      <c r="K6">
        <v>0</v>
      </c>
      <c r="M6" s="10"/>
      <c r="Z6" s="11" t="s">
        <v>715</v>
      </c>
      <c r="AC6" t="s">
        <v>760</v>
      </c>
      <c r="AF6" t="s">
        <v>717</v>
      </c>
      <c r="AI6" t="s">
        <v>10</v>
      </c>
    </row>
    <row r="7" spans="1:37" ht="18" outlineLevel="1">
      <c r="A7" s="105" t="s">
        <v>577</v>
      </c>
      <c r="B7" s="10">
        <f>300+17.03+50-0.45-1.96</f>
        <v>364.62</v>
      </c>
      <c r="C7" s="10">
        <f>5.46+2+22.25+0.33+42.68+25.5+32.91+26.96</f>
        <v>158.09</v>
      </c>
      <c r="D7" s="10">
        <f>6.53+7.7+0.6+44.16</f>
        <v>58.989999999999995</v>
      </c>
      <c r="E7">
        <f>0.49+9.47+34.54+18</f>
        <v>62.5</v>
      </c>
      <c r="F7">
        <f>37.65+9+8.39</f>
        <v>55.04</v>
      </c>
      <c r="G7" s="10">
        <f t="shared" ref="G7:G12" si="2">IF(B7&lt;&gt;"",B7-C7-D7-E7-F7-J7-K7,"")</f>
        <v>2.1316282072803006E-14</v>
      </c>
      <c r="H7" s="12" t="str">
        <f t="shared" si="0"/>
        <v>Food/Bunnies/Toiletries</v>
      </c>
      <c r="I7">
        <f t="shared" si="1"/>
        <v>0</v>
      </c>
      <c r="J7">
        <f>16.88+8.18+4.94</f>
        <v>30</v>
      </c>
      <c r="K7">
        <v>0</v>
      </c>
      <c r="L7" s="11"/>
      <c r="M7" s="10"/>
      <c r="Z7">
        <v>300</v>
      </c>
      <c r="AA7" t="s">
        <v>702</v>
      </c>
      <c r="AD7" t="str">
        <f>AA7</f>
        <v>Petrol</v>
      </c>
      <c r="AG7" t="str">
        <f>AA7</f>
        <v>Petrol</v>
      </c>
      <c r="AI7">
        <f>Z7-AC7-AF7</f>
        <v>300</v>
      </c>
      <c r="AJ7" t="str">
        <f>AA7</f>
        <v>Petrol</v>
      </c>
      <c r="AK7">
        <f>IF(AI7&lt;0,AI7*-1,0)</f>
        <v>0</v>
      </c>
    </row>
    <row r="8" spans="1:37" ht="18" outlineLevel="1">
      <c r="A8" s="105" t="s">
        <v>170</v>
      </c>
      <c r="B8" s="10">
        <f>300-33</f>
        <v>267</v>
      </c>
      <c r="C8" s="10"/>
      <c r="D8" s="10"/>
      <c r="F8">
        <f>39.99+17+110+100</f>
        <v>266.99</v>
      </c>
      <c r="G8" s="10">
        <f t="shared" si="2"/>
        <v>-16.990000000000009</v>
      </c>
      <c r="H8" s="12" t="str">
        <f t="shared" si="0"/>
        <v>Gift Fund</v>
      </c>
      <c r="I8">
        <f t="shared" si="1"/>
        <v>16.990000000000009</v>
      </c>
      <c r="J8">
        <v>17</v>
      </c>
      <c r="K8">
        <v>0</v>
      </c>
      <c r="M8" s="10"/>
      <c r="Z8">
        <v>0</v>
      </c>
      <c r="AA8" t="s">
        <v>765</v>
      </c>
      <c r="AD8" t="str">
        <f t="shared" ref="AD8:AD19" si="3">AA8</f>
        <v>Health+Fitness</v>
      </c>
      <c r="AG8" t="str">
        <f t="shared" ref="AG8:AG19" si="4">AA8</f>
        <v>Health+Fitness</v>
      </c>
      <c r="AI8">
        <f t="shared" ref="AI8:AI19" si="5">Z8-AC8-AF8</f>
        <v>0</v>
      </c>
      <c r="AJ8" t="str">
        <f t="shared" ref="AJ8:AJ19" si="6">AA8</f>
        <v>Health+Fitness</v>
      </c>
      <c r="AK8">
        <f t="shared" ref="AK8:AK19" si="7">IF(AI8&lt;0,AI8*-1,0)</f>
        <v>0</v>
      </c>
    </row>
    <row r="9" spans="1:37" ht="18" outlineLevel="1">
      <c r="A9" s="105" t="s">
        <v>171</v>
      </c>
      <c r="B9" s="10">
        <v>0</v>
      </c>
      <c r="C9" s="10"/>
      <c r="D9" s="10"/>
      <c r="G9" s="10">
        <f t="shared" si="2"/>
        <v>0</v>
      </c>
      <c r="H9" s="12" t="str">
        <f t="shared" si="0"/>
        <v>Holiday Fund</v>
      </c>
      <c r="I9">
        <f t="shared" si="1"/>
        <v>0</v>
      </c>
      <c r="K9">
        <v>0</v>
      </c>
      <c r="M9" s="10"/>
      <c r="Z9">
        <v>300</v>
      </c>
      <c r="AA9" t="s">
        <v>701</v>
      </c>
      <c r="AD9" t="str">
        <f t="shared" si="3"/>
        <v>Gift</v>
      </c>
      <c r="AG9" t="str">
        <f t="shared" si="4"/>
        <v>Gift</v>
      </c>
      <c r="AI9">
        <f t="shared" si="5"/>
        <v>300</v>
      </c>
      <c r="AJ9" t="str">
        <f t="shared" si="6"/>
        <v>Gift</v>
      </c>
      <c r="AK9">
        <f t="shared" si="7"/>
        <v>0</v>
      </c>
    </row>
    <row r="10" spans="1:37" ht="18" outlineLevel="1">
      <c r="A10" s="105" t="s">
        <v>632</v>
      </c>
      <c r="B10" s="10">
        <v>50</v>
      </c>
      <c r="C10" s="10"/>
      <c r="D10" s="10"/>
      <c r="G10" s="10">
        <f t="shared" si="2"/>
        <v>0</v>
      </c>
      <c r="H10" s="12" t="str">
        <f t="shared" si="0"/>
        <v>Shared</v>
      </c>
      <c r="I10">
        <f t="shared" si="1"/>
        <v>0</v>
      </c>
      <c r="J10">
        <f>12.49+10.82+8.5+6+12.19</f>
        <v>50</v>
      </c>
      <c r="K10">
        <v>0</v>
      </c>
      <c r="M10" s="10"/>
      <c r="Z10">
        <v>0</v>
      </c>
      <c r="AA10" t="s">
        <v>712</v>
      </c>
      <c r="AD10" t="str">
        <f t="shared" si="3"/>
        <v>Hols</v>
      </c>
      <c r="AG10" t="str">
        <f t="shared" si="4"/>
        <v>Hols</v>
      </c>
      <c r="AI10">
        <f t="shared" si="5"/>
        <v>0</v>
      </c>
      <c r="AJ10" t="str">
        <f t="shared" si="6"/>
        <v>Hols</v>
      </c>
      <c r="AK10">
        <f t="shared" si="7"/>
        <v>0</v>
      </c>
    </row>
    <row r="11" spans="1:37" ht="18" outlineLevel="1">
      <c r="A11" s="105" t="s">
        <v>772</v>
      </c>
      <c r="B11" s="10">
        <v>1050</v>
      </c>
      <c r="C11" s="10"/>
      <c r="D11" s="10"/>
      <c r="E11">
        <v>70</v>
      </c>
      <c r="F11">
        <f>49.99+225</f>
        <v>274.99</v>
      </c>
      <c r="G11" s="10">
        <f t="shared" si="2"/>
        <v>20.069999999999936</v>
      </c>
      <c r="H11" s="12" t="str">
        <f t="shared" si="0"/>
        <v>Home</v>
      </c>
      <c r="I11">
        <f t="shared" si="1"/>
        <v>0</v>
      </c>
      <c r="J11">
        <f>338.97+29.97+(-99.95)+(-12)+29.99+(62.99+46.98+16.99+16.99)+(-126.99)+(-19)+400</f>
        <v>684.94</v>
      </c>
      <c r="K11">
        <v>0</v>
      </c>
      <c r="M11" s="10"/>
    </row>
    <row r="12" spans="1:37" ht="18" outlineLevel="1">
      <c r="A12" s="105" t="s">
        <v>633</v>
      </c>
      <c r="B12" s="10">
        <f>IF(B45 &lt;&gt; 0,B45-B5-B16-0.91,0)</f>
        <v>412.52000000000027</v>
      </c>
      <c r="C12" s="10">
        <f>14.2+20+2.25+2.5</f>
        <v>38.950000000000003</v>
      </c>
      <c r="D12" s="10">
        <f>20+30</f>
        <v>50</v>
      </c>
      <c r="E12" s="11">
        <v>5</v>
      </c>
      <c r="F12" s="11">
        <f>24.99+15.99+8.2</f>
        <v>49.179999999999993</v>
      </c>
      <c r="G12" s="10">
        <f t="shared" si="2"/>
        <v>2.8421709430404007E-13</v>
      </c>
      <c r="H12" s="12" t="s">
        <v>172</v>
      </c>
      <c r="I12" s="11"/>
      <c r="J12" s="11">
        <f>10.83+43.5+40+19.3+21.57+(98.45-12.19)+25+22.93</f>
        <v>269.39</v>
      </c>
      <c r="K12">
        <v>0</v>
      </c>
      <c r="L12" s="11"/>
      <c r="M12" s="10"/>
      <c r="Z12" s="11">
        <v>80</v>
      </c>
      <c r="AA12" s="11" t="s">
        <v>632</v>
      </c>
      <c r="AC12" s="11"/>
      <c r="AD12" t="str">
        <f t="shared" si="3"/>
        <v>Shared</v>
      </c>
      <c r="AF12" s="11"/>
      <c r="AG12" t="str">
        <f t="shared" si="4"/>
        <v>Shared</v>
      </c>
      <c r="AI12">
        <f t="shared" si="5"/>
        <v>80</v>
      </c>
      <c r="AJ12" t="str">
        <f t="shared" si="6"/>
        <v>Shared</v>
      </c>
      <c r="AK12">
        <f t="shared" si="7"/>
        <v>0</v>
      </c>
    </row>
    <row r="13" spans="1:37" ht="18">
      <c r="A13" s="185"/>
      <c r="B13" s="10"/>
      <c r="C13" s="10"/>
      <c r="D13" s="10"/>
      <c r="E13" s="10"/>
      <c r="F13" s="10"/>
      <c r="G13" s="10"/>
      <c r="H13" s="9"/>
      <c r="J13" s="11"/>
      <c r="Z13">
        <v>50</v>
      </c>
      <c r="AA13" t="s">
        <v>711</v>
      </c>
      <c r="AD13" t="str">
        <f t="shared" si="3"/>
        <v>Cont</v>
      </c>
      <c r="AG13" t="str">
        <f t="shared" si="4"/>
        <v>Cont</v>
      </c>
      <c r="AI13">
        <f>Z13-AC13-AF13-SUM(AK7:AK19)</f>
        <v>50</v>
      </c>
      <c r="AJ13" t="str">
        <f t="shared" si="6"/>
        <v>Cont</v>
      </c>
      <c r="AK13">
        <v>0</v>
      </c>
    </row>
    <row r="14" spans="1:37" ht="18">
      <c r="A14" s="117">
        <v>30</v>
      </c>
      <c r="B14" s="10"/>
      <c r="C14" s="10"/>
      <c r="D14" s="10"/>
      <c r="E14" s="10"/>
      <c r="F14" s="10"/>
      <c r="G14" s="10"/>
      <c r="H14" s="9"/>
      <c r="J14" s="11"/>
    </row>
    <row r="15" spans="1:37" ht="18">
      <c r="A15" s="185"/>
      <c r="B15" s="10"/>
      <c r="C15" s="10"/>
      <c r="D15" s="10"/>
      <c r="E15" s="10"/>
      <c r="F15" s="10"/>
      <c r="G15" s="10"/>
      <c r="H15" s="9"/>
      <c r="J15" s="11"/>
    </row>
    <row r="16" spans="1:37" ht="18">
      <c r="A16" s="270">
        <v>50</v>
      </c>
      <c r="B16" s="183">
        <f>SUM(B17+B25+B32+B36)</f>
        <v>4643.8099999999995</v>
      </c>
      <c r="C16" s="10">
        <f>143.23+41.68</f>
        <v>184.91</v>
      </c>
      <c r="D16" s="10"/>
      <c r="E16" s="10"/>
      <c r="F16" s="10">
        <v>60.66</v>
      </c>
      <c r="G16" s="234">
        <f>SUM(G17,G25,G32,G36)-C16-D16-E16-F16</f>
        <v>226.48</v>
      </c>
      <c r="H16" s="237" t="s">
        <v>10</v>
      </c>
      <c r="I16" s="11"/>
      <c r="K16">
        <v>263.98</v>
      </c>
      <c r="Z16">
        <v>50</v>
      </c>
      <c r="AA16" t="s">
        <v>769</v>
      </c>
      <c r="AD16" t="str">
        <f t="shared" si="3"/>
        <v>Cars (MOT)</v>
      </c>
      <c r="AG16" t="str">
        <f t="shared" si="4"/>
        <v>Cars (MOT)</v>
      </c>
      <c r="AI16">
        <f>Z16-AC16-AF16</f>
        <v>50</v>
      </c>
      <c r="AJ16" t="str">
        <f t="shared" si="6"/>
        <v>Cars (MOT)</v>
      </c>
      <c r="AK16">
        <f t="shared" si="7"/>
        <v>0</v>
      </c>
    </row>
    <row r="17" spans="1:37" ht="18">
      <c r="A17" s="105" t="s">
        <v>594</v>
      </c>
      <c r="B17" s="183">
        <f>SUM(B18:B23)</f>
        <v>3526.46</v>
      </c>
      <c r="C17" s="10"/>
      <c r="D17" s="10"/>
      <c r="E17" s="10"/>
      <c r="F17" s="10"/>
      <c r="G17" s="235">
        <f>IF(B17&lt;&gt;"",SUM(G18:G23),0)</f>
        <v>42.550000000000004</v>
      </c>
      <c r="H17" s="236" t="str">
        <f t="shared" ref="H17:H23" si="8">A17</f>
        <v>House Outgoings</v>
      </c>
      <c r="K17">
        <f>267.57-K16</f>
        <v>3.589999999999975</v>
      </c>
      <c r="Z17">
        <v>150</v>
      </c>
      <c r="AA17" t="s">
        <v>722</v>
      </c>
      <c r="AD17" t="str">
        <f t="shared" si="3"/>
        <v>Car Lessons</v>
      </c>
      <c r="AG17" t="str">
        <f t="shared" si="4"/>
        <v>Car Lessons</v>
      </c>
      <c r="AI17">
        <f t="shared" si="5"/>
        <v>150</v>
      </c>
      <c r="AJ17" t="str">
        <f t="shared" si="6"/>
        <v>Car Lessons</v>
      </c>
      <c r="AK17">
        <f t="shared" si="7"/>
        <v>0</v>
      </c>
    </row>
    <row r="18" spans="1:37" ht="18" outlineLevel="2">
      <c r="A18" s="13" t="s">
        <v>595</v>
      </c>
      <c r="B18" s="184">
        <v>452.64</v>
      </c>
      <c r="C18" s="10"/>
      <c r="D18" s="10"/>
      <c r="E18" s="10"/>
      <c r="F18" s="10">
        <v>452.64</v>
      </c>
      <c r="G18" s="10">
        <f>IF(B18&lt;&gt;"",B18-C18-D18-E18-F18,"")</f>
        <v>0</v>
      </c>
      <c r="H18" s="12" t="str">
        <f t="shared" si="8"/>
        <v>Mortgage</v>
      </c>
      <c r="I18">
        <f>IF(G18&lt;0,G18*-1,0)</f>
        <v>0</v>
      </c>
      <c r="Z18">
        <f>1200+383.42</f>
        <v>1583.42</v>
      </c>
      <c r="AA18" t="s">
        <v>720</v>
      </c>
      <c r="AD18" t="str">
        <f t="shared" si="3"/>
        <v>Bills</v>
      </c>
      <c r="AG18" t="str">
        <f t="shared" si="4"/>
        <v>Bills</v>
      </c>
      <c r="AI18">
        <f t="shared" si="5"/>
        <v>1583.42</v>
      </c>
      <c r="AJ18" t="str">
        <f t="shared" si="6"/>
        <v>Bills</v>
      </c>
      <c r="AK18">
        <f t="shared" si="7"/>
        <v>0</v>
      </c>
    </row>
    <row r="19" spans="1:37" ht="18" outlineLevel="2">
      <c r="A19" s="13" t="s">
        <v>596</v>
      </c>
      <c r="B19" s="184">
        <v>123</v>
      </c>
      <c r="C19" s="10"/>
      <c r="D19" s="10"/>
      <c r="E19" s="10"/>
      <c r="F19" s="10">
        <v>123</v>
      </c>
      <c r="G19" s="10">
        <f t="shared" ref="G19:G23" si="9">IF(B19&lt;&gt;"",B19-C19-D19-E19-F19,"")</f>
        <v>0</v>
      </c>
      <c r="H19" s="12" t="str">
        <f t="shared" si="8"/>
        <v>Council tax</v>
      </c>
      <c r="I19">
        <f>IF(G19&lt;0,G19*-1,0)</f>
        <v>0</v>
      </c>
      <c r="J19" s="11"/>
      <c r="Z19" s="11">
        <f>(Z21-SUM(Z7:Z18))</f>
        <v>600</v>
      </c>
      <c r="AA19" t="s">
        <v>633</v>
      </c>
      <c r="AD19" t="str">
        <f t="shared" si="3"/>
        <v>Fun</v>
      </c>
      <c r="AG19" t="str">
        <f t="shared" si="4"/>
        <v>Fun</v>
      </c>
      <c r="AI19">
        <f t="shared" si="5"/>
        <v>600</v>
      </c>
      <c r="AJ19" t="str">
        <f t="shared" si="6"/>
        <v>Fun</v>
      </c>
      <c r="AK19">
        <f t="shared" si="7"/>
        <v>0</v>
      </c>
    </row>
    <row r="20" spans="1:37" ht="18" outlineLevel="2">
      <c r="A20" s="13" t="s">
        <v>785</v>
      </c>
      <c r="B20" s="184">
        <f>17+40+12.96</f>
        <v>69.960000000000008</v>
      </c>
      <c r="C20" s="10"/>
      <c r="D20" s="10"/>
      <c r="E20" s="10"/>
      <c r="F20" s="10">
        <f>37.72+39.87</f>
        <v>77.59</v>
      </c>
      <c r="G20" s="10">
        <f t="shared" si="9"/>
        <v>-7.6299999999999955</v>
      </c>
      <c r="H20" s="12" t="str">
        <f t="shared" si="8"/>
        <v>Utilities (G,W,E,TV)</v>
      </c>
      <c r="I20">
        <f>IF(G20&lt;0,G20*-1,0)</f>
        <v>7.6299999999999955</v>
      </c>
      <c r="AD20" t="s">
        <v>772</v>
      </c>
    </row>
    <row r="21" spans="1:37" ht="18" outlineLevel="2">
      <c r="A21" s="13" t="s">
        <v>600</v>
      </c>
      <c r="B21" s="184">
        <f>4.52+16.61+8.56+16.1</f>
        <v>45.79</v>
      </c>
      <c r="C21" s="10"/>
      <c r="D21" s="10"/>
      <c r="E21" s="10"/>
      <c r="F21" s="10"/>
      <c r="G21" s="10">
        <f t="shared" si="9"/>
        <v>45.79</v>
      </c>
      <c r="H21" s="12" t="str">
        <f t="shared" si="8"/>
        <v>Insurance</v>
      </c>
      <c r="I21">
        <f>IF(G21&lt;0,G21*-1,0)</f>
        <v>0</v>
      </c>
      <c r="Z21" s="11">
        <f>2213.42+900</f>
        <v>3113.42</v>
      </c>
      <c r="AA21" t="s">
        <v>131</v>
      </c>
      <c r="AC21" s="263">
        <f>Z21-SUM(AC7:AC20)</f>
        <v>3113.42</v>
      </c>
      <c r="AD21" t="s">
        <v>726</v>
      </c>
      <c r="AF21" s="11">
        <f>SUM(AF7:AF20)</f>
        <v>0</v>
      </c>
      <c r="AG21" t="s">
        <v>727</v>
      </c>
      <c r="AI21" s="11">
        <f>SUMIF(AI7:AI19,"&gt;0")</f>
        <v>3113.42</v>
      </c>
      <c r="AJ21" t="s">
        <v>728</v>
      </c>
    </row>
    <row r="22" spans="1:37" ht="18" outlineLevel="2">
      <c r="A22" s="13" t="s">
        <v>781</v>
      </c>
      <c r="B22" s="184">
        <f>37.96+3.99</f>
        <v>41.95</v>
      </c>
      <c r="C22" s="10">
        <f>13+14.56</f>
        <v>27.560000000000002</v>
      </c>
      <c r="D22" s="10"/>
      <c r="E22" s="10">
        <v>10</v>
      </c>
      <c r="F22" s="10"/>
      <c r="G22" s="10">
        <f t="shared" si="9"/>
        <v>4.3900000000000006</v>
      </c>
      <c r="H22" s="12" t="str">
        <f t="shared" si="8"/>
        <v>Subscriptions</v>
      </c>
      <c r="Z22" t="s">
        <v>786</v>
      </c>
      <c r="AG22" t="s">
        <v>776</v>
      </c>
    </row>
    <row r="23" spans="1:37" ht="18" outlineLevel="2">
      <c r="A23" s="13" t="s">
        <v>787</v>
      </c>
      <c r="B23" s="10">
        <f>925+1000+868.12</f>
        <v>2793.12</v>
      </c>
      <c r="C23" s="10">
        <f>925+1000+868.12</f>
        <v>2793.12</v>
      </c>
      <c r="D23" s="10"/>
      <c r="E23" s="10"/>
      <c r="F23" s="10"/>
      <c r="G23" s="10">
        <f t="shared" si="9"/>
        <v>0</v>
      </c>
      <c r="H23" s="12" t="str">
        <f t="shared" si="8"/>
        <v>Loans</v>
      </c>
    </row>
    <row r="24" spans="1:37" s="747" customFormat="1" ht="18" outlineLevel="2">
      <c r="A24" s="747" t="str">
        <f>IF(B24&lt;&gt;"",B24-C24-D24-E24-F24,"")</f>
        <v/>
      </c>
    </row>
    <row r="25" spans="1:37" ht="18" outlineLevel="1">
      <c r="A25" s="105" t="s">
        <v>601</v>
      </c>
      <c r="B25" s="296">
        <f>SUM(B26:B30)</f>
        <v>76.470000000000013</v>
      </c>
      <c r="C25" s="10"/>
      <c r="D25" s="10"/>
      <c r="E25" s="10"/>
      <c r="F25" s="10"/>
      <c r="G25" s="235">
        <f>IF(B25&lt;&gt;"",SUM(G26:G30),0)</f>
        <v>9.5000000000000036</v>
      </c>
      <c r="H25" s="236" t="str">
        <f t="shared" ref="H25:H30" si="10">A25</f>
        <v>Tech</v>
      </c>
      <c r="I25" s="11"/>
    </row>
    <row r="26" spans="1:37" ht="18" outlineLevel="2">
      <c r="A26" s="13" t="s">
        <v>602</v>
      </c>
      <c r="B26" s="33">
        <v>37.99</v>
      </c>
      <c r="C26" s="10"/>
      <c r="D26" s="10"/>
      <c r="E26" s="10"/>
      <c r="F26" s="10">
        <v>28.49</v>
      </c>
      <c r="G26" s="10">
        <f t="shared" ref="G26:G30" si="11">IF(B26&lt;&gt;"",B26-C26-D26-E26-F26,"")</f>
        <v>9.5000000000000036</v>
      </c>
      <c r="H26" s="12" t="str">
        <f t="shared" si="10"/>
        <v>Broadband / TV</v>
      </c>
      <c r="I26">
        <f t="shared" ref="I26:I30" si="12">IF(G26&lt;0,G26*-1,0)</f>
        <v>0</v>
      </c>
    </row>
    <row r="27" spans="1:37" ht="18" outlineLevel="2">
      <c r="A27" s="13" t="s">
        <v>587</v>
      </c>
      <c r="B27" s="33">
        <v>5.49</v>
      </c>
      <c r="C27" s="10">
        <v>5.49</v>
      </c>
      <c r="D27" s="10"/>
      <c r="E27" s="10"/>
      <c r="F27" s="10"/>
      <c r="G27" s="10">
        <f t="shared" si="11"/>
        <v>0</v>
      </c>
      <c r="H27" s="12" t="str">
        <f t="shared" si="10"/>
        <v>Sky Movies (14th)</v>
      </c>
      <c r="I27">
        <f t="shared" si="12"/>
        <v>0</v>
      </c>
    </row>
    <row r="28" spans="1:37" ht="18" outlineLevel="2">
      <c r="A28" s="13" t="s">
        <v>582</v>
      </c>
      <c r="B28" s="33">
        <v>7.99</v>
      </c>
      <c r="C28" s="10">
        <v>7.99</v>
      </c>
      <c r="D28" s="10"/>
      <c r="E28" s="10"/>
      <c r="F28" s="10"/>
      <c r="G28" s="10">
        <f t="shared" si="11"/>
        <v>0</v>
      </c>
      <c r="H28" s="12" t="str">
        <f t="shared" si="10"/>
        <v>Onedrive (6th)</v>
      </c>
      <c r="I28">
        <f t="shared" si="12"/>
        <v>0</v>
      </c>
    </row>
    <row r="29" spans="1:37" ht="18" outlineLevel="2">
      <c r="A29" s="13" t="s">
        <v>589</v>
      </c>
      <c r="B29" s="33">
        <v>14.99</v>
      </c>
      <c r="C29" s="10"/>
      <c r="D29" s="10"/>
      <c r="E29" s="10"/>
      <c r="F29" s="10">
        <v>14.99</v>
      </c>
      <c r="G29" s="10">
        <f t="shared" si="11"/>
        <v>0</v>
      </c>
      <c r="H29" s="12" t="str">
        <f t="shared" si="10"/>
        <v>Music</v>
      </c>
      <c r="I29">
        <f t="shared" si="12"/>
        <v>0</v>
      </c>
    </row>
    <row r="30" spans="1:37" ht="18" outlineLevel="2" collapsed="1">
      <c r="A30" s="13" t="s">
        <v>788</v>
      </c>
      <c r="B30" s="33">
        <v>10.01</v>
      </c>
      <c r="C30" s="10">
        <v>10.01</v>
      </c>
      <c r="D30" s="10"/>
      <c r="E30" s="10"/>
      <c r="F30" s="10"/>
      <c r="G30" s="10">
        <f t="shared" si="11"/>
        <v>0</v>
      </c>
      <c r="H30" s="12" t="str">
        <f t="shared" si="10"/>
        <v>Matt Phone</v>
      </c>
      <c r="I30">
        <f t="shared" si="12"/>
        <v>0</v>
      </c>
    </row>
    <row r="31" spans="1:37" s="747" customFormat="1" ht="18" outlineLevel="2">
      <c r="A31" s="747" t="str">
        <f>IF(B31&lt;&gt;"",B31-C31-D31-E31-F31,"")</f>
        <v/>
      </c>
    </row>
    <row r="32" spans="1:37" ht="18" outlineLevel="1">
      <c r="A32" s="105" t="s">
        <v>183</v>
      </c>
      <c r="B32" s="296">
        <f>SUM(B33:B34)</f>
        <v>57.97</v>
      </c>
      <c r="C32" s="10"/>
      <c r="D32" s="10"/>
      <c r="E32" s="10"/>
      <c r="F32" s="10"/>
      <c r="G32" s="235">
        <f>IF(B32&lt;&gt;"",SUM(G33:G34),0)</f>
        <v>0</v>
      </c>
      <c r="H32" s="236" t="str">
        <f>A32</f>
        <v>Savings</v>
      </c>
    </row>
    <row r="33" spans="1:9" ht="18" outlineLevel="2">
      <c r="A33" s="13" t="s">
        <v>590</v>
      </c>
      <c r="B33" s="33">
        <f>50-17.03</f>
        <v>32.97</v>
      </c>
      <c r="C33" s="10">
        <v>32.97</v>
      </c>
      <c r="D33" s="10"/>
      <c r="E33" s="10"/>
      <c r="F33" s="10"/>
      <c r="G33" s="10">
        <f>IF(B33&lt;&gt;"",B33-C33-D33-E33-F33,"")</f>
        <v>0</v>
      </c>
      <c r="H33" s="12" t="str">
        <f>A33</f>
        <v>Contingency</v>
      </c>
      <c r="I33">
        <f>IF(G33&lt;0,G33*-1,0)</f>
        <v>0</v>
      </c>
    </row>
    <row r="34" spans="1:9" ht="18" outlineLevel="2">
      <c r="A34" s="13" t="s">
        <v>591</v>
      </c>
      <c r="B34" s="33">
        <v>25</v>
      </c>
      <c r="C34" s="10"/>
      <c r="D34" s="10"/>
      <c r="E34" s="10">
        <v>25</v>
      </c>
      <c r="F34" s="10"/>
      <c r="G34" s="10">
        <f>IF(B34&lt;&gt;"",B34-C34-D34-E34-F34,"")</f>
        <v>0</v>
      </c>
      <c r="H34" s="12" t="str">
        <f>A34</f>
        <v>HTB</v>
      </c>
      <c r="I34">
        <f>IF(G34&lt;0,G34*-1,0)</f>
        <v>0</v>
      </c>
    </row>
    <row r="35" spans="1:9" s="748" customFormat="1" ht="18" outlineLevel="2"/>
    <row r="36" spans="1:9" ht="18" outlineLevel="1">
      <c r="A36" s="105" t="s">
        <v>690</v>
      </c>
      <c r="B36" s="46">
        <f>SUM(B37:B42)</f>
        <v>982.91</v>
      </c>
      <c r="C36" s="10"/>
      <c r="D36" s="10"/>
      <c r="E36" s="10"/>
      <c r="F36" s="10"/>
      <c r="G36" s="296">
        <f>IF(B36&lt;&gt;"",SUM(G37:G42),0)</f>
        <v>420</v>
      </c>
      <c r="H36" s="12" t="str">
        <f>A36</f>
        <v>Cars</v>
      </c>
      <c r="I36">
        <f>IF(G36&lt;0,G36*-1,0)</f>
        <v>0</v>
      </c>
    </row>
    <row r="37" spans="1:9" ht="18" outlineLevel="2">
      <c r="A37" s="13" t="s">
        <v>668</v>
      </c>
      <c r="B37" s="46">
        <v>27</v>
      </c>
      <c r="C37" s="10"/>
      <c r="D37" s="10"/>
      <c r="E37" s="10"/>
      <c r="F37" s="10"/>
      <c r="G37" s="10">
        <f t="shared" ref="G37:G42" si="13">IF(B37&lt;&gt;"",B37-C37-D37-E37-F37,"")</f>
        <v>27</v>
      </c>
      <c r="H37" s="12" t="str">
        <f t="shared" ref="H37:H42" si="14">A37</f>
        <v>M -Tax</v>
      </c>
    </row>
    <row r="38" spans="1:9" ht="18" outlineLevel="2">
      <c r="A38" s="13" t="s">
        <v>670</v>
      </c>
      <c r="B38" s="46">
        <v>63.84</v>
      </c>
      <c r="C38" s="10"/>
      <c r="D38" s="10"/>
      <c r="E38" s="10"/>
      <c r="F38" s="10">
        <v>63.84</v>
      </c>
      <c r="G38" s="10">
        <f t="shared" si="13"/>
        <v>0</v>
      </c>
      <c r="H38" s="12" t="str">
        <f t="shared" si="14"/>
        <v>M - Insurance</v>
      </c>
    </row>
    <row r="39" spans="1:9" ht="18" outlineLevel="2">
      <c r="A39" s="13" t="s">
        <v>671</v>
      </c>
      <c r="B39" s="46">
        <v>179.07</v>
      </c>
      <c r="C39" s="10"/>
      <c r="D39" s="10"/>
      <c r="E39" s="10"/>
      <c r="F39" s="10">
        <v>179.07</v>
      </c>
      <c r="G39" s="10">
        <f t="shared" si="13"/>
        <v>0</v>
      </c>
      <c r="H39" s="12" t="str">
        <f t="shared" si="14"/>
        <v>K - Finance</v>
      </c>
    </row>
    <row r="40" spans="1:9" ht="18" outlineLevel="2">
      <c r="A40" s="13" t="s">
        <v>672</v>
      </c>
      <c r="B40" s="46">
        <f>120/12</f>
        <v>10</v>
      </c>
      <c r="C40" s="10"/>
      <c r="D40" s="10"/>
      <c r="E40" s="10"/>
      <c r="F40" s="10"/>
      <c r="G40" s="10">
        <f t="shared" si="13"/>
        <v>10</v>
      </c>
      <c r="H40" s="12" t="str">
        <f t="shared" si="14"/>
        <v>K - Tax</v>
      </c>
    </row>
    <row r="41" spans="1:9" ht="18" outlineLevel="2">
      <c r="A41" s="13" t="s">
        <v>674</v>
      </c>
      <c r="B41" s="46">
        <v>103</v>
      </c>
      <c r="C41" s="10"/>
      <c r="D41" s="10"/>
      <c r="E41" s="10"/>
      <c r="F41" s="10"/>
      <c r="G41" s="10">
        <f t="shared" si="13"/>
        <v>103</v>
      </c>
      <c r="H41" s="12" t="str">
        <f t="shared" si="14"/>
        <v>K - Insurance</v>
      </c>
    </row>
    <row r="42" spans="1:9" ht="18" outlineLevel="2">
      <c r="A42" s="13" t="s">
        <v>789</v>
      </c>
      <c r="B42" s="46">
        <v>600</v>
      </c>
      <c r="C42" s="10">
        <f>220+25</f>
        <v>245</v>
      </c>
      <c r="D42" s="10"/>
      <c r="E42" s="10">
        <f>37.5+37.5</f>
        <v>75</v>
      </c>
      <c r="F42" s="10"/>
      <c r="G42" s="10">
        <f t="shared" si="13"/>
        <v>280</v>
      </c>
      <c r="H42" s="12" t="str">
        <f t="shared" si="14"/>
        <v>Lessons</v>
      </c>
    </row>
    <row r="43" spans="1:9" ht="18">
      <c r="A43" s="208"/>
      <c r="B43" s="10"/>
      <c r="C43" s="10"/>
      <c r="D43" s="10"/>
      <c r="E43" s="10"/>
      <c r="F43" s="10"/>
      <c r="G43" s="10"/>
      <c r="H43" s="48"/>
    </row>
    <row r="44" spans="1:9" ht="18">
      <c r="A44" s="208"/>
      <c r="B44" s="10"/>
      <c r="C44" s="10"/>
      <c r="D44" s="10"/>
      <c r="E44" s="10"/>
      <c r="F44" s="10"/>
      <c r="G44" s="10"/>
      <c r="H44" s="48"/>
    </row>
    <row r="45" spans="1:9" ht="18">
      <c r="A45" s="179" t="s">
        <v>186</v>
      </c>
      <c r="B45" s="296">
        <f>SUM(C45:F45)</f>
        <v>7136.2699999999995</v>
      </c>
      <c r="C45" s="26">
        <f>3206.97+3870.26+27.03+5.04+26.97</f>
        <v>7136.2699999999995</v>
      </c>
      <c r="D45" s="26"/>
      <c r="E45" s="27"/>
      <c r="F45" s="36"/>
      <c r="G45" s="46" t="str">
        <f>(ROUND(SUM(G5,G12,G16),2)) + SUM(K6:K12) &amp; " / " &amp; B45</f>
        <v>230.07 / 7136.27</v>
      </c>
      <c r="H45" s="10"/>
      <c r="I45" s="11"/>
    </row>
    <row r="46" spans="1:9" ht="18">
      <c r="A46" s="24"/>
      <c r="B46" s="10"/>
      <c r="C46" s="266"/>
      <c r="D46" s="26"/>
      <c r="E46" s="23"/>
      <c r="F46" s="25"/>
      <c r="G46" s="79"/>
      <c r="H46" s="11">
        <f>1058.9-1051.27</f>
        <v>7.6300000000001091</v>
      </c>
    </row>
    <row r="47" spans="1:9" ht="18">
      <c r="A47" s="17"/>
      <c r="C47" s="757"/>
      <c r="D47" s="758"/>
      <c r="E47" s="16"/>
      <c r="F47" s="244"/>
      <c r="G47" s="11"/>
    </row>
    <row r="48" spans="1:9" ht="18">
      <c r="A48" s="17"/>
      <c r="D48" s="17"/>
      <c r="E48" s="16"/>
      <c r="F48" s="268"/>
    </row>
    <row r="49" spans="1:14" ht="18">
      <c r="A49" s="17"/>
      <c r="B49" s="17"/>
      <c r="C49" s="184"/>
      <c r="D49" s="11"/>
      <c r="E49" s="43"/>
      <c r="F49" s="244"/>
      <c r="H49" s="11"/>
    </row>
    <row r="50" spans="1:14" ht="18">
      <c r="A50" s="20"/>
      <c r="B50" s="11"/>
      <c r="E50" s="11"/>
      <c r="F50" s="11"/>
      <c r="G50" s="11"/>
    </row>
    <row r="51" spans="1:14">
      <c r="B51" s="11"/>
      <c r="D51" s="214"/>
      <c r="E51" s="11"/>
      <c r="F51" s="11"/>
    </row>
    <row r="52" spans="1:14">
      <c r="B52" s="11"/>
      <c r="E52" s="11"/>
      <c r="F52" s="11"/>
    </row>
    <row r="53" spans="1:14" ht="18">
      <c r="B53" s="10"/>
      <c r="E53" s="43"/>
      <c r="F53" s="11"/>
    </row>
    <row r="54" spans="1:14" ht="18">
      <c r="B54" s="10"/>
      <c r="C54" s="184"/>
      <c r="E54" s="11"/>
      <c r="F54" s="11"/>
      <c r="N54" t="s">
        <v>790</v>
      </c>
    </row>
    <row r="55" spans="1:14" ht="18">
      <c r="B55" s="10"/>
      <c r="C55" s="184"/>
      <c r="E55" s="11"/>
      <c r="F55" s="11"/>
      <c r="G55" s="11"/>
      <c r="N55" s="269" t="s">
        <v>791</v>
      </c>
    </row>
    <row r="56" spans="1:14" ht="18">
      <c r="B56" s="10"/>
      <c r="E56" s="11"/>
      <c r="F56" s="11"/>
      <c r="G56" s="11"/>
      <c r="H56" s="11"/>
    </row>
    <row r="57" spans="1:14" ht="18">
      <c r="B57" s="10"/>
      <c r="C57" s="11"/>
      <c r="E57" s="11"/>
      <c r="F57" s="11"/>
      <c r="G57" s="11"/>
    </row>
    <row r="58" spans="1:14" ht="18">
      <c r="B58" s="10"/>
      <c r="E58" s="11"/>
      <c r="F58" s="11"/>
      <c r="G58" s="11"/>
      <c r="N58" t="s">
        <v>792</v>
      </c>
    </row>
    <row r="59" spans="1:14" ht="18">
      <c r="B59" s="10"/>
      <c r="G59" s="11"/>
      <c r="N59" t="s">
        <v>793</v>
      </c>
    </row>
    <row r="60" spans="1:14" ht="18">
      <c r="B60" s="10"/>
    </row>
    <row r="62" spans="1:14">
      <c r="F62" s="11"/>
      <c r="H62" s="11"/>
    </row>
    <row r="70" spans="7:12">
      <c r="G70">
        <v>500</v>
      </c>
      <c r="H70">
        <v>0</v>
      </c>
      <c r="I70">
        <v>0</v>
      </c>
      <c r="L70" t="s">
        <v>288</v>
      </c>
    </row>
    <row r="71" spans="7:12">
      <c r="H71">
        <f>H70+G$70-I71</f>
        <v>-35</v>
      </c>
      <c r="I71">
        <f>635-J71</f>
        <v>535</v>
      </c>
      <c r="J71">
        <v>100</v>
      </c>
      <c r="K71" t="s">
        <v>794</v>
      </c>
      <c r="L71" t="s">
        <v>289</v>
      </c>
    </row>
    <row r="72" spans="7:12">
      <c r="H72">
        <f>H71+G$70-I72</f>
        <v>465</v>
      </c>
      <c r="I72">
        <f>0</f>
        <v>0</v>
      </c>
      <c r="J72">
        <v>100</v>
      </c>
      <c r="K72" t="s">
        <v>795</v>
      </c>
      <c r="L72" t="s">
        <v>277</v>
      </c>
    </row>
    <row r="73" spans="7:12">
      <c r="H73">
        <f t="shared" ref="H73:H79" si="15">H72+G$70-I73</f>
        <v>965</v>
      </c>
      <c r="I73">
        <v>0</v>
      </c>
      <c r="L73" t="s">
        <v>278</v>
      </c>
    </row>
    <row r="74" spans="7:12">
      <c r="H74">
        <f t="shared" si="15"/>
        <v>1465</v>
      </c>
      <c r="I74">
        <v>0</v>
      </c>
      <c r="L74" t="s">
        <v>279</v>
      </c>
    </row>
    <row r="75" spans="7:12">
      <c r="H75">
        <f t="shared" si="15"/>
        <v>315</v>
      </c>
      <c r="I75">
        <f>2000-J75</f>
        <v>1650</v>
      </c>
      <c r="J75">
        <f>75+75+100+100</f>
        <v>350</v>
      </c>
      <c r="K75" t="s">
        <v>796</v>
      </c>
      <c r="L75" t="s">
        <v>280</v>
      </c>
    </row>
    <row r="76" spans="7:12">
      <c r="H76">
        <f t="shared" si="15"/>
        <v>815</v>
      </c>
      <c r="I76">
        <v>0</v>
      </c>
      <c r="L76" t="s">
        <v>281</v>
      </c>
    </row>
    <row r="77" spans="7:12">
      <c r="H77">
        <f t="shared" si="15"/>
        <v>1315</v>
      </c>
      <c r="I77">
        <v>0</v>
      </c>
      <c r="L77" t="s">
        <v>282</v>
      </c>
    </row>
    <row r="78" spans="7:12">
      <c r="H78">
        <f t="shared" si="15"/>
        <v>1815</v>
      </c>
      <c r="I78">
        <v>0</v>
      </c>
      <c r="L78" t="s">
        <v>284</v>
      </c>
    </row>
    <row r="79" spans="7:12">
      <c r="H79">
        <f t="shared" si="15"/>
        <v>15</v>
      </c>
      <c r="I79">
        <f>3000-J79</f>
        <v>2300</v>
      </c>
      <c r="J79">
        <f>150+150+200+200</f>
        <v>700</v>
      </c>
      <c r="K79" t="s">
        <v>797</v>
      </c>
      <c r="L79" t="s">
        <v>285</v>
      </c>
    </row>
  </sheetData>
  <mergeCells count="8">
    <mergeCell ref="J1:K1"/>
    <mergeCell ref="X3:Z3"/>
    <mergeCell ref="AB3:AD3"/>
    <mergeCell ref="C47:D47"/>
    <mergeCell ref="A24:XFD24"/>
    <mergeCell ref="A31:XFD31"/>
    <mergeCell ref="A35:XFD35"/>
    <mergeCell ref="Z5:AK5"/>
  </mergeCells>
  <conditionalFormatting sqref="G6:G12 G17:G23 G25:G30 G32:G34 G36:G42">
    <cfRule type="cellIs" dxfId="50" priority="19" operator="equal">
      <formula>0</formula>
    </cfRule>
    <cfRule type="cellIs" dxfId="49" priority="20" operator="lessThan">
      <formula>0</formula>
    </cfRule>
    <cfRule type="cellIs" dxfId="48" priority="21" operator="greaterThan">
      <formula>0</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5" operator="containsText" id="{F7505502-D06B-402D-8A86-7FEF84B166C2}">
            <xm:f>NOT(ISERROR(SEARCH("-",G45)))</xm:f>
            <xm:f>"-"</xm:f>
            <x14:dxf>
              <font>
                <color rgb="FF9C0006"/>
              </font>
              <fill>
                <patternFill>
                  <bgColor rgb="FFFFC7CE"/>
                </patternFill>
              </fill>
            </x14:dxf>
          </x14:cfRule>
          <xm:sqref>G45</xm:sqref>
        </x14:conditionalFormatting>
      </x14:conditionalFormatting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D63F9-7222-0E4B-8911-2B015EECBE4E}">
  <sheetPr codeName="Sheet61"/>
  <dimension ref="A1:O65"/>
  <sheetViews>
    <sheetView topLeftCell="B1" workbookViewId="0"/>
  </sheetViews>
  <sheetFormatPr defaultColWidth="10.33203125" defaultRowHeight="15.6" outlineLevelRow="1"/>
  <cols>
    <col min="1" max="1" width="15.44140625" hidden="1" customWidth="1"/>
    <col min="2" max="2" width="15.44140625" customWidth="1"/>
    <col min="3" max="3" width="21.109375" customWidth="1"/>
    <col min="4" max="4" width="36.44140625" customWidth="1"/>
    <col min="5" max="5" width="23" style="267" customWidth="1"/>
    <col min="6" max="9" width="22.44140625" customWidth="1"/>
    <col min="10" max="10" width="21.6640625" customWidth="1"/>
    <col min="11" max="11" width="22.44140625" style="7" customWidth="1"/>
    <col min="12" max="12" width="19.44140625" customWidth="1"/>
  </cols>
  <sheetData>
    <row r="1" spans="1:15" ht="25.5" customHeight="1">
      <c r="A1" t="str">
        <f ca="1">UPPER(TEXT((1&amp;LEFT(B$1,3))-1,"MMM"))&amp;"-"&amp;UPPER(TEXT((1&amp;RIGHT(LEFT(B$1,7),3))-1,"MMM"))&amp;" "&amp;RIGHT(B$1,4)</f>
        <v>JUL-AUG 2019</v>
      </c>
      <c r="B1" s="730" t="str">
        <f ca="1">MID(CELL("filename",B1),FIND("]",CELL("filename",B1))+1,255)</f>
        <v>AUG-SEP 2019</v>
      </c>
      <c r="C1" s="731"/>
      <c r="D1" s="731"/>
      <c r="E1" s="731"/>
      <c r="F1" s="731"/>
      <c r="G1" s="731"/>
      <c r="H1" s="731"/>
      <c r="I1" s="731"/>
      <c r="J1" s="731"/>
      <c r="K1" s="731"/>
      <c r="L1" s="281"/>
      <c r="M1" s="272"/>
      <c r="N1" s="272"/>
      <c r="O1" s="272"/>
    </row>
    <row r="2" spans="1:15">
      <c r="B2" s="118"/>
      <c r="C2" s="118"/>
      <c r="D2">
        <f>1810.29-650</f>
        <v>1160.29</v>
      </c>
      <c r="E2" s="365"/>
      <c r="F2" t="s">
        <v>798</v>
      </c>
      <c r="G2" t="s">
        <v>799</v>
      </c>
      <c r="H2" t="s">
        <v>800</v>
      </c>
      <c r="I2" t="s">
        <v>801</v>
      </c>
      <c r="J2" t="s">
        <v>802</v>
      </c>
      <c r="K2" s="273" t="s">
        <v>10</v>
      </c>
      <c r="L2" s="283" t="s">
        <v>803</v>
      </c>
    </row>
    <row r="3" spans="1:15">
      <c r="B3" s="118"/>
      <c r="C3" s="118"/>
      <c r="E3" s="365"/>
      <c r="F3" s="42">
        <v>43698</v>
      </c>
      <c r="G3" s="42">
        <v>43705</v>
      </c>
      <c r="H3" s="42">
        <v>43712</v>
      </c>
      <c r="I3" s="42">
        <v>43719</v>
      </c>
      <c r="K3" s="273"/>
      <c r="L3" s="282"/>
    </row>
    <row r="4" spans="1:15" ht="15" customHeight="1">
      <c r="B4" s="727" t="s">
        <v>804</v>
      </c>
      <c r="C4" s="727"/>
      <c r="D4" s="727"/>
      <c r="E4" s="727"/>
      <c r="K4" s="273"/>
      <c r="L4" s="282"/>
    </row>
    <row r="5" spans="1:15" ht="15" customHeight="1">
      <c r="B5" s="733" t="str">
        <f>IF(D5&gt;E$43*0.5,ROUND(D5-E$43*0.5,2) &amp; " Over",ROUND(E$43*0.5-D5,2) &amp; " Under")</f>
        <v>201.27 Over</v>
      </c>
      <c r="C5" s="733"/>
      <c r="D5" s="761">
        <f>SUM(E6:E23)</f>
        <v>1810.6999999999998</v>
      </c>
      <c r="E5" s="761"/>
      <c r="K5" s="274">
        <f>SUMIF(K6:K23,"&gt;0")</f>
        <v>56.619999999999983</v>
      </c>
      <c r="L5" s="282">
        <f>SUM(L6:L23)</f>
        <v>0.87000000000000099</v>
      </c>
    </row>
    <row r="6" spans="1:15" ht="15" customHeight="1">
      <c r="B6" s="734" t="str">
        <f>"50%: " &amp; E$43*0.5</f>
        <v>50%: 1609.43</v>
      </c>
      <c r="C6" s="734" t="str">
        <f>ROUND((D5/E$43)*100,2) &amp; "%: " &amp;D5</f>
        <v>56.25%: 1810.7</v>
      </c>
      <c r="D6" s="13" t="s">
        <v>805</v>
      </c>
      <c r="E6" s="374">
        <v>350</v>
      </c>
      <c r="F6">
        <f>27.01+15+17.29+15.04</f>
        <v>74.34</v>
      </c>
      <c r="G6">
        <f>14.39+15.79+49.01+25.79</f>
        <v>104.97999999999999</v>
      </c>
      <c r="H6">
        <f>25+25+25.01</f>
        <v>75.010000000000005</v>
      </c>
      <c r="I6">
        <f>23.2+25+25.01</f>
        <v>73.210000000000008</v>
      </c>
      <c r="K6" s="274">
        <f>E6-F6-G6-H6-I6-J6</f>
        <v>22.459999999999965</v>
      </c>
      <c r="L6" s="282">
        <f t="shared" ref="L6:L40" si="0">IF(K6&lt;0,K6*-1,0)</f>
        <v>0</v>
      </c>
    </row>
    <row r="7" spans="1:15" ht="15" customHeight="1">
      <c r="B7" s="734"/>
      <c r="C7" s="734"/>
      <c r="D7" s="13" t="s">
        <v>806</v>
      </c>
      <c r="E7" s="365">
        <v>300</v>
      </c>
      <c r="F7">
        <f>75+4.49</f>
        <v>79.489999999999995</v>
      </c>
      <c r="G7">
        <f>10.27+9.93+2.94+14.43+42.16</f>
        <v>79.72999999999999</v>
      </c>
      <c r="H7">
        <f>38.77+9.7+39.11+2.99</f>
        <v>90.57</v>
      </c>
      <c r="I7">
        <f>4.65+34.64</f>
        <v>39.29</v>
      </c>
      <c r="K7" s="274">
        <f t="shared" ref="K7:K23" si="1">E7-F7-G7-H7-I7-J7</f>
        <v>10.920000000000009</v>
      </c>
      <c r="L7" s="282">
        <f t="shared" si="0"/>
        <v>0</v>
      </c>
    </row>
    <row r="8" spans="1:15" ht="15" customHeight="1" outlineLevel="1">
      <c r="B8" s="734"/>
      <c r="C8" s="734"/>
      <c r="D8" s="13" t="s">
        <v>595</v>
      </c>
      <c r="E8" s="365">
        <v>452.64</v>
      </c>
      <c r="I8">
        <v>452.64</v>
      </c>
      <c r="K8" s="274">
        <f t="shared" si="1"/>
        <v>0</v>
      </c>
      <c r="L8" s="282">
        <f t="shared" si="0"/>
        <v>0</v>
      </c>
    </row>
    <row r="9" spans="1:15" ht="15" customHeight="1" outlineLevel="1">
      <c r="B9" s="734"/>
      <c r="C9" s="734"/>
      <c r="D9" s="13" t="s">
        <v>596</v>
      </c>
      <c r="E9" s="365">
        <v>123</v>
      </c>
      <c r="I9">
        <v>123</v>
      </c>
      <c r="K9" s="274">
        <f t="shared" si="1"/>
        <v>0</v>
      </c>
      <c r="L9" s="282">
        <f t="shared" si="0"/>
        <v>0</v>
      </c>
    </row>
    <row r="10" spans="1:15" ht="15" customHeight="1" outlineLevel="1">
      <c r="B10" s="734"/>
      <c r="C10" s="734"/>
      <c r="D10" s="13" t="s">
        <v>785</v>
      </c>
      <c r="E10" s="365">
        <f>17+40+12.96+1</f>
        <v>70.960000000000008</v>
      </c>
      <c r="G10">
        <v>1</v>
      </c>
      <c r="I10">
        <f>37.72+9</f>
        <v>46.72</v>
      </c>
      <c r="K10" s="274">
        <f t="shared" si="1"/>
        <v>23.240000000000009</v>
      </c>
      <c r="L10" s="282">
        <f t="shared" si="0"/>
        <v>0</v>
      </c>
    </row>
    <row r="11" spans="1:15" ht="15" customHeight="1" outlineLevel="1">
      <c r="B11" s="734"/>
      <c r="C11" s="734"/>
      <c r="D11" s="13" t="s">
        <v>600</v>
      </c>
      <c r="E11" s="365">
        <f>4.52+16.61+8.56+16.1</f>
        <v>45.79</v>
      </c>
      <c r="H11">
        <f>30.05</f>
        <v>30.05</v>
      </c>
      <c r="I11">
        <f>16.61</f>
        <v>16.61</v>
      </c>
      <c r="K11" s="274">
        <f t="shared" si="1"/>
        <v>-0.87000000000000099</v>
      </c>
      <c r="L11" s="282">
        <f t="shared" si="0"/>
        <v>0.87000000000000099</v>
      </c>
    </row>
    <row r="12" spans="1:15" ht="15" customHeight="1" outlineLevel="1">
      <c r="B12" s="734"/>
      <c r="C12" s="734"/>
      <c r="D12" s="276" t="s">
        <v>807</v>
      </c>
      <c r="E12" s="277">
        <v>25</v>
      </c>
      <c r="H12">
        <v>25</v>
      </c>
      <c r="K12" s="274">
        <f t="shared" si="1"/>
        <v>0</v>
      </c>
      <c r="L12" s="282">
        <f t="shared" si="0"/>
        <v>0</v>
      </c>
    </row>
    <row r="13" spans="1:15" ht="15" customHeight="1" outlineLevel="1">
      <c r="B13" s="734"/>
      <c r="C13" s="734"/>
      <c r="D13" s="13" t="s">
        <v>602</v>
      </c>
      <c r="E13" s="365">
        <v>38.49</v>
      </c>
      <c r="I13">
        <v>38.49</v>
      </c>
      <c r="K13" s="274">
        <f t="shared" si="1"/>
        <v>0</v>
      </c>
      <c r="L13" s="282">
        <f t="shared" si="0"/>
        <v>0</v>
      </c>
    </row>
    <row r="14" spans="1:15" ht="15" customHeight="1" outlineLevel="1">
      <c r="B14" s="734"/>
      <c r="C14" s="734"/>
      <c r="D14" s="13" t="s">
        <v>582</v>
      </c>
      <c r="E14" s="365">
        <v>7.99</v>
      </c>
      <c r="G14">
        <v>7.99</v>
      </c>
      <c r="K14" s="274">
        <f t="shared" si="1"/>
        <v>0</v>
      </c>
      <c r="L14" s="282">
        <f t="shared" si="0"/>
        <v>0</v>
      </c>
    </row>
    <row r="15" spans="1:15" ht="15" customHeight="1" outlineLevel="1">
      <c r="B15" s="734"/>
      <c r="C15" s="734"/>
      <c r="D15" s="13" t="s">
        <v>788</v>
      </c>
      <c r="E15" s="365">
        <v>10.01</v>
      </c>
      <c r="G15">
        <v>10.01</v>
      </c>
      <c r="K15" s="274">
        <f t="shared" si="1"/>
        <v>0</v>
      </c>
      <c r="L15" s="282">
        <f t="shared" si="0"/>
        <v>0</v>
      </c>
    </row>
    <row r="16" spans="1:15" ht="15" customHeight="1" outlineLevel="1">
      <c r="B16" s="734"/>
      <c r="C16" s="734"/>
      <c r="D16" s="13" t="s">
        <v>668</v>
      </c>
      <c r="E16" s="365">
        <v>27</v>
      </c>
      <c r="G16">
        <v>27</v>
      </c>
      <c r="K16" s="274">
        <f t="shared" si="1"/>
        <v>0</v>
      </c>
      <c r="L16" s="282">
        <f t="shared" si="0"/>
        <v>0</v>
      </c>
    </row>
    <row r="17" spans="2:14" ht="15" customHeight="1" outlineLevel="1">
      <c r="B17" s="734"/>
      <c r="C17" s="734"/>
      <c r="D17" s="13" t="s">
        <v>669</v>
      </c>
      <c r="E17" s="365">
        <v>0</v>
      </c>
      <c r="K17" s="274">
        <f t="shared" si="1"/>
        <v>0</v>
      </c>
      <c r="L17" s="282">
        <f t="shared" si="0"/>
        <v>0</v>
      </c>
    </row>
    <row r="18" spans="2:14" ht="15" customHeight="1" outlineLevel="1">
      <c r="B18" s="734"/>
      <c r="C18" s="734"/>
      <c r="D18" s="13" t="s">
        <v>670</v>
      </c>
      <c r="E18" s="365">
        <v>63.84</v>
      </c>
      <c r="I18">
        <v>63.84</v>
      </c>
      <c r="K18" s="274">
        <f t="shared" si="1"/>
        <v>0</v>
      </c>
      <c r="L18" s="282">
        <f t="shared" si="0"/>
        <v>0</v>
      </c>
    </row>
    <row r="19" spans="2:14" ht="15" customHeight="1" outlineLevel="1">
      <c r="B19" s="734"/>
      <c r="C19" s="734"/>
      <c r="D19" s="276" t="s">
        <v>671</v>
      </c>
      <c r="E19" s="277">
        <v>179.07</v>
      </c>
      <c r="I19">
        <v>179.07</v>
      </c>
      <c r="K19" s="274">
        <f t="shared" si="1"/>
        <v>0</v>
      </c>
      <c r="L19" s="282">
        <f t="shared" si="0"/>
        <v>0</v>
      </c>
    </row>
    <row r="20" spans="2:14" ht="15" customHeight="1" outlineLevel="1">
      <c r="B20" s="734"/>
      <c r="C20" s="734"/>
      <c r="D20" s="13" t="s">
        <v>672</v>
      </c>
      <c r="E20" s="365">
        <v>13.68</v>
      </c>
      <c r="G20">
        <v>13.68</v>
      </c>
      <c r="K20" s="274">
        <f t="shared" si="1"/>
        <v>0</v>
      </c>
      <c r="L20" s="282">
        <f t="shared" si="0"/>
        <v>0</v>
      </c>
    </row>
    <row r="21" spans="2:14" ht="15" customHeight="1" outlineLevel="1">
      <c r="B21" s="734"/>
      <c r="C21" s="734"/>
      <c r="D21" s="13" t="s">
        <v>673</v>
      </c>
      <c r="E21" s="365">
        <v>0</v>
      </c>
      <c r="K21" s="274">
        <f t="shared" si="1"/>
        <v>0</v>
      </c>
      <c r="L21" s="282">
        <f t="shared" si="0"/>
        <v>0</v>
      </c>
    </row>
    <row r="22" spans="2:14" ht="15" customHeight="1" outlineLevel="1">
      <c r="B22" s="734"/>
      <c r="C22" s="734"/>
      <c r="D22" s="13" t="s">
        <v>674</v>
      </c>
      <c r="E22" s="365">
        <v>103.23</v>
      </c>
      <c r="F22">
        <v>103.23</v>
      </c>
      <c r="K22" s="274">
        <f t="shared" si="1"/>
        <v>0</v>
      </c>
      <c r="L22" s="282">
        <f t="shared" si="0"/>
        <v>0</v>
      </c>
    </row>
    <row r="23" spans="2:14" ht="15" customHeight="1" outlineLevel="1">
      <c r="B23" s="734"/>
      <c r="C23" s="734"/>
      <c r="D23" s="13" t="s">
        <v>675</v>
      </c>
      <c r="E23" s="365">
        <v>0</v>
      </c>
      <c r="K23" s="274">
        <f t="shared" si="1"/>
        <v>0</v>
      </c>
      <c r="L23" s="282">
        <f t="shared" si="0"/>
        <v>0</v>
      </c>
    </row>
    <row r="24" spans="2:14" ht="15" customHeight="1">
      <c r="B24" s="118"/>
      <c r="C24" s="118"/>
      <c r="E24" s="365"/>
      <c r="K24" s="273"/>
      <c r="L24" s="282"/>
    </row>
    <row r="25" spans="2:14" ht="15" customHeight="1">
      <c r="B25" s="736" t="s">
        <v>808</v>
      </c>
      <c r="C25" s="736"/>
      <c r="D25" s="736"/>
      <c r="E25" s="736"/>
      <c r="K25" s="274"/>
      <c r="L25" s="282"/>
    </row>
    <row r="26" spans="2:14" ht="15" customHeight="1">
      <c r="B26" s="727" t="str">
        <f>IF(ISNUMBER((SEARCH("Over",C$5))),"Operating under budget","Operating over budget")</f>
        <v>Operating over budget</v>
      </c>
      <c r="C26" s="727"/>
      <c r="D26" s="759">
        <f>SUM(E27:E33)</f>
        <v>1030.58</v>
      </c>
      <c r="E26" s="759"/>
      <c r="K26" s="274">
        <f>SUMIF(K27:K33,"&gt;0")</f>
        <v>244.5</v>
      </c>
      <c r="L26" s="282">
        <f>SUM(L27:L33)</f>
        <v>40.899999999999991</v>
      </c>
    </row>
    <row r="27" spans="2:14" ht="15" customHeight="1" outlineLevel="1">
      <c r="B27" s="734" t="str">
        <f>"20% : " &amp; E$43*0.2</f>
        <v>20% : 643.772</v>
      </c>
      <c r="C27" s="734" t="str">
        <f>"20% : " &amp; E$43*0.2</f>
        <v>20% : 643.772</v>
      </c>
      <c r="D27" s="300" t="s">
        <v>809</v>
      </c>
      <c r="E27" s="365">
        <f>ROUND(REPLACE(B27,1,6,"")*0.15,-1)</f>
        <v>100</v>
      </c>
      <c r="F27">
        <f>12.39+2.55+10.89+10+11+40+12.03+2.99</f>
        <v>101.85</v>
      </c>
      <c r="G27">
        <f>4.2+4.25+9</f>
        <v>17.45</v>
      </c>
      <c r="K27" s="274">
        <f t="shared" ref="K27:K31" si="2">E27-F27-G27-H27-I27-J27</f>
        <v>-19.299999999999994</v>
      </c>
      <c r="L27" s="282">
        <f t="shared" si="0"/>
        <v>19.299999999999994</v>
      </c>
    </row>
    <row r="28" spans="2:14" ht="15" customHeight="1" outlineLevel="1">
      <c r="B28" s="734"/>
      <c r="C28" s="734"/>
      <c r="D28" s="300" t="s">
        <v>810</v>
      </c>
      <c r="E28" s="365">
        <v>0</v>
      </c>
      <c r="K28" s="274">
        <f>E28-F28-G28-H28-I28-J28</f>
        <v>0</v>
      </c>
      <c r="L28" s="282">
        <f t="shared" si="0"/>
        <v>0</v>
      </c>
    </row>
    <row r="29" spans="2:14" ht="15" customHeight="1" outlineLevel="1">
      <c r="B29" s="734"/>
      <c r="C29" s="734"/>
      <c r="D29" s="300" t="s">
        <v>811</v>
      </c>
      <c r="E29" s="365">
        <f>ROUND(REPLACE(B27,1,6,"")*0.2,-1)</f>
        <v>130</v>
      </c>
      <c r="G29">
        <f>49</f>
        <v>49</v>
      </c>
      <c r="I29">
        <f>93+9.6</f>
        <v>102.6</v>
      </c>
      <c r="K29" s="274">
        <f t="shared" si="2"/>
        <v>-21.599999999999994</v>
      </c>
      <c r="L29" s="282">
        <f t="shared" si="0"/>
        <v>21.599999999999994</v>
      </c>
    </row>
    <row r="30" spans="2:14" ht="15" customHeight="1" outlineLevel="1">
      <c r="B30" s="734"/>
      <c r="C30" s="734"/>
      <c r="D30" s="300" t="s">
        <v>812</v>
      </c>
      <c r="E30" s="365">
        <v>0</v>
      </c>
      <c r="K30" s="274">
        <f t="shared" si="2"/>
        <v>0</v>
      </c>
      <c r="L30" s="282">
        <f t="shared" si="0"/>
        <v>0</v>
      </c>
      <c r="N30">
        <f>N31-L43</f>
        <v>248.38800000000003</v>
      </c>
    </row>
    <row r="31" spans="2:14" ht="15" customHeight="1" outlineLevel="1">
      <c r="B31" s="734" t="s">
        <v>130</v>
      </c>
      <c r="C31" s="734"/>
      <c r="D31" s="300" t="s">
        <v>813</v>
      </c>
      <c r="E31" s="365">
        <f>350+34.5</f>
        <v>384.5</v>
      </c>
      <c r="H31">
        <f>35</f>
        <v>35</v>
      </c>
      <c r="I31">
        <f>25+25+55</f>
        <v>105</v>
      </c>
      <c r="K31" s="274">
        <f t="shared" si="2"/>
        <v>244.5</v>
      </c>
      <c r="L31" s="282">
        <f t="shared" si="0"/>
        <v>0</v>
      </c>
      <c r="N31">
        <f>244.5+22.46+23.24</f>
        <v>290.2</v>
      </c>
    </row>
    <row r="32" spans="2:14" ht="15" customHeight="1" outlineLevel="1">
      <c r="B32" s="734"/>
      <c r="C32" s="734"/>
      <c r="D32" s="300" t="s">
        <v>174</v>
      </c>
      <c r="E32" s="365">
        <f>100-8.92</f>
        <v>91.08</v>
      </c>
      <c r="F32" s="11">
        <v>34</v>
      </c>
      <c r="G32">
        <f>17.08+10+10+20</f>
        <v>57.08</v>
      </c>
      <c r="K32" s="274">
        <f>E32-F32-G32-H32-I32-J32</f>
        <v>0</v>
      </c>
      <c r="L32" s="282">
        <f t="shared" si="0"/>
        <v>0</v>
      </c>
    </row>
    <row r="33" spans="2:12" ht="15" customHeight="1" outlineLevel="1">
      <c r="B33" s="734"/>
      <c r="C33" s="734"/>
      <c r="D33" s="300" t="s">
        <v>814</v>
      </c>
      <c r="E33" s="365">
        <f>266+59</f>
        <v>325</v>
      </c>
      <c r="F33" s="11"/>
      <c r="G33">
        <f>59+266</f>
        <v>325</v>
      </c>
      <c r="K33" s="274">
        <f>E33-F33-G33-H33-I33-J33</f>
        <v>0</v>
      </c>
      <c r="L33" s="282">
        <f t="shared" si="0"/>
        <v>0</v>
      </c>
    </row>
    <row r="34" spans="2:12" ht="15" customHeight="1">
      <c r="B34" s="118"/>
      <c r="C34" s="118"/>
      <c r="E34" s="365"/>
      <c r="K34" s="273"/>
      <c r="L34" s="282"/>
    </row>
    <row r="35" spans="2:12" ht="15" customHeight="1">
      <c r="B35" s="727"/>
      <c r="C35" s="727"/>
      <c r="D35" s="727"/>
      <c r="E35" s="727"/>
      <c r="K35" s="273"/>
      <c r="L35" s="282"/>
    </row>
    <row r="36" spans="2:12" ht="15" customHeight="1">
      <c r="B36" s="727" t="str">
        <f>IF(ISNUMBER((SEARCH("Over",B$5))),"Operating under budget","Operating over budget")</f>
        <v>Operating under budget</v>
      </c>
      <c r="C36" s="727"/>
      <c r="D36" s="759">
        <f>(E$43-D5-D26)</f>
        <v>377.58000000000038</v>
      </c>
      <c r="E36" s="727"/>
      <c r="K36" s="274">
        <f>SUMIF(K37:K40,"&gt;0")+K41</f>
        <v>-21.619999999999624</v>
      </c>
      <c r="L36" s="282">
        <f>SUM(L37:L40)</f>
        <v>4.1999999999960735E-2</v>
      </c>
    </row>
    <row r="37" spans="2:12" ht="15" customHeight="1" outlineLevel="1">
      <c r="B37" s="734" t="str">
        <f>"30%: " &amp; (E$43*0.3)</f>
        <v>30%: 965.658</v>
      </c>
      <c r="C37" s="760" t="str">
        <f>ROUND(((E$43-D5-(E$43*0.2))/E$43)*100,2) &amp; "%: " &amp; (E$43-D5-(E$43*0.2))</f>
        <v>23.75%: 764.388</v>
      </c>
      <c r="D37" s="13" t="s">
        <v>587</v>
      </c>
      <c r="E37" s="365">
        <v>5.49</v>
      </c>
      <c r="F37">
        <v>5.49</v>
      </c>
      <c r="K37" s="274">
        <f>E37-F37-G37-H37-I37-J37</f>
        <v>0</v>
      </c>
      <c r="L37" s="282">
        <f t="shared" si="0"/>
        <v>0</v>
      </c>
    </row>
    <row r="38" spans="2:12" ht="18" outlineLevel="1">
      <c r="B38" s="734"/>
      <c r="C38" s="760"/>
      <c r="D38" s="13" t="s">
        <v>589</v>
      </c>
      <c r="E38" s="365">
        <v>14.99</v>
      </c>
      <c r="I38">
        <f>14.99</f>
        <v>14.99</v>
      </c>
      <c r="K38" s="274">
        <f t="shared" ref="K38:K40" si="3">E38-F38-G38-H38-I38-J38</f>
        <v>0</v>
      </c>
      <c r="L38" s="282">
        <f t="shared" si="0"/>
        <v>0</v>
      </c>
    </row>
    <row r="39" spans="2:12" ht="15.75" customHeight="1" outlineLevel="1">
      <c r="B39" s="734"/>
      <c r="C39" s="760"/>
      <c r="D39" s="13" t="s">
        <v>781</v>
      </c>
      <c r="E39" s="365">
        <f>37.96+3.99</f>
        <v>41.95</v>
      </c>
      <c r="G39">
        <f>13+14.56</f>
        <v>27.560000000000002</v>
      </c>
      <c r="H39">
        <v>10</v>
      </c>
      <c r="K39" s="274">
        <f t="shared" si="3"/>
        <v>4.3900000000000006</v>
      </c>
      <c r="L39" s="282">
        <f t="shared" si="0"/>
        <v>0</v>
      </c>
    </row>
    <row r="40" spans="2:12" ht="18" outlineLevel="1">
      <c r="B40" s="734"/>
      <c r="C40" s="760"/>
      <c r="D40" s="13" t="s">
        <v>815</v>
      </c>
      <c r="E40" s="365">
        <f>D36*0.1-4.8-0.89</f>
        <v>32.06800000000004</v>
      </c>
      <c r="G40">
        <f>2.5+20.46</f>
        <v>22.96</v>
      </c>
      <c r="H40">
        <f>9.15</f>
        <v>9.15</v>
      </c>
      <c r="K40" s="274">
        <f t="shared" si="3"/>
        <v>-4.1999999999960735E-2</v>
      </c>
      <c r="L40" s="282">
        <f t="shared" si="0"/>
        <v>4.1999999999960735E-2</v>
      </c>
    </row>
    <row r="41" spans="2:12" ht="18" outlineLevel="1">
      <c r="B41" s="734"/>
      <c r="C41" s="760"/>
      <c r="D41" s="13" t="s">
        <v>816</v>
      </c>
      <c r="E41" s="365">
        <f>(D36-E37-E38-E39-E40)-L43</f>
        <v>241.27000000000038</v>
      </c>
      <c r="F41">
        <f>70+20+4.29+62.99</f>
        <v>157.28</v>
      </c>
      <c r="G41">
        <f>20</f>
        <v>20</v>
      </c>
      <c r="H41">
        <f>2.7+27.5+5.99+10+1.1+11.66+24</f>
        <v>82.95</v>
      </c>
      <c r="I41">
        <f>4.25+2.8</f>
        <v>7.05</v>
      </c>
      <c r="K41" s="274">
        <f>E41-F41-G41-H41-I41-J41</f>
        <v>-26.009999999999625</v>
      </c>
      <c r="L41" s="271"/>
    </row>
    <row r="42" spans="2:12">
      <c r="B42" s="118"/>
      <c r="C42" s="118"/>
      <c r="E42" s="365"/>
      <c r="K42" s="273"/>
      <c r="L42" s="282"/>
    </row>
    <row r="43" spans="2:12" ht="18">
      <c r="B43" s="728" t="s">
        <v>817</v>
      </c>
      <c r="C43" s="728"/>
      <c r="D43" s="728"/>
      <c r="E43" s="375">
        <f>F43+G43+H43+I43+J43</f>
        <v>3218.86</v>
      </c>
      <c r="F43" s="271">
        <f>2553.17-350+997</f>
        <v>3200.17</v>
      </c>
      <c r="G43" s="271">
        <f>4.69+14</f>
        <v>18.690000000000001</v>
      </c>
      <c r="H43" s="271"/>
      <c r="I43" s="271"/>
      <c r="J43" s="271"/>
      <c r="K43" s="274" t="str">
        <f>"£" &amp; K5+K36+K26 &amp; " / " &amp; "£" &amp; E43</f>
        <v>£279.5 / £3218.86</v>
      </c>
      <c r="L43" s="282">
        <f>SUM(L36,L26,L5)</f>
        <v>41.811999999999955</v>
      </c>
    </row>
    <row r="44" spans="2:12">
      <c r="B44" s="118"/>
      <c r="C44" s="7"/>
      <c r="E44" s="365"/>
      <c r="K44" s="7">
        <f>1764.12 - 1653.54</f>
        <v>110.57999999999993</v>
      </c>
      <c r="L44">
        <f>1317.32-1314.51</f>
        <v>2.8099999999999454</v>
      </c>
    </row>
    <row r="45" spans="2:12" ht="14.4">
      <c r="B45" s="729" t="s">
        <v>818</v>
      </c>
      <c r="C45" s="729"/>
      <c r="D45" s="729"/>
      <c r="E45" s="729"/>
      <c r="F45" s="729"/>
      <c r="H45" s="729" t="s">
        <v>819</v>
      </c>
      <c r="I45" s="729"/>
      <c r="J45" s="729"/>
      <c r="K45" s="729"/>
    </row>
    <row r="46" spans="2:12">
      <c r="B46">
        <v>0</v>
      </c>
      <c r="C46">
        <v>0</v>
      </c>
      <c r="D46">
        <v>500</v>
      </c>
      <c r="E46"/>
      <c r="F46" t="s">
        <v>288</v>
      </c>
      <c r="H46" s="212" t="s">
        <v>820</v>
      </c>
      <c r="I46" s="278" t="s">
        <v>821</v>
      </c>
      <c r="J46" s="212" t="s">
        <v>822</v>
      </c>
      <c r="K46" s="212" t="s">
        <v>823</v>
      </c>
    </row>
    <row r="47" spans="2:12">
      <c r="B47">
        <f t="shared" ref="B47:B55" si="4">B46+D$46-C47</f>
        <v>-35</v>
      </c>
      <c r="C47">
        <f>635-D47</f>
        <v>535</v>
      </c>
      <c r="D47">
        <v>100</v>
      </c>
      <c r="E47" t="s">
        <v>794</v>
      </c>
      <c r="F47" t="s">
        <v>824</v>
      </c>
      <c r="H47" s="214">
        <v>154950</v>
      </c>
      <c r="I47" s="376">
        <v>123960</v>
      </c>
      <c r="J47" s="214">
        <v>23240</v>
      </c>
      <c r="K47" s="214">
        <v>7950</v>
      </c>
    </row>
    <row r="48" spans="2:12">
      <c r="B48">
        <f t="shared" si="4"/>
        <v>465</v>
      </c>
      <c r="C48">
        <f>0</f>
        <v>0</v>
      </c>
      <c r="D48">
        <v>100</v>
      </c>
      <c r="E48"/>
      <c r="F48" t="s">
        <v>277</v>
      </c>
      <c r="I48" s="365"/>
      <c r="K48"/>
    </row>
    <row r="49" spans="2:12">
      <c r="B49">
        <f t="shared" si="4"/>
        <v>965</v>
      </c>
      <c r="C49">
        <v>0</v>
      </c>
      <c r="E49"/>
      <c r="F49" t="s">
        <v>278</v>
      </c>
      <c r="H49" s="212" t="s">
        <v>825</v>
      </c>
      <c r="I49" s="278" t="s">
        <v>826</v>
      </c>
      <c r="J49" s="212" t="s">
        <v>827</v>
      </c>
      <c r="K49" s="212" t="s">
        <v>828</v>
      </c>
    </row>
    <row r="50" spans="2:12">
      <c r="B50">
        <f t="shared" si="4"/>
        <v>1465</v>
      </c>
      <c r="C50">
        <v>0</v>
      </c>
      <c r="E50"/>
      <c r="F50" t="s">
        <v>279</v>
      </c>
      <c r="H50" s="56">
        <v>123960</v>
      </c>
      <c r="I50" s="365">
        <v>450</v>
      </c>
      <c r="J50" s="56">
        <v>11922</v>
      </c>
      <c r="K50" s="56">
        <v>15697</v>
      </c>
    </row>
    <row r="51" spans="2:12">
      <c r="B51">
        <f t="shared" si="4"/>
        <v>315</v>
      </c>
      <c r="C51">
        <f>2000-D51</f>
        <v>1650</v>
      </c>
      <c r="D51">
        <f>75+75+100+100</f>
        <v>350</v>
      </c>
      <c r="E51" t="s">
        <v>796</v>
      </c>
      <c r="F51" t="s">
        <v>280</v>
      </c>
      <c r="I51" s="365"/>
      <c r="K51"/>
    </row>
    <row r="52" spans="2:12">
      <c r="B52">
        <f t="shared" si="4"/>
        <v>815</v>
      </c>
      <c r="C52">
        <v>0</v>
      </c>
      <c r="E52"/>
      <c r="F52" t="s">
        <v>281</v>
      </c>
      <c r="H52" s="212" t="s">
        <v>829</v>
      </c>
      <c r="I52" s="278" t="s">
        <v>830</v>
      </c>
      <c r="J52" s="212" t="s">
        <v>831</v>
      </c>
      <c r="K52" s="212" t="s">
        <v>832</v>
      </c>
      <c r="L52" s="279" t="s">
        <v>833</v>
      </c>
    </row>
    <row r="53" spans="2:12">
      <c r="B53">
        <f t="shared" si="4"/>
        <v>1315</v>
      </c>
      <c r="C53">
        <v>0</v>
      </c>
      <c r="E53"/>
      <c r="F53" t="s">
        <v>282</v>
      </c>
      <c r="H53" s="258">
        <v>0.15</v>
      </c>
      <c r="I53" s="365">
        <f>H47*1.1</f>
        <v>170445</v>
      </c>
      <c r="J53" s="38">
        <f>I53*0.2</f>
        <v>34089</v>
      </c>
      <c r="K53" s="56">
        <v>113036</v>
      </c>
      <c r="L53" s="280">
        <f>K53+J53</f>
        <v>147125</v>
      </c>
    </row>
    <row r="54" spans="2:12" ht="14.4">
      <c r="B54">
        <f t="shared" si="4"/>
        <v>1815</v>
      </c>
      <c r="C54">
        <v>0</v>
      </c>
      <c r="E54"/>
      <c r="F54" t="s">
        <v>284</v>
      </c>
    </row>
    <row r="55" spans="2:12" ht="14.4">
      <c r="B55">
        <f t="shared" si="4"/>
        <v>15</v>
      </c>
      <c r="C55">
        <f>3000-D55</f>
        <v>2300</v>
      </c>
      <c r="D55">
        <f>150+150+200+200</f>
        <v>700</v>
      </c>
      <c r="E55" t="s">
        <v>797</v>
      </c>
      <c r="F55" t="s">
        <v>285</v>
      </c>
    </row>
    <row r="56" spans="2:12">
      <c r="E56" s="365"/>
      <c r="I56" s="365"/>
      <c r="K56" s="275"/>
    </row>
    <row r="57" spans="2:12">
      <c r="D57" t="s">
        <v>834</v>
      </c>
      <c r="E57" s="365"/>
    </row>
    <row r="58" spans="2:12">
      <c r="B58" t="s">
        <v>835</v>
      </c>
      <c r="C58">
        <v>1077.17</v>
      </c>
      <c r="E58" s="365"/>
      <c r="G58">
        <f>119.89-75-34</f>
        <v>10.89</v>
      </c>
    </row>
    <row r="59" spans="2:12">
      <c r="B59" t="s">
        <v>836</v>
      </c>
      <c r="C59">
        <v>1945.4</v>
      </c>
      <c r="D59" t="s">
        <v>837</v>
      </c>
      <c r="E59" s="365"/>
    </row>
    <row r="61" spans="2:12">
      <c r="E61" s="365"/>
      <c r="F61" s="11">
        <f>F43-2250</f>
        <v>950.17000000000007</v>
      </c>
    </row>
    <row r="62" spans="2:12">
      <c r="E62" s="365"/>
      <c r="F62">
        <v>2553.17</v>
      </c>
    </row>
    <row r="63" spans="2:12">
      <c r="E63" s="365" t="s">
        <v>838</v>
      </c>
      <c r="F63">
        <v>2419.75</v>
      </c>
      <c r="G63">
        <f>F62-F63</f>
        <v>133.42000000000007</v>
      </c>
    </row>
    <row r="64" spans="2:12">
      <c r="E64" s="365" t="s">
        <v>838</v>
      </c>
      <c r="F64">
        <v>2213.42</v>
      </c>
      <c r="G64">
        <f>F63-F64</f>
        <v>206.32999999999993</v>
      </c>
    </row>
    <row r="65" spans="7:7">
      <c r="G65">
        <f>G64+G63</f>
        <v>339.75</v>
      </c>
    </row>
  </sheetData>
  <mergeCells count="20">
    <mergeCell ref="B1:K1"/>
    <mergeCell ref="B26:C26"/>
    <mergeCell ref="D26:E26"/>
    <mergeCell ref="C37:C41"/>
    <mergeCell ref="B37:B41"/>
    <mergeCell ref="B35:E35"/>
    <mergeCell ref="B25:E25"/>
    <mergeCell ref="D5:E5"/>
    <mergeCell ref="B5:C5"/>
    <mergeCell ref="B36:C36"/>
    <mergeCell ref="D36:E36"/>
    <mergeCell ref="B43:D43"/>
    <mergeCell ref="B45:F45"/>
    <mergeCell ref="H45:K45"/>
    <mergeCell ref="B4:E4"/>
    <mergeCell ref="B27:B30"/>
    <mergeCell ref="C27:C30"/>
    <mergeCell ref="C6:C23"/>
    <mergeCell ref="B6:B23"/>
    <mergeCell ref="B31:C33"/>
  </mergeCells>
  <pageMargins left="0.7" right="0.7" top="0.75" bottom="0.75" header="0.3" footer="0.3"/>
  <pageSetup orientation="portrait" r:id="rId1"/>
  <legacy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FBB39-515F-44F8-93BD-B664A121EB4F}">
  <dimension ref="A1:J68"/>
  <sheetViews>
    <sheetView workbookViewId="0"/>
  </sheetViews>
  <sheetFormatPr defaultColWidth="8.44140625" defaultRowHeight="14.4"/>
  <cols>
    <col min="6" max="6" width="15.44140625" customWidth="1"/>
    <col min="7" max="7" width="24" customWidth="1"/>
    <col min="8" max="8" width="16.109375" customWidth="1"/>
    <col min="9" max="9" width="19" customWidth="1"/>
  </cols>
  <sheetData>
    <row r="1" spans="1:10">
      <c r="A1" s="212" t="s">
        <v>839</v>
      </c>
      <c r="B1" s="212" t="s">
        <v>15</v>
      </c>
      <c r="C1" s="212" t="s">
        <v>840</v>
      </c>
      <c r="D1" s="212" t="s">
        <v>841</v>
      </c>
      <c r="E1" s="212" t="s">
        <v>842</v>
      </c>
      <c r="F1" s="212" t="s">
        <v>843</v>
      </c>
      <c r="G1" s="212" t="s">
        <v>844</v>
      </c>
      <c r="H1" s="212" t="s">
        <v>845</v>
      </c>
      <c r="I1" s="212" t="s">
        <v>846</v>
      </c>
    </row>
    <row r="2" spans="1:10">
      <c r="A2" s="212">
        <v>0</v>
      </c>
      <c r="B2" s="212">
        <v>0</v>
      </c>
      <c r="C2" s="212">
        <v>0</v>
      </c>
      <c r="D2" s="212">
        <v>0</v>
      </c>
      <c r="E2" s="212">
        <v>0</v>
      </c>
      <c r="F2" s="212">
        <v>0</v>
      </c>
      <c r="G2" s="212">
        <v>0</v>
      </c>
      <c r="H2" s="212">
        <v>0</v>
      </c>
      <c r="I2" s="212">
        <f>123960+999</f>
        <v>124959</v>
      </c>
    </row>
    <row r="3" spans="1:10" s="242" customFormat="1">
      <c r="A3" s="242">
        <v>1</v>
      </c>
      <c r="B3" s="344">
        <v>43221</v>
      </c>
      <c r="C3" s="242">
        <v>2.59</v>
      </c>
      <c r="D3" s="242" t="s">
        <v>847</v>
      </c>
      <c r="E3" s="242">
        <v>452.77</v>
      </c>
      <c r="F3" s="242">
        <v>452.77</v>
      </c>
      <c r="G3" s="242">
        <v>269.7</v>
      </c>
      <c r="H3" s="242">
        <v>183.07</v>
      </c>
      <c r="I3" s="242">
        <v>124775.93</v>
      </c>
      <c r="J3" s="345"/>
    </row>
    <row r="4" spans="1:10">
      <c r="A4">
        <v>2</v>
      </c>
      <c r="B4" s="248">
        <v>43252</v>
      </c>
      <c r="C4">
        <v>2.59</v>
      </c>
      <c r="D4" t="s">
        <v>847</v>
      </c>
      <c r="E4">
        <v>452.77</v>
      </c>
      <c r="F4">
        <f>F3+E4</f>
        <v>905.54</v>
      </c>
    </row>
    <row r="5" spans="1:10">
      <c r="A5">
        <v>3</v>
      </c>
      <c r="B5" s="248">
        <v>43282</v>
      </c>
      <c r="C5">
        <v>2.59</v>
      </c>
      <c r="D5" t="s">
        <v>847</v>
      </c>
      <c r="E5">
        <v>452.77</v>
      </c>
      <c r="F5">
        <f>F4+E5</f>
        <v>1358.31</v>
      </c>
    </row>
    <row r="6" spans="1:10">
      <c r="A6">
        <v>4</v>
      </c>
      <c r="B6" s="248">
        <v>43313</v>
      </c>
      <c r="C6">
        <v>2.59</v>
      </c>
      <c r="D6" t="s">
        <v>847</v>
      </c>
      <c r="E6">
        <v>452.77</v>
      </c>
      <c r="F6">
        <f t="shared" ref="F6:F56" si="0">F5+E6</f>
        <v>1811.08</v>
      </c>
    </row>
    <row r="7" spans="1:10">
      <c r="A7">
        <v>5</v>
      </c>
      <c r="B7" s="248">
        <v>43344</v>
      </c>
      <c r="C7">
        <v>2.59</v>
      </c>
      <c r="D7" t="s">
        <v>847</v>
      </c>
      <c r="E7">
        <v>452.77</v>
      </c>
      <c r="F7">
        <f t="shared" si="0"/>
        <v>2263.85</v>
      </c>
    </row>
    <row r="8" spans="1:10">
      <c r="A8">
        <v>6</v>
      </c>
      <c r="B8" s="248">
        <v>43374</v>
      </c>
      <c r="C8">
        <v>2.59</v>
      </c>
      <c r="D8" t="s">
        <v>847</v>
      </c>
      <c r="E8">
        <v>452.77</v>
      </c>
      <c r="F8">
        <f t="shared" si="0"/>
        <v>2716.62</v>
      </c>
    </row>
    <row r="9" spans="1:10">
      <c r="A9">
        <v>7</v>
      </c>
      <c r="B9" s="248">
        <v>43405</v>
      </c>
      <c r="C9">
        <v>2.59</v>
      </c>
      <c r="D9" t="s">
        <v>847</v>
      </c>
      <c r="E9">
        <v>452.77</v>
      </c>
      <c r="F9">
        <f t="shared" si="0"/>
        <v>3169.39</v>
      </c>
    </row>
    <row r="10" spans="1:10">
      <c r="A10">
        <v>8</v>
      </c>
      <c r="B10" s="248">
        <v>43435</v>
      </c>
      <c r="C10">
        <v>2.59</v>
      </c>
      <c r="D10" t="s">
        <v>847</v>
      </c>
      <c r="E10">
        <v>452.77</v>
      </c>
      <c r="F10">
        <f t="shared" si="0"/>
        <v>3622.16</v>
      </c>
    </row>
    <row r="11" spans="1:10">
      <c r="A11">
        <v>9</v>
      </c>
      <c r="B11" s="248">
        <v>43466</v>
      </c>
      <c r="C11">
        <v>2.59</v>
      </c>
      <c r="D11" t="s">
        <v>847</v>
      </c>
      <c r="E11">
        <v>452.77</v>
      </c>
      <c r="F11">
        <f t="shared" si="0"/>
        <v>4074.93</v>
      </c>
    </row>
    <row r="12" spans="1:10">
      <c r="A12">
        <v>10</v>
      </c>
      <c r="B12" s="248">
        <v>43497</v>
      </c>
      <c r="C12">
        <v>2.59</v>
      </c>
      <c r="D12" t="s">
        <v>847</v>
      </c>
      <c r="E12">
        <v>452.77</v>
      </c>
      <c r="F12">
        <f t="shared" si="0"/>
        <v>4527.7</v>
      </c>
    </row>
    <row r="13" spans="1:10">
      <c r="A13">
        <v>11</v>
      </c>
      <c r="B13" s="248">
        <v>43525</v>
      </c>
      <c r="C13">
        <v>2.59</v>
      </c>
      <c r="D13" t="s">
        <v>847</v>
      </c>
      <c r="E13">
        <v>452.77</v>
      </c>
      <c r="F13">
        <f t="shared" si="0"/>
        <v>4980.4699999999993</v>
      </c>
    </row>
    <row r="14" spans="1:10">
      <c r="A14">
        <v>12</v>
      </c>
      <c r="B14" s="248">
        <v>43556</v>
      </c>
      <c r="C14">
        <v>2.59</v>
      </c>
      <c r="D14" t="s">
        <v>847</v>
      </c>
      <c r="E14">
        <v>452.77</v>
      </c>
      <c r="F14">
        <f t="shared" si="0"/>
        <v>5433.24</v>
      </c>
    </row>
    <row r="15" spans="1:10" s="242" customFormat="1">
      <c r="A15" s="242">
        <v>13</v>
      </c>
      <c r="B15" s="344">
        <v>43586</v>
      </c>
      <c r="C15" s="242">
        <v>2.59</v>
      </c>
      <c r="D15" s="242" t="s">
        <v>847</v>
      </c>
      <c r="E15" s="242">
        <v>452.77</v>
      </c>
      <c r="F15" s="242">
        <f t="shared" si="0"/>
        <v>5886.01</v>
      </c>
      <c r="G15" s="242">
        <v>3475.08</v>
      </c>
      <c r="H15" s="242">
        <v>2410.9699999999998</v>
      </c>
      <c r="I15" s="242">
        <v>122548.03</v>
      </c>
    </row>
    <row r="16" spans="1:10">
      <c r="A16">
        <v>14</v>
      </c>
      <c r="B16" s="248">
        <v>43617</v>
      </c>
      <c r="C16">
        <v>2.59</v>
      </c>
      <c r="D16" t="s">
        <v>847</v>
      </c>
      <c r="E16">
        <v>452.77</v>
      </c>
      <c r="F16">
        <f t="shared" si="0"/>
        <v>6338.7800000000007</v>
      </c>
    </row>
    <row r="17" spans="1:10">
      <c r="A17">
        <v>15</v>
      </c>
      <c r="B17" s="248">
        <v>43647</v>
      </c>
      <c r="C17">
        <v>2.59</v>
      </c>
      <c r="D17" t="s">
        <v>847</v>
      </c>
      <c r="E17">
        <v>452.77</v>
      </c>
      <c r="F17">
        <f t="shared" si="0"/>
        <v>6791.5500000000011</v>
      </c>
    </row>
    <row r="18" spans="1:10">
      <c r="A18">
        <v>16</v>
      </c>
      <c r="B18" s="248">
        <v>43678</v>
      </c>
      <c r="C18">
        <v>2.59</v>
      </c>
      <c r="D18" t="s">
        <v>847</v>
      </c>
      <c r="E18">
        <v>452.77</v>
      </c>
      <c r="F18">
        <f t="shared" si="0"/>
        <v>7244.3200000000015</v>
      </c>
    </row>
    <row r="19" spans="1:10">
      <c r="A19">
        <v>17</v>
      </c>
      <c r="B19" s="248">
        <v>43709</v>
      </c>
      <c r="C19">
        <v>2.59</v>
      </c>
      <c r="D19" t="s">
        <v>847</v>
      </c>
      <c r="E19">
        <v>452.77</v>
      </c>
      <c r="F19">
        <f t="shared" si="0"/>
        <v>7697.090000000002</v>
      </c>
    </row>
    <row r="20" spans="1:10">
      <c r="A20">
        <v>18</v>
      </c>
      <c r="B20" s="248">
        <v>43739</v>
      </c>
      <c r="C20">
        <v>2.59</v>
      </c>
      <c r="D20" t="s">
        <v>847</v>
      </c>
      <c r="E20">
        <v>452.77</v>
      </c>
      <c r="F20">
        <f t="shared" si="0"/>
        <v>8149.8600000000024</v>
      </c>
    </row>
    <row r="21" spans="1:10">
      <c r="A21">
        <v>19</v>
      </c>
      <c r="B21" s="248">
        <v>43770</v>
      </c>
      <c r="C21">
        <v>2.59</v>
      </c>
      <c r="D21" t="s">
        <v>847</v>
      </c>
      <c r="E21">
        <v>452.77</v>
      </c>
      <c r="F21">
        <f t="shared" si="0"/>
        <v>8602.6300000000028</v>
      </c>
    </row>
    <row r="22" spans="1:10">
      <c r="A22">
        <v>20</v>
      </c>
      <c r="B22" s="248">
        <v>43800</v>
      </c>
      <c r="C22">
        <v>2.59</v>
      </c>
      <c r="D22" t="s">
        <v>847</v>
      </c>
      <c r="E22">
        <v>452.77</v>
      </c>
      <c r="F22">
        <f t="shared" si="0"/>
        <v>9055.4000000000033</v>
      </c>
    </row>
    <row r="23" spans="1:10">
      <c r="A23">
        <v>21</v>
      </c>
      <c r="B23" s="248">
        <v>43831</v>
      </c>
      <c r="C23">
        <v>2.59</v>
      </c>
      <c r="D23" t="s">
        <v>847</v>
      </c>
      <c r="E23">
        <v>452.77</v>
      </c>
      <c r="F23">
        <f t="shared" si="0"/>
        <v>9508.1700000000037</v>
      </c>
    </row>
    <row r="24" spans="1:10">
      <c r="A24">
        <v>22</v>
      </c>
      <c r="B24" s="248">
        <v>43862</v>
      </c>
      <c r="C24">
        <v>2.59</v>
      </c>
      <c r="D24" t="s">
        <v>847</v>
      </c>
      <c r="E24">
        <v>452.77</v>
      </c>
      <c r="F24">
        <f t="shared" si="0"/>
        <v>9960.9400000000041</v>
      </c>
    </row>
    <row r="25" spans="1:10">
      <c r="A25">
        <v>23</v>
      </c>
      <c r="B25" s="248">
        <v>43891</v>
      </c>
      <c r="C25">
        <v>2.59</v>
      </c>
      <c r="D25" t="s">
        <v>847</v>
      </c>
      <c r="E25">
        <v>452.77</v>
      </c>
      <c r="F25">
        <f t="shared" si="0"/>
        <v>10413.710000000005</v>
      </c>
    </row>
    <row r="26" spans="1:10">
      <c r="A26">
        <v>24</v>
      </c>
      <c r="B26" s="248">
        <v>43922</v>
      </c>
      <c r="C26">
        <v>2.59</v>
      </c>
      <c r="D26" t="s">
        <v>847</v>
      </c>
      <c r="E26">
        <v>452.77</v>
      </c>
      <c r="F26">
        <f t="shared" si="0"/>
        <v>10866.480000000005</v>
      </c>
    </row>
    <row r="27" spans="1:10" s="242" customFormat="1">
      <c r="A27" s="242">
        <v>25</v>
      </c>
      <c r="B27" s="344">
        <v>43952</v>
      </c>
      <c r="C27" s="242">
        <v>2.59</v>
      </c>
      <c r="D27" s="242" t="s">
        <v>847</v>
      </c>
      <c r="E27" s="242">
        <v>452.77</v>
      </c>
      <c r="F27" s="242">
        <f t="shared" si="0"/>
        <v>11319.250000000005</v>
      </c>
      <c r="G27" s="242">
        <v>6622.06</v>
      </c>
      <c r="H27" s="242">
        <v>4697.2700000000004</v>
      </c>
      <c r="I27" s="242">
        <v>120261.73</v>
      </c>
      <c r="J27" s="242">
        <f>(I27-I39)/12</f>
        <v>195.51833333333343</v>
      </c>
    </row>
    <row r="28" spans="1:10">
      <c r="A28">
        <v>26</v>
      </c>
      <c r="B28" s="248">
        <v>43983</v>
      </c>
      <c r="C28">
        <v>2.59</v>
      </c>
      <c r="D28" t="s">
        <v>847</v>
      </c>
      <c r="E28">
        <v>452.77</v>
      </c>
      <c r="F28">
        <f t="shared" si="0"/>
        <v>11772.020000000006</v>
      </c>
      <c r="I28">
        <f>I27-$J$27</f>
        <v>120066.21166666667</v>
      </c>
    </row>
    <row r="29" spans="1:10">
      <c r="A29">
        <v>27</v>
      </c>
      <c r="B29" s="248">
        <v>44013</v>
      </c>
      <c r="C29">
        <v>2.59</v>
      </c>
      <c r="D29" t="s">
        <v>847</v>
      </c>
      <c r="E29">
        <v>452.77</v>
      </c>
      <c r="F29">
        <f t="shared" si="0"/>
        <v>12224.790000000006</v>
      </c>
      <c r="I29">
        <f t="shared" ref="I29:I38" si="1">I28-$J$27</f>
        <v>119870.69333333333</v>
      </c>
    </row>
    <row r="30" spans="1:10">
      <c r="A30">
        <v>28</v>
      </c>
      <c r="B30" s="248">
        <v>44044</v>
      </c>
      <c r="C30">
        <v>2.59</v>
      </c>
      <c r="D30" t="s">
        <v>847</v>
      </c>
      <c r="E30">
        <v>452.77</v>
      </c>
      <c r="F30">
        <f t="shared" si="0"/>
        <v>12677.560000000007</v>
      </c>
      <c r="I30">
        <f t="shared" si="1"/>
        <v>119675.17499999999</v>
      </c>
    </row>
    <row r="31" spans="1:10">
      <c r="A31">
        <v>29</v>
      </c>
      <c r="B31" s="248">
        <v>44075</v>
      </c>
      <c r="C31">
        <v>2.59</v>
      </c>
      <c r="D31" t="s">
        <v>847</v>
      </c>
      <c r="E31">
        <v>452.77</v>
      </c>
      <c r="F31">
        <f t="shared" si="0"/>
        <v>13130.330000000007</v>
      </c>
      <c r="I31">
        <f t="shared" si="1"/>
        <v>119479.65666666665</v>
      </c>
    </row>
    <row r="32" spans="1:10">
      <c r="A32">
        <v>30</v>
      </c>
      <c r="B32" s="248">
        <v>44105</v>
      </c>
      <c r="C32">
        <v>2.59</v>
      </c>
      <c r="D32" t="s">
        <v>847</v>
      </c>
      <c r="E32">
        <v>452.77</v>
      </c>
      <c r="F32">
        <f t="shared" si="0"/>
        <v>13583.100000000008</v>
      </c>
      <c r="I32">
        <f t="shared" si="1"/>
        <v>119284.13833333331</v>
      </c>
    </row>
    <row r="33" spans="1:9">
      <c r="A33">
        <v>31</v>
      </c>
      <c r="B33" s="248">
        <v>44136</v>
      </c>
      <c r="C33">
        <v>2.59</v>
      </c>
      <c r="D33" t="s">
        <v>847</v>
      </c>
      <c r="E33">
        <v>452.77</v>
      </c>
      <c r="F33">
        <f t="shared" si="0"/>
        <v>14035.870000000008</v>
      </c>
      <c r="I33">
        <f t="shared" si="1"/>
        <v>119088.61999999997</v>
      </c>
    </row>
    <row r="34" spans="1:9">
      <c r="A34">
        <v>32</v>
      </c>
      <c r="B34" s="248">
        <v>44166</v>
      </c>
      <c r="C34">
        <v>2.59</v>
      </c>
      <c r="D34" t="s">
        <v>847</v>
      </c>
      <c r="E34">
        <v>452.77</v>
      </c>
      <c r="F34">
        <f t="shared" si="0"/>
        <v>14488.640000000009</v>
      </c>
      <c r="I34">
        <f t="shared" si="1"/>
        <v>118893.10166666663</v>
      </c>
    </row>
    <row r="35" spans="1:9">
      <c r="A35">
        <v>33</v>
      </c>
      <c r="B35" s="248">
        <v>44197</v>
      </c>
      <c r="C35">
        <v>2.59</v>
      </c>
      <c r="D35" t="s">
        <v>847</v>
      </c>
      <c r="E35">
        <v>452.77</v>
      </c>
      <c r="F35">
        <f t="shared" si="0"/>
        <v>14941.410000000009</v>
      </c>
      <c r="I35">
        <f t="shared" si="1"/>
        <v>118697.58333333328</v>
      </c>
    </row>
    <row r="36" spans="1:9">
      <c r="A36">
        <v>34</v>
      </c>
      <c r="B36" s="248">
        <v>44228</v>
      </c>
      <c r="C36">
        <v>2.59</v>
      </c>
      <c r="D36" t="s">
        <v>847</v>
      </c>
      <c r="E36">
        <v>452.77</v>
      </c>
      <c r="F36">
        <f t="shared" si="0"/>
        <v>15394.180000000009</v>
      </c>
      <c r="I36">
        <f t="shared" si="1"/>
        <v>118502.06499999994</v>
      </c>
    </row>
    <row r="37" spans="1:9">
      <c r="A37">
        <v>35</v>
      </c>
      <c r="B37" s="248">
        <v>44256</v>
      </c>
      <c r="C37">
        <v>2.59</v>
      </c>
      <c r="D37" t="s">
        <v>847</v>
      </c>
      <c r="E37">
        <v>452.77</v>
      </c>
      <c r="F37">
        <f t="shared" si="0"/>
        <v>15846.95000000001</v>
      </c>
      <c r="I37">
        <f t="shared" si="1"/>
        <v>118306.5466666666</v>
      </c>
    </row>
    <row r="38" spans="1:9">
      <c r="A38">
        <v>36</v>
      </c>
      <c r="B38" s="248">
        <v>44287</v>
      </c>
      <c r="C38">
        <v>2.59</v>
      </c>
      <c r="D38" t="s">
        <v>847</v>
      </c>
      <c r="E38">
        <v>452.77</v>
      </c>
      <c r="F38">
        <f t="shared" si="0"/>
        <v>16299.72000000001</v>
      </c>
      <c r="I38">
        <f t="shared" si="1"/>
        <v>118111.02833333326</v>
      </c>
    </row>
    <row r="39" spans="1:9" s="242" customFormat="1">
      <c r="A39" s="242">
        <v>37</v>
      </c>
      <c r="B39" s="344">
        <v>44317</v>
      </c>
      <c r="C39" s="242">
        <v>2.59</v>
      </c>
      <c r="D39" s="242" t="s">
        <v>847</v>
      </c>
      <c r="E39" s="242">
        <v>452.77</v>
      </c>
      <c r="F39" s="242">
        <f t="shared" si="0"/>
        <v>16752.490000000009</v>
      </c>
      <c r="G39" s="242">
        <v>9709.11</v>
      </c>
      <c r="H39" s="242">
        <v>7043.49</v>
      </c>
      <c r="I39" s="242">
        <v>117915.51</v>
      </c>
    </row>
    <row r="40" spans="1:9">
      <c r="A40">
        <v>38</v>
      </c>
      <c r="B40" s="248">
        <v>44348</v>
      </c>
      <c r="C40">
        <v>2.59</v>
      </c>
      <c r="D40" t="s">
        <v>847</v>
      </c>
      <c r="E40">
        <v>452.77</v>
      </c>
      <c r="F40">
        <f t="shared" si="0"/>
        <v>17205.260000000009</v>
      </c>
    </row>
    <row r="41" spans="1:9">
      <c r="A41">
        <v>39</v>
      </c>
      <c r="B41" s="248">
        <v>44378</v>
      </c>
      <c r="C41">
        <v>2.59</v>
      </c>
      <c r="D41" t="s">
        <v>847</v>
      </c>
      <c r="E41">
        <v>452.77</v>
      </c>
      <c r="F41">
        <f t="shared" si="0"/>
        <v>17658.03000000001</v>
      </c>
    </row>
    <row r="42" spans="1:9">
      <c r="A42">
        <v>40</v>
      </c>
      <c r="B42" s="248">
        <v>44409</v>
      </c>
      <c r="C42">
        <v>2.59</v>
      </c>
      <c r="D42" t="s">
        <v>847</v>
      </c>
      <c r="E42">
        <v>452.77</v>
      </c>
      <c r="F42">
        <f t="shared" si="0"/>
        <v>18110.80000000001</v>
      </c>
    </row>
    <row r="43" spans="1:9">
      <c r="A43">
        <v>41</v>
      </c>
      <c r="B43" s="248">
        <v>44440</v>
      </c>
      <c r="C43">
        <v>2.59</v>
      </c>
      <c r="D43" t="s">
        <v>847</v>
      </c>
      <c r="E43">
        <v>452.77</v>
      </c>
      <c r="F43">
        <f t="shared" si="0"/>
        <v>18563.570000000011</v>
      </c>
    </row>
    <row r="44" spans="1:9">
      <c r="A44">
        <v>42</v>
      </c>
      <c r="B44" s="248">
        <v>44470</v>
      </c>
      <c r="C44">
        <v>2.59</v>
      </c>
      <c r="D44" t="s">
        <v>847</v>
      </c>
      <c r="E44">
        <v>452.77</v>
      </c>
      <c r="F44">
        <f t="shared" si="0"/>
        <v>19016.340000000011</v>
      </c>
    </row>
    <row r="45" spans="1:9">
      <c r="A45">
        <v>43</v>
      </c>
      <c r="B45" s="248">
        <v>44501</v>
      </c>
      <c r="C45">
        <v>2.59</v>
      </c>
      <c r="D45" t="s">
        <v>847</v>
      </c>
      <c r="E45">
        <v>452.77</v>
      </c>
      <c r="F45">
        <f t="shared" si="0"/>
        <v>19469.110000000011</v>
      </c>
    </row>
    <row r="46" spans="1:9">
      <c r="A46">
        <v>44</v>
      </c>
      <c r="B46" s="248">
        <v>44531</v>
      </c>
      <c r="C46">
        <v>2.59</v>
      </c>
      <c r="D46" t="s">
        <v>847</v>
      </c>
      <c r="E46">
        <v>452.77</v>
      </c>
      <c r="F46">
        <f t="shared" si="0"/>
        <v>19921.880000000012</v>
      </c>
    </row>
    <row r="47" spans="1:9">
      <c r="A47">
        <v>45</v>
      </c>
      <c r="B47" s="248">
        <v>44562</v>
      </c>
      <c r="C47">
        <v>2.59</v>
      </c>
      <c r="D47" t="s">
        <v>847</v>
      </c>
      <c r="E47">
        <v>452.77</v>
      </c>
      <c r="F47">
        <f t="shared" si="0"/>
        <v>20374.650000000012</v>
      </c>
    </row>
    <row r="48" spans="1:9">
      <c r="A48">
        <v>46</v>
      </c>
      <c r="B48" s="248">
        <v>44593</v>
      </c>
      <c r="C48">
        <v>2.59</v>
      </c>
      <c r="D48" t="s">
        <v>847</v>
      </c>
      <c r="E48">
        <v>452.77</v>
      </c>
      <c r="F48">
        <f t="shared" si="0"/>
        <v>20827.420000000013</v>
      </c>
    </row>
    <row r="49" spans="1:9">
      <c r="A49">
        <v>47</v>
      </c>
      <c r="B49" s="248">
        <v>44621</v>
      </c>
      <c r="C49">
        <v>2.59</v>
      </c>
      <c r="D49" t="s">
        <v>847</v>
      </c>
      <c r="E49">
        <v>452.77</v>
      </c>
      <c r="F49">
        <f t="shared" si="0"/>
        <v>21280.190000000013</v>
      </c>
    </row>
    <row r="50" spans="1:9">
      <c r="A50">
        <v>48</v>
      </c>
      <c r="B50" s="248">
        <v>44652</v>
      </c>
      <c r="C50">
        <v>2.59</v>
      </c>
      <c r="D50" t="s">
        <v>847</v>
      </c>
      <c r="E50">
        <v>452.77</v>
      </c>
      <c r="F50">
        <f t="shared" si="0"/>
        <v>21732.960000000014</v>
      </c>
    </row>
    <row r="51" spans="1:9" s="242" customFormat="1">
      <c r="A51" s="242">
        <v>49</v>
      </c>
      <c r="B51" s="344">
        <v>44682</v>
      </c>
      <c r="C51" s="242">
        <v>2.59</v>
      </c>
      <c r="D51" s="242" t="s">
        <v>847</v>
      </c>
      <c r="E51" s="242">
        <v>452.77</v>
      </c>
      <c r="F51" s="242">
        <f t="shared" si="0"/>
        <v>22185.730000000014</v>
      </c>
      <c r="G51" s="242">
        <v>12734.68</v>
      </c>
      <c r="H51" s="242">
        <v>9451.2000000000007</v>
      </c>
      <c r="I51" s="242">
        <v>115507.8</v>
      </c>
    </row>
    <row r="52" spans="1:9">
      <c r="A52">
        <v>50</v>
      </c>
      <c r="B52" s="248">
        <v>44713</v>
      </c>
      <c r="C52">
        <v>2.59</v>
      </c>
      <c r="D52" t="s">
        <v>847</v>
      </c>
      <c r="E52">
        <v>452.77</v>
      </c>
      <c r="F52">
        <f t="shared" si="0"/>
        <v>22638.500000000015</v>
      </c>
    </row>
    <row r="53" spans="1:9">
      <c r="A53">
        <v>51</v>
      </c>
      <c r="B53" s="248">
        <v>44743</v>
      </c>
      <c r="C53">
        <v>2.59</v>
      </c>
      <c r="D53" t="s">
        <v>847</v>
      </c>
      <c r="E53">
        <v>452.77</v>
      </c>
      <c r="F53">
        <f t="shared" si="0"/>
        <v>23091.270000000015</v>
      </c>
    </row>
    <row r="54" spans="1:9">
      <c r="A54">
        <v>52</v>
      </c>
      <c r="B54" s="248">
        <v>44774</v>
      </c>
      <c r="C54">
        <v>2.59</v>
      </c>
      <c r="D54" t="s">
        <v>847</v>
      </c>
      <c r="E54">
        <v>452.77</v>
      </c>
      <c r="F54">
        <f t="shared" si="0"/>
        <v>23544.040000000015</v>
      </c>
    </row>
    <row r="55" spans="1:9">
      <c r="A55">
        <v>53</v>
      </c>
      <c r="B55" s="248">
        <v>44805</v>
      </c>
      <c r="C55">
        <v>2.59</v>
      </c>
      <c r="D55" t="s">
        <v>847</v>
      </c>
      <c r="E55">
        <v>452.77</v>
      </c>
      <c r="F55">
        <f t="shared" si="0"/>
        <v>23996.810000000016</v>
      </c>
    </row>
    <row r="56" spans="1:9">
      <c r="A56">
        <v>54</v>
      </c>
      <c r="B56" s="248">
        <v>44835</v>
      </c>
      <c r="C56">
        <v>2.59</v>
      </c>
      <c r="D56" t="s">
        <v>847</v>
      </c>
      <c r="E56">
        <v>452.77</v>
      </c>
      <c r="F56">
        <f t="shared" si="0"/>
        <v>24449.580000000016</v>
      </c>
    </row>
    <row r="57" spans="1:9">
      <c r="A57">
        <v>55</v>
      </c>
      <c r="B57" s="248">
        <v>44866</v>
      </c>
      <c r="C57">
        <v>2.59</v>
      </c>
      <c r="D57" t="s">
        <v>847</v>
      </c>
      <c r="E57">
        <v>452.77</v>
      </c>
      <c r="F57">
        <f>F56+E57</f>
        <v>24902.350000000017</v>
      </c>
    </row>
    <row r="58" spans="1:9">
      <c r="A58">
        <v>56</v>
      </c>
      <c r="B58" s="248">
        <v>44896</v>
      </c>
      <c r="C58">
        <v>2.59</v>
      </c>
      <c r="D58" t="s">
        <v>847</v>
      </c>
      <c r="E58">
        <v>452.77</v>
      </c>
      <c r="F58">
        <f>F57+E58</f>
        <v>25355.120000000017</v>
      </c>
    </row>
    <row r="59" spans="1:9">
      <c r="A59">
        <v>57</v>
      </c>
      <c r="B59" s="248">
        <v>44927</v>
      </c>
      <c r="C59">
        <v>2.59</v>
      </c>
      <c r="D59" t="s">
        <v>847</v>
      </c>
      <c r="E59">
        <v>452.77</v>
      </c>
      <c r="F59">
        <f t="shared" ref="F59:F63" si="2">F58+E59</f>
        <v>25807.890000000018</v>
      </c>
    </row>
    <row r="60" spans="1:9">
      <c r="A60">
        <v>58</v>
      </c>
      <c r="B60" s="248">
        <v>44958</v>
      </c>
      <c r="C60">
        <v>2.59</v>
      </c>
      <c r="D60" t="s">
        <v>847</v>
      </c>
      <c r="E60">
        <v>452.77</v>
      </c>
      <c r="F60">
        <f t="shared" si="2"/>
        <v>26260.660000000018</v>
      </c>
    </row>
    <row r="61" spans="1:9">
      <c r="A61">
        <v>59</v>
      </c>
      <c r="B61" s="248">
        <v>44986</v>
      </c>
      <c r="C61">
        <v>2.59</v>
      </c>
      <c r="D61" t="s">
        <v>847</v>
      </c>
      <c r="E61">
        <v>452.77</v>
      </c>
      <c r="F61">
        <f t="shared" si="2"/>
        <v>26713.430000000018</v>
      </c>
    </row>
    <row r="62" spans="1:9">
      <c r="A62">
        <v>60</v>
      </c>
      <c r="B62" s="248">
        <v>45017</v>
      </c>
      <c r="C62">
        <v>2.59</v>
      </c>
      <c r="D62" t="s">
        <v>847</v>
      </c>
      <c r="E62">
        <v>452.77</v>
      </c>
      <c r="F62">
        <f t="shared" si="2"/>
        <v>27166.200000000019</v>
      </c>
    </row>
    <row r="63" spans="1:9">
      <c r="A63" s="242">
        <v>61</v>
      </c>
      <c r="B63" s="344">
        <v>45047</v>
      </c>
      <c r="C63" s="242">
        <v>2.59</v>
      </c>
      <c r="D63" s="242" t="s">
        <v>847</v>
      </c>
      <c r="E63" s="242">
        <v>452.77</v>
      </c>
      <c r="F63" s="242">
        <f t="shared" si="2"/>
        <v>27618.970000000019</v>
      </c>
      <c r="G63" s="242">
        <v>15697.14</v>
      </c>
      <c r="H63" s="242">
        <v>11922.02</v>
      </c>
      <c r="I63" s="242">
        <v>113036.98</v>
      </c>
    </row>
    <row r="65" spans="1:1">
      <c r="A65" t="s">
        <v>848</v>
      </c>
    </row>
    <row r="66" spans="1:1">
      <c r="A66" t="s">
        <v>849</v>
      </c>
    </row>
    <row r="67" spans="1:1">
      <c r="A67" t="s">
        <v>98</v>
      </c>
    </row>
    <row r="68" spans="1:1">
      <c r="A68">
        <f>I63-20000</f>
        <v>93036.98</v>
      </c>
    </row>
  </sheetData>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D77A-BA55-7546-8DFE-B4BB7820C4B6}">
  <dimension ref="A1:W97"/>
  <sheetViews>
    <sheetView topLeftCell="A2" workbookViewId="0">
      <selection activeCell="L81" sqref="L81"/>
    </sheetView>
  </sheetViews>
  <sheetFormatPr defaultColWidth="11.44140625" defaultRowHeight="14.4"/>
  <cols>
    <col min="3" max="3" width="17.44140625" customWidth="1"/>
    <col min="5" max="5" width="14.44140625" customWidth="1"/>
    <col min="15" max="15" width="14" customWidth="1"/>
    <col min="16" max="16" width="16.6640625" customWidth="1"/>
  </cols>
  <sheetData>
    <row r="1" spans="1:23">
      <c r="A1" s="7" t="s">
        <v>1546</v>
      </c>
      <c r="B1" s="7" t="s">
        <v>840</v>
      </c>
      <c r="C1" s="7" t="s">
        <v>1547</v>
      </c>
      <c r="F1" s="726" t="s">
        <v>1620</v>
      </c>
      <c r="G1" s="726"/>
      <c r="H1" s="726"/>
      <c r="I1" s="726"/>
      <c r="J1" s="726"/>
      <c r="N1" s="726" t="s">
        <v>1728</v>
      </c>
      <c r="O1" s="726"/>
      <c r="P1" s="726"/>
      <c r="Q1" s="726"/>
      <c r="R1" s="726"/>
      <c r="U1" t="s">
        <v>650</v>
      </c>
      <c r="V1" t="s">
        <v>678</v>
      </c>
      <c r="W1" t="s">
        <v>664</v>
      </c>
    </row>
    <row r="2" spans="1:23" ht="15.6">
      <c r="A2" s="464" t="s">
        <v>1543</v>
      </c>
      <c r="B2" s="79">
        <v>1.77E-2</v>
      </c>
      <c r="C2" s="79">
        <f>SUM(C12:C23)*B2</f>
        <v>3369.1950000000002</v>
      </c>
      <c r="F2" t="s">
        <v>1623</v>
      </c>
      <c r="G2" t="s">
        <v>1624</v>
      </c>
      <c r="H2" t="s">
        <v>1622</v>
      </c>
      <c r="I2" t="s">
        <v>1621</v>
      </c>
      <c r="J2" t="s">
        <v>131</v>
      </c>
      <c r="K2" t="s">
        <v>1625</v>
      </c>
      <c r="L2" t="s">
        <v>1862</v>
      </c>
      <c r="N2" t="s">
        <v>1899</v>
      </c>
      <c r="O2" t="s">
        <v>1900</v>
      </c>
      <c r="P2" t="s">
        <v>1901</v>
      </c>
      <c r="Q2" t="s">
        <v>1902</v>
      </c>
      <c r="R2" t="s">
        <v>1903</v>
      </c>
      <c r="U2">
        <v>78000</v>
      </c>
      <c r="V2">
        <v>6500</v>
      </c>
      <c r="W2">
        <v>16500</v>
      </c>
    </row>
    <row r="3" spans="1:23">
      <c r="A3" s="405" t="s">
        <v>1544</v>
      </c>
      <c r="B3" s="463">
        <v>9.1999999999999998E-3</v>
      </c>
      <c r="C3" s="79">
        <f>SUM(C12:C23)*B3</f>
        <v>1751.22</v>
      </c>
      <c r="D3">
        <f>C3/12</f>
        <v>145.935</v>
      </c>
      <c r="F3">
        <v>5000</v>
      </c>
      <c r="G3">
        <v>2662</v>
      </c>
      <c r="H3">
        <v>10</v>
      </c>
      <c r="I3">
        <v>1.5</v>
      </c>
      <c r="J3">
        <v>100000</v>
      </c>
      <c r="K3">
        <f>J3*B2</f>
        <v>1770</v>
      </c>
      <c r="L3">
        <f>J3*B3</f>
        <v>920</v>
      </c>
      <c r="N3" t="s">
        <v>1374</v>
      </c>
      <c r="O3" s="77">
        <v>45505</v>
      </c>
      <c r="P3">
        <v>25000</v>
      </c>
      <c r="R3">
        <f>P3-Q3</f>
        <v>25000</v>
      </c>
      <c r="V3">
        <v>556</v>
      </c>
      <c r="W3">
        <v>25000</v>
      </c>
    </row>
    <row r="4" spans="1:23" ht="15.6">
      <c r="A4" s="464" t="s">
        <v>1545</v>
      </c>
      <c r="B4" s="79">
        <v>9.9000000000000008E-3</v>
      </c>
      <c r="C4" s="79">
        <f>SUM(C12:C23)*B4</f>
        <v>1884.4650000000001</v>
      </c>
      <c r="F4">
        <f>(7700/1.5)</f>
        <v>5133.333333333333</v>
      </c>
      <c r="G4">
        <v>0</v>
      </c>
      <c r="H4">
        <v>0</v>
      </c>
      <c r="I4">
        <v>1.5</v>
      </c>
      <c r="J4">
        <v>6500</v>
      </c>
      <c r="K4">
        <f>J4*B2</f>
        <v>115.05</v>
      </c>
      <c r="L4">
        <f>J4*B3</f>
        <v>59.8</v>
      </c>
      <c r="N4" t="s">
        <v>887</v>
      </c>
      <c r="O4" s="77">
        <v>45505</v>
      </c>
      <c r="P4">
        <v>10000</v>
      </c>
      <c r="Q4">
        <v>175</v>
      </c>
      <c r="R4">
        <f>P4-Q4</f>
        <v>9825</v>
      </c>
      <c r="V4">
        <v>2000</v>
      </c>
    </row>
    <row r="5" spans="1:23">
      <c r="J5">
        <v>1330</v>
      </c>
      <c r="K5">
        <f>J5*B2</f>
        <v>23.541</v>
      </c>
      <c r="V5">
        <v>1306</v>
      </c>
    </row>
    <row r="7" spans="1:23">
      <c r="C7" t="s">
        <v>1562</v>
      </c>
      <c r="D7" s="231" t="s">
        <v>1563</v>
      </c>
    </row>
    <row r="8" spans="1:23">
      <c r="C8" t="s">
        <v>1554</v>
      </c>
      <c r="F8" s="231" t="s">
        <v>1561</v>
      </c>
      <c r="G8" s="231"/>
    </row>
    <row r="10" spans="1:23">
      <c r="C10" t="s">
        <v>1553</v>
      </c>
      <c r="D10">
        <f>1500</f>
        <v>1500</v>
      </c>
      <c r="E10" t="s">
        <v>1548</v>
      </c>
    </row>
    <row r="11" spans="1:23">
      <c r="C11">
        <f>D11*3</f>
        <v>6750</v>
      </c>
      <c r="D11">
        <f>D10*1.5</f>
        <v>2250</v>
      </c>
      <c r="E11" t="s">
        <v>1549</v>
      </c>
      <c r="M11" t="s">
        <v>1711</v>
      </c>
    </row>
    <row r="12" spans="1:23">
      <c r="B12">
        <f>C12*B3</f>
        <v>745.19999999999993</v>
      </c>
      <c r="C12">
        <f>C11*12</f>
        <v>81000</v>
      </c>
      <c r="D12">
        <f>D11*12</f>
        <v>27000</v>
      </c>
      <c r="E12" t="s">
        <v>1550</v>
      </c>
      <c r="M12" s="231" t="s">
        <v>1712</v>
      </c>
    </row>
    <row r="13" spans="1:23">
      <c r="K13">
        <f>2800</f>
        <v>2800</v>
      </c>
      <c r="M13" t="s">
        <v>1713</v>
      </c>
    </row>
    <row r="14" spans="1:23">
      <c r="D14">
        <v>2500</v>
      </c>
      <c r="E14" t="s">
        <v>1551</v>
      </c>
      <c r="J14">
        <v>15571</v>
      </c>
      <c r="K14">
        <f>J14*3</f>
        <v>46713</v>
      </c>
      <c r="L14" t="s">
        <v>1570</v>
      </c>
      <c r="M14" s="231" t="s">
        <v>1714</v>
      </c>
    </row>
    <row r="15" spans="1:23">
      <c r="B15">
        <f>C15*B3</f>
        <v>414</v>
      </c>
      <c r="C15">
        <f>D15*3</f>
        <v>45000</v>
      </c>
      <c r="D15">
        <f>(D14*1.5)*4</f>
        <v>15000</v>
      </c>
      <c r="E15" t="s">
        <v>1552</v>
      </c>
      <c r="J15">
        <f>J14*B3</f>
        <v>143.25319999999999</v>
      </c>
      <c r="K15">
        <f>K14*B3</f>
        <v>429.75959999999998</v>
      </c>
      <c r="M15" t="s">
        <v>1391</v>
      </c>
    </row>
    <row r="16" spans="1:23">
      <c r="M16" s="231" t="s">
        <v>1715</v>
      </c>
    </row>
    <row r="17" spans="2:22">
      <c r="D17">
        <v>7000</v>
      </c>
      <c r="E17" t="s">
        <v>1555</v>
      </c>
      <c r="J17" t="s">
        <v>1567</v>
      </c>
      <c r="K17">
        <v>36296</v>
      </c>
      <c r="M17" t="s">
        <v>777</v>
      </c>
    </row>
    <row r="18" spans="2:22">
      <c r="B18">
        <f>C18*B3</f>
        <v>289.8</v>
      </c>
      <c r="C18">
        <f>D18*3</f>
        <v>31500</v>
      </c>
      <c r="D18">
        <f>D17*1.5</f>
        <v>10500</v>
      </c>
      <c r="E18" t="s">
        <v>1556</v>
      </c>
      <c r="J18" t="s">
        <v>1568</v>
      </c>
      <c r="K18">
        <v>8886</v>
      </c>
      <c r="M18" s="231" t="s">
        <v>1716</v>
      </c>
    </row>
    <row r="19" spans="2:22">
      <c r="J19" t="s">
        <v>152</v>
      </c>
      <c r="K19">
        <v>2800</v>
      </c>
    </row>
    <row r="20" spans="2:22">
      <c r="D20">
        <v>2500</v>
      </c>
      <c r="E20" t="s">
        <v>1557</v>
      </c>
      <c r="J20" t="s">
        <v>1569</v>
      </c>
      <c r="K20">
        <v>5242</v>
      </c>
      <c r="O20" s="726" t="s">
        <v>777</v>
      </c>
      <c r="P20" s="726"/>
      <c r="Q20" s="726"/>
      <c r="R20" s="726"/>
      <c r="S20" s="726"/>
      <c r="T20" s="726"/>
      <c r="U20" s="726"/>
    </row>
    <row r="21" spans="2:22">
      <c r="B21">
        <f>C21*B3</f>
        <v>103.5</v>
      </c>
      <c r="C21">
        <f>D21*3</f>
        <v>11250</v>
      </c>
      <c r="D21">
        <f>D20*1.5</f>
        <v>3750</v>
      </c>
      <c r="E21" t="s">
        <v>1556</v>
      </c>
      <c r="O21" t="s">
        <v>678</v>
      </c>
      <c r="P21" t="s">
        <v>1731</v>
      </c>
      <c r="Q21" t="s">
        <v>784</v>
      </c>
      <c r="R21" t="s">
        <v>840</v>
      </c>
      <c r="S21" t="s">
        <v>200</v>
      </c>
      <c r="T21" t="s">
        <v>1733</v>
      </c>
      <c r="U21" t="s">
        <v>1734</v>
      </c>
      <c r="V21" t="s">
        <v>986</v>
      </c>
    </row>
    <row r="22" spans="2:22">
      <c r="J22" t="s">
        <v>1571</v>
      </c>
      <c r="O22" s="513">
        <v>45410</v>
      </c>
      <c r="P22" s="358" t="s">
        <v>1730</v>
      </c>
      <c r="Q22" s="358">
        <v>65</v>
      </c>
      <c r="R22" s="358">
        <v>40</v>
      </c>
      <c r="S22" s="358">
        <f>Q22*R22</f>
        <v>2600</v>
      </c>
      <c r="T22" s="358">
        <v>120</v>
      </c>
      <c r="U22" s="513">
        <f>T22+O22</f>
        <v>45530</v>
      </c>
    </row>
    <row r="23" spans="2:22">
      <c r="B23">
        <f>C23*B3</f>
        <v>198.72</v>
      </c>
      <c r="C23">
        <f>D23*3</f>
        <v>21600</v>
      </c>
      <c r="D23">
        <f>(100*6)*12</f>
        <v>7200</v>
      </c>
      <c r="E23" t="s">
        <v>1558</v>
      </c>
      <c r="J23" t="s">
        <v>1572</v>
      </c>
      <c r="K23">
        <v>1000</v>
      </c>
      <c r="O23" s="513">
        <v>45406</v>
      </c>
      <c r="P23" s="358" t="s">
        <v>1732</v>
      </c>
      <c r="Q23" s="358">
        <v>50</v>
      </c>
      <c r="R23" s="358" t="s">
        <v>150</v>
      </c>
      <c r="S23" s="358">
        <v>900</v>
      </c>
      <c r="T23" s="358">
        <v>5</v>
      </c>
      <c r="U23" s="513">
        <f>T23+O23</f>
        <v>45411</v>
      </c>
    </row>
    <row r="24" spans="2:22">
      <c r="C24">
        <f>SUM(C12:C23)+D12+D15+D18+D21+D23</f>
        <v>253800</v>
      </c>
      <c r="K24">
        <f>K23+H25+2000</f>
        <v>3195</v>
      </c>
      <c r="O24" s="77">
        <v>45533</v>
      </c>
      <c r="P24" t="s">
        <v>1955</v>
      </c>
      <c r="Q24">
        <v>125</v>
      </c>
      <c r="R24">
        <v>6</v>
      </c>
      <c r="S24" s="242">
        <f>Q24*R24</f>
        <v>750</v>
      </c>
      <c r="T24">
        <v>120</v>
      </c>
      <c r="U24" s="481">
        <f>T24+O24</f>
        <v>45653</v>
      </c>
    </row>
    <row r="25" spans="2:22">
      <c r="H25">
        <f>195</f>
        <v>195</v>
      </c>
      <c r="O25" s="77">
        <v>45531</v>
      </c>
      <c r="P25" t="s">
        <v>1956</v>
      </c>
      <c r="Q25">
        <v>150</v>
      </c>
      <c r="R25">
        <v>7</v>
      </c>
      <c r="S25" s="242">
        <f>Q25*R25</f>
        <v>1050</v>
      </c>
      <c r="T25">
        <v>120</v>
      </c>
      <c r="U25" s="481">
        <f>T25+O25</f>
        <v>45651</v>
      </c>
    </row>
    <row r="26" spans="2:22">
      <c r="C26" t="s">
        <v>1559</v>
      </c>
      <c r="D26" t="s">
        <v>1560</v>
      </c>
      <c r="J26" t="s">
        <v>1573</v>
      </c>
      <c r="O26" s="77">
        <v>45531</v>
      </c>
      <c r="P26" t="s">
        <v>1957</v>
      </c>
      <c r="Q26">
        <v>125</v>
      </c>
      <c r="R26">
        <v>10</v>
      </c>
      <c r="S26" s="242">
        <f>Q26*R26</f>
        <v>1250</v>
      </c>
      <c r="T26">
        <v>120</v>
      </c>
      <c r="U26" s="481">
        <f>T26+O26</f>
        <v>45651</v>
      </c>
    </row>
    <row r="27" spans="2:22">
      <c r="C27" t="s">
        <v>1400</v>
      </c>
    </row>
    <row r="28" spans="2:22">
      <c r="J28" t="s">
        <v>1728</v>
      </c>
    </row>
    <row r="29" spans="2:22">
      <c r="C29">
        <f>(SUM(C12:C23)+D12)-120000</f>
        <v>97350</v>
      </c>
      <c r="J29" s="42">
        <v>45511</v>
      </c>
      <c r="K29" t="s">
        <v>1574</v>
      </c>
    </row>
    <row r="30" spans="2:22">
      <c r="J30" s="42">
        <v>45505</v>
      </c>
      <c r="K30" t="s">
        <v>1729</v>
      </c>
    </row>
    <row r="31" spans="2:22">
      <c r="B31">
        <v>195</v>
      </c>
      <c r="C31" t="s">
        <v>1564</v>
      </c>
      <c r="D31" t="s">
        <v>1566</v>
      </c>
    </row>
    <row r="32" spans="2:22">
      <c r="B32">
        <f>20*12</f>
        <v>240</v>
      </c>
      <c r="C32" t="s">
        <v>1565</v>
      </c>
    </row>
    <row r="34" spans="2:12">
      <c r="C34" s="726" t="s">
        <v>1704</v>
      </c>
      <c r="D34" s="726"/>
      <c r="E34" s="726"/>
    </row>
    <row r="35" spans="2:12">
      <c r="B35" s="77">
        <v>45600</v>
      </c>
      <c r="C35" t="s">
        <v>1738</v>
      </c>
      <c r="D35" t="s">
        <v>1737</v>
      </c>
      <c r="E35" t="s">
        <v>1705</v>
      </c>
    </row>
    <row r="36" spans="2:12">
      <c r="B36" s="77">
        <v>45569</v>
      </c>
      <c r="C36" t="s">
        <v>1739</v>
      </c>
      <c r="D36" t="s">
        <v>1737</v>
      </c>
    </row>
    <row r="37" spans="2:12">
      <c r="B37" s="77">
        <v>45413</v>
      </c>
      <c r="C37" t="s">
        <v>1706</v>
      </c>
      <c r="D37" t="s">
        <v>1707</v>
      </c>
      <c r="E37" t="s">
        <v>1705</v>
      </c>
    </row>
    <row r="38" spans="2:12">
      <c r="B38" s="77">
        <v>45515</v>
      </c>
      <c r="C38" t="s">
        <v>1216</v>
      </c>
      <c r="D38" t="s">
        <v>1707</v>
      </c>
      <c r="E38" t="s">
        <v>1705</v>
      </c>
      <c r="H38">
        <f>98000</f>
        <v>98000</v>
      </c>
    </row>
    <row r="39" spans="2:12">
      <c r="B39" t="s">
        <v>1710</v>
      </c>
      <c r="C39" t="s">
        <v>1708</v>
      </c>
      <c r="D39" t="s">
        <v>1707</v>
      </c>
      <c r="H39">
        <f>H38-65000</f>
        <v>33000</v>
      </c>
      <c r="K39">
        <v>300</v>
      </c>
    </row>
    <row r="40" spans="2:12">
      <c r="B40" s="77">
        <v>45374</v>
      </c>
      <c r="C40" t="s">
        <v>996</v>
      </c>
      <c r="K40">
        <v>1200</v>
      </c>
    </row>
    <row r="41" spans="2:12">
      <c r="B41" s="77">
        <v>45627</v>
      </c>
      <c r="C41" t="s">
        <v>1709</v>
      </c>
    </row>
    <row r="43" spans="2:12">
      <c r="C43" t="s">
        <v>1735</v>
      </c>
      <c r="D43" t="s">
        <v>1734</v>
      </c>
    </row>
    <row r="44" spans="2:12">
      <c r="C44" t="s">
        <v>1736</v>
      </c>
      <c r="D44" s="77">
        <v>45413</v>
      </c>
    </row>
    <row r="46" spans="2:12">
      <c r="C46">
        <f>1289.89</f>
        <v>1289.8900000000001</v>
      </c>
      <c r="I46" t="s">
        <v>1391</v>
      </c>
      <c r="K46" t="s">
        <v>1724</v>
      </c>
    </row>
    <row r="47" spans="2:12">
      <c r="C47">
        <v>356.02</v>
      </c>
      <c r="G47" t="s">
        <v>1721</v>
      </c>
      <c r="H47">
        <v>300</v>
      </c>
      <c r="I47">
        <f>H47*1.5</f>
        <v>450</v>
      </c>
      <c r="K47">
        <v>4064</v>
      </c>
      <c r="L47">
        <f>K47-SUM(H47:H50)</f>
        <v>1587</v>
      </c>
    </row>
    <row r="48" spans="2:12">
      <c r="C48" t="s">
        <v>1719</v>
      </c>
      <c r="D48" t="s">
        <v>1720</v>
      </c>
      <c r="G48" t="s">
        <v>857</v>
      </c>
      <c r="H48">
        <v>1645</v>
      </c>
      <c r="I48">
        <f>(H48*10)+(H48*1.5)</f>
        <v>18917.5</v>
      </c>
    </row>
    <row r="49" spans="2:14">
      <c r="B49" t="s">
        <v>1717</v>
      </c>
      <c r="C49">
        <f>385*2</f>
        <v>770</v>
      </c>
      <c r="D49">
        <v>618</v>
      </c>
      <c r="G49" t="s">
        <v>1722</v>
      </c>
      <c r="H49">
        <v>465</v>
      </c>
      <c r="I49">
        <f>H49*1.5</f>
        <v>697.5</v>
      </c>
    </row>
    <row r="50" spans="2:14">
      <c r="B50" t="s">
        <v>1718</v>
      </c>
      <c r="C50">
        <f>290*2</f>
        <v>580</v>
      </c>
      <c r="D50">
        <v>465</v>
      </c>
      <c r="G50" t="s">
        <v>935</v>
      </c>
      <c r="H50">
        <v>67</v>
      </c>
      <c r="I50">
        <f>H50*1.5</f>
        <v>100.5</v>
      </c>
      <c r="K50">
        <v>67</v>
      </c>
    </row>
    <row r="51" spans="2:14">
      <c r="G51" t="s">
        <v>1016</v>
      </c>
      <c r="H51">
        <f>(8*10)+(8*35)</f>
        <v>360</v>
      </c>
      <c r="K51">
        <f>(8*10)+(8*35)</f>
        <v>360</v>
      </c>
    </row>
    <row r="52" spans="2:14">
      <c r="C52">
        <f>4.82</f>
        <v>4.82</v>
      </c>
      <c r="E52">
        <v>1645</v>
      </c>
      <c r="G52" t="s">
        <v>864</v>
      </c>
      <c r="H52">
        <v>160</v>
      </c>
      <c r="I52">
        <f>H52*7</f>
        <v>1120</v>
      </c>
      <c r="K52">
        <v>160</v>
      </c>
    </row>
    <row r="53" spans="2:14">
      <c r="C53">
        <f>C52*7</f>
        <v>33.74</v>
      </c>
      <c r="E53">
        <v>790</v>
      </c>
      <c r="G53" t="s">
        <v>1008</v>
      </c>
      <c r="H53">
        <v>60</v>
      </c>
      <c r="I53">
        <f>H53*1.5</f>
        <v>90</v>
      </c>
    </row>
    <row r="54" spans="2:14">
      <c r="C54">
        <f>C53*2</f>
        <v>67.48</v>
      </c>
      <c r="E54">
        <f>SUM(E52:E53)+C54+300</f>
        <v>2802.48</v>
      </c>
      <c r="G54" t="s">
        <v>1723</v>
      </c>
      <c r="I54">
        <f>(H54*10)+H54*1.5</f>
        <v>0</v>
      </c>
    </row>
    <row r="55" spans="2:14">
      <c r="G55" t="s">
        <v>1725</v>
      </c>
      <c r="H55">
        <v>1000</v>
      </c>
      <c r="K55">
        <v>1000</v>
      </c>
    </row>
    <row r="56" spans="2:14">
      <c r="E56">
        <f>2304-E52</f>
        <v>659</v>
      </c>
    </row>
    <row r="58" spans="2:14" ht="15.6">
      <c r="E58">
        <v>16450</v>
      </c>
      <c r="H58" s="726" t="s">
        <v>1864</v>
      </c>
      <c r="I58" s="726"/>
      <c r="J58" s="726"/>
      <c r="M58" s="486" t="s">
        <v>1859</v>
      </c>
      <c r="N58">
        <v>25000</v>
      </c>
    </row>
    <row r="59" spans="2:14" ht="15.6">
      <c r="E59">
        <f>1645.91*1.5</f>
        <v>2468.8650000000002</v>
      </c>
      <c r="H59" s="267"/>
      <c r="I59" s="492"/>
      <c r="J59" s="118">
        <f>12*12</f>
        <v>144</v>
      </c>
      <c r="M59" s="486" t="s">
        <v>1860</v>
      </c>
      <c r="N59">
        <f>1500*12</f>
        <v>18000</v>
      </c>
    </row>
    <row r="60" spans="2:14" ht="15.6">
      <c r="E60">
        <f>300*1.5</f>
        <v>450</v>
      </c>
      <c r="H60" s="486" t="s">
        <v>1859</v>
      </c>
      <c r="I60">
        <v>25000</v>
      </c>
      <c r="K60" t="s">
        <v>1834</v>
      </c>
      <c r="M60" s="486" t="s">
        <v>1861</v>
      </c>
      <c r="N60">
        <v>2500</v>
      </c>
    </row>
    <row r="61" spans="2:14" ht="15.6">
      <c r="H61" s="486" t="s">
        <v>1860</v>
      </c>
      <c r="I61">
        <f>1500*12</f>
        <v>18000</v>
      </c>
      <c r="K61" t="s">
        <v>1865</v>
      </c>
      <c r="M61" s="486" t="s">
        <v>348</v>
      </c>
      <c r="N61">
        <v>7000</v>
      </c>
    </row>
    <row r="62" spans="2:14" ht="15.6">
      <c r="C62">
        <f>(1254*6)+(1254*1.5)</f>
        <v>9405</v>
      </c>
      <c r="E62" t="s">
        <v>1719</v>
      </c>
      <c r="F62">
        <f>450*2</f>
        <v>900</v>
      </c>
      <c r="H62" s="486" t="s">
        <v>1861</v>
      </c>
      <c r="I62">
        <v>2500</v>
      </c>
    </row>
    <row r="63" spans="2:14" ht="15.6">
      <c r="C63">
        <f>400/7</f>
        <v>57.142857142857146</v>
      </c>
      <c r="E63" t="s">
        <v>1719</v>
      </c>
      <c r="F63">
        <f>12*7</f>
        <v>84</v>
      </c>
      <c r="H63" s="486" t="s">
        <v>348</v>
      </c>
      <c r="I63">
        <v>7000</v>
      </c>
    </row>
    <row r="64" spans="2:14" ht="15.6">
      <c r="C64">
        <f>C63/2</f>
        <v>28.571428571428573</v>
      </c>
      <c r="E64" t="s">
        <v>1720</v>
      </c>
      <c r="F64">
        <f>790</f>
        <v>790</v>
      </c>
      <c r="H64" s="7"/>
      <c r="I64" s="267"/>
    </row>
    <row r="65" spans="3:10" ht="15.6">
      <c r="F65">
        <f>465+67</f>
        <v>532</v>
      </c>
      <c r="H65" s="267"/>
      <c r="I65" s="492"/>
      <c r="J65" s="118">
        <f>12*12</f>
        <v>144</v>
      </c>
    </row>
    <row r="66" spans="3:10" ht="15.6">
      <c r="H66" s="486" t="s">
        <v>1859</v>
      </c>
      <c r="I66">
        <v>25000</v>
      </c>
    </row>
    <row r="67" spans="3:10" ht="15.6">
      <c r="C67" s="726" t="s">
        <v>1780</v>
      </c>
      <c r="D67" s="726"/>
      <c r="E67" s="726"/>
      <c r="H67" s="486" t="s">
        <v>1860</v>
      </c>
      <c r="I67">
        <f>1500*12</f>
        <v>18000</v>
      </c>
    </row>
    <row r="68" spans="3:10" ht="15.6">
      <c r="C68" t="s">
        <v>1776</v>
      </c>
      <c r="D68" t="s">
        <v>1777</v>
      </c>
      <c r="E68" t="s">
        <v>1778</v>
      </c>
      <c r="H68" s="486" t="s">
        <v>1861</v>
      </c>
      <c r="I68">
        <v>2500</v>
      </c>
    </row>
    <row r="69" spans="3:10" ht="15.6">
      <c r="C69" t="s">
        <v>1779</v>
      </c>
      <c r="H69" s="486" t="s">
        <v>348</v>
      </c>
      <c r="I69">
        <v>7000</v>
      </c>
    </row>
    <row r="70" spans="3:10">
      <c r="C70">
        <v>700</v>
      </c>
    </row>
    <row r="72" spans="3:10" ht="15.6">
      <c r="C72" t="s">
        <v>1778</v>
      </c>
      <c r="D72" t="s">
        <v>1777</v>
      </c>
      <c r="E72" t="s">
        <v>1781</v>
      </c>
      <c r="H72" s="486" t="s">
        <v>1993</v>
      </c>
    </row>
    <row r="73" spans="3:10" ht="15.6">
      <c r="C73" t="s">
        <v>1559</v>
      </c>
      <c r="H73" s="486" t="s">
        <v>1559</v>
      </c>
    </row>
    <row r="74" spans="3:10">
      <c r="C74">
        <v>600</v>
      </c>
      <c r="H74" s="494">
        <f>475*2</f>
        <v>950</v>
      </c>
    </row>
    <row r="77" spans="3:10">
      <c r="H77">
        <v>241</v>
      </c>
    </row>
    <row r="78" spans="3:10">
      <c r="H78" t="s">
        <v>1994</v>
      </c>
    </row>
    <row r="79" spans="3:10">
      <c r="H79" s="494">
        <v>950</v>
      </c>
    </row>
    <row r="80" spans="3:10">
      <c r="H80">
        <v>93000</v>
      </c>
    </row>
    <row r="81" spans="6:15">
      <c r="H81">
        <v>26000</v>
      </c>
      <c r="I81">
        <v>240</v>
      </c>
      <c r="J81">
        <f>950+I83+I84</f>
        <v>1750</v>
      </c>
    </row>
    <row r="82" spans="6:15">
      <c r="H82">
        <f>180000-93000</f>
        <v>87000</v>
      </c>
    </row>
    <row r="83" spans="6:15">
      <c r="H83">
        <f>26000*3</f>
        <v>78000</v>
      </c>
      <c r="I83">
        <f>239*3</f>
        <v>717</v>
      </c>
    </row>
    <row r="84" spans="6:15">
      <c r="H84">
        <v>9000</v>
      </c>
      <c r="I84">
        <v>83</v>
      </c>
    </row>
    <row r="86" spans="6:15">
      <c r="G86" s="726" t="s">
        <v>1997</v>
      </c>
      <c r="H86" s="726"/>
      <c r="K86" s="726" t="s">
        <v>1998</v>
      </c>
      <c r="L86" s="726"/>
      <c r="N86" s="726" t="s">
        <v>2001</v>
      </c>
      <c r="O86" s="726"/>
    </row>
    <row r="87" spans="6:15">
      <c r="G87" t="s">
        <v>1995</v>
      </c>
      <c r="K87" t="s">
        <v>1999</v>
      </c>
      <c r="N87" t="s">
        <v>1999</v>
      </c>
    </row>
    <row r="88" spans="6:15">
      <c r="G88">
        <v>115</v>
      </c>
      <c r="H88" s="494">
        <v>710</v>
      </c>
      <c r="K88" t="s">
        <v>2000</v>
      </c>
      <c r="L88" s="494">
        <v>475</v>
      </c>
      <c r="N88" t="s">
        <v>2002</v>
      </c>
      <c r="O88" s="494">
        <v>1800</v>
      </c>
    </row>
    <row r="89" spans="6:15">
      <c r="F89">
        <f>G88-G89</f>
        <v>23</v>
      </c>
      <c r="G89">
        <v>92</v>
      </c>
      <c r="H89" s="494">
        <v>890</v>
      </c>
      <c r="I89" s="494">
        <f>H89-H88</f>
        <v>180</v>
      </c>
      <c r="K89" t="s">
        <v>2003</v>
      </c>
      <c r="L89" s="494">
        <v>950</v>
      </c>
    </row>
    <row r="90" spans="6:15">
      <c r="F90">
        <f>G89-G90</f>
        <v>9.5</v>
      </c>
      <c r="G90">
        <v>82.5</v>
      </c>
      <c r="H90" s="494">
        <v>1130</v>
      </c>
      <c r="I90" s="494">
        <f>H90-H89</f>
        <v>240</v>
      </c>
    </row>
    <row r="91" spans="6:15">
      <c r="F91">
        <f>G90-G91</f>
        <v>15.5</v>
      </c>
      <c r="G91">
        <v>67</v>
      </c>
      <c r="H91" s="494">
        <v>1310</v>
      </c>
      <c r="I91" s="494">
        <f>H91-H90</f>
        <v>180</v>
      </c>
    </row>
    <row r="93" spans="6:15">
      <c r="G93" t="s">
        <v>1996</v>
      </c>
    </row>
    <row r="94" spans="6:15">
      <c r="G94">
        <v>180</v>
      </c>
      <c r="H94" s="494">
        <v>950</v>
      </c>
    </row>
    <row r="95" spans="6:15">
      <c r="F95">
        <f>G94-G95</f>
        <v>28</v>
      </c>
      <c r="G95">
        <v>152</v>
      </c>
      <c r="H95" s="494">
        <v>1410</v>
      </c>
      <c r="I95" s="494">
        <f>H95-H94</f>
        <v>460</v>
      </c>
    </row>
    <row r="96" spans="6:15">
      <c r="F96">
        <f t="shared" ref="F96:F97" si="0">G95-G96</f>
        <v>27</v>
      </c>
      <c r="G96">
        <v>125</v>
      </c>
      <c r="H96" s="494">
        <v>1750</v>
      </c>
      <c r="I96" s="494">
        <f t="shared" ref="I96:I97" si="1">H96-H95</f>
        <v>340</v>
      </c>
      <c r="J96" s="494">
        <f>H96-H94</f>
        <v>800</v>
      </c>
    </row>
    <row r="97" spans="6:10">
      <c r="F97">
        <f t="shared" si="0"/>
        <v>17</v>
      </c>
      <c r="G97">
        <v>108</v>
      </c>
      <c r="H97" s="494">
        <v>2650</v>
      </c>
      <c r="I97" s="494">
        <f t="shared" si="1"/>
        <v>900</v>
      </c>
      <c r="J97" s="494">
        <f>H97-H94</f>
        <v>1700</v>
      </c>
    </row>
  </sheetData>
  <mergeCells count="9">
    <mergeCell ref="G86:H86"/>
    <mergeCell ref="K86:L86"/>
    <mergeCell ref="N86:O86"/>
    <mergeCell ref="F1:J1"/>
    <mergeCell ref="C34:E34"/>
    <mergeCell ref="C67:E67"/>
    <mergeCell ref="H58:J58"/>
    <mergeCell ref="N1:R1"/>
    <mergeCell ref="O20:U20"/>
  </mergeCells>
  <conditionalFormatting sqref="O22:U22">
    <cfRule type="expression" dxfId="46" priority="9">
      <formula>NOW() &gt; $U$22</formula>
    </cfRule>
  </conditionalFormatting>
  <conditionalFormatting sqref="O23:U23">
    <cfRule type="expression" dxfId="45" priority="12">
      <formula>NOW() &gt; $U$23</formula>
    </cfRule>
  </conditionalFormatting>
  <conditionalFormatting sqref="O24:U24">
    <cfRule type="expression" dxfId="44" priority="7">
      <formula>NOW() &gt; $U$24</formula>
    </cfRule>
    <cfRule type="expression" dxfId="43" priority="8">
      <formula>NOW() &lt; $U$24</formula>
    </cfRule>
  </conditionalFormatting>
  <hyperlinks>
    <hyperlink ref="F8" r:id="rId1" xr:uid="{EE40D341-2172-824C-974A-D6A8B88AD6D0}"/>
    <hyperlink ref="D7" r:id="rId2" xr:uid="{C0570265-BD67-134F-8719-29F9C1901FD2}"/>
    <hyperlink ref="M18" r:id="rId3" xr:uid="{7687803E-446B-4CB7-AE46-873E82008728}"/>
    <hyperlink ref="M16" r:id="rId4" xr:uid="{2F51992F-0147-4453-B716-6E1806C39FAF}"/>
    <hyperlink ref="M14" r:id="rId5" xr:uid="{3C32365D-F79C-4B75-8165-12A89A5A4B25}"/>
    <hyperlink ref="M12" r:id="rId6" xr:uid="{42B5DDE6-5D5D-4A50-BE1B-206FFD4E94EA}"/>
  </hyperlinks>
  <pageMargins left="0.7" right="0.7" top="0.75" bottom="0.75" header="0.3" footer="0.3"/>
  <legacyDrawing r:id="rId7"/>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38D4-56F4-422A-BBD2-C0BB0F04DC48}">
  <dimension ref="A1:E64"/>
  <sheetViews>
    <sheetView topLeftCell="A50" workbookViewId="0">
      <selection activeCell="D72" sqref="D72"/>
    </sheetView>
  </sheetViews>
  <sheetFormatPr defaultColWidth="8.44140625" defaultRowHeight="14.4"/>
  <cols>
    <col min="1" max="2" width="21.109375" customWidth="1"/>
    <col min="3" max="3" width="26" customWidth="1"/>
    <col min="4" max="4" width="15.44140625" style="7" customWidth="1"/>
    <col min="5" max="5" width="14.6640625" customWidth="1"/>
    <col min="7" max="7" width="16.6640625" customWidth="1"/>
  </cols>
  <sheetData>
    <row r="1" spans="1:5">
      <c r="A1" s="310" t="s">
        <v>875</v>
      </c>
      <c r="B1" s="310" t="s">
        <v>1658</v>
      </c>
      <c r="C1" t="s">
        <v>559</v>
      </c>
      <c r="D1" s="7" t="s">
        <v>1680</v>
      </c>
      <c r="E1" s="90" t="s">
        <v>562</v>
      </c>
    </row>
    <row r="2" spans="1:5">
      <c r="A2" s="734" t="s">
        <v>876</v>
      </c>
      <c r="B2" t="s">
        <v>400</v>
      </c>
      <c r="E2">
        <v>500</v>
      </c>
    </row>
    <row r="3" spans="1:5">
      <c r="A3" s="734"/>
      <c r="B3" s="7"/>
      <c r="C3" t="s">
        <v>751</v>
      </c>
      <c r="D3" s="7" t="s">
        <v>20</v>
      </c>
      <c r="E3">
        <v>500</v>
      </c>
    </row>
    <row r="4" spans="1:5">
      <c r="A4" s="734"/>
      <c r="B4" s="7"/>
      <c r="C4" t="s">
        <v>877</v>
      </c>
      <c r="D4" s="7" t="s">
        <v>20</v>
      </c>
      <c r="E4">
        <v>350</v>
      </c>
    </row>
    <row r="5" spans="1:5">
      <c r="A5" s="734"/>
      <c r="B5" s="7"/>
      <c r="C5" t="s">
        <v>878</v>
      </c>
      <c r="E5">
        <f>300+200+200</f>
        <v>700</v>
      </c>
    </row>
    <row r="6" spans="1:5">
      <c r="A6" s="734"/>
      <c r="B6" t="s">
        <v>879</v>
      </c>
      <c r="E6">
        <v>100</v>
      </c>
    </row>
    <row r="7" spans="1:5">
      <c r="A7" s="734"/>
      <c r="B7" t="s">
        <v>1676</v>
      </c>
      <c r="E7">
        <v>150</v>
      </c>
    </row>
    <row r="8" spans="1:5">
      <c r="A8" s="734"/>
      <c r="B8" t="s">
        <v>880</v>
      </c>
      <c r="E8">
        <v>200</v>
      </c>
    </row>
    <row r="9" spans="1:5">
      <c r="A9" s="734"/>
      <c r="B9" t="s">
        <v>1677</v>
      </c>
      <c r="E9">
        <v>1499</v>
      </c>
    </row>
    <row r="10" spans="1:5">
      <c r="A10" s="7"/>
    </row>
    <row r="11" spans="1:5">
      <c r="A11" s="734" t="s">
        <v>1659</v>
      </c>
      <c r="C11" t="s">
        <v>1660</v>
      </c>
      <c r="E11">
        <v>260</v>
      </c>
    </row>
    <row r="12" spans="1:5">
      <c r="A12" s="734"/>
      <c r="C12" t="s">
        <v>1662</v>
      </c>
      <c r="E12">
        <v>100</v>
      </c>
    </row>
    <row r="13" spans="1:5">
      <c r="A13" s="734"/>
      <c r="B13" t="s">
        <v>405</v>
      </c>
      <c r="E13">
        <f>800</f>
        <v>800</v>
      </c>
    </row>
    <row r="14" spans="1:5">
      <c r="A14" s="734"/>
      <c r="B14" t="s">
        <v>1672</v>
      </c>
      <c r="E14">
        <f>250*4</f>
        <v>1000</v>
      </c>
    </row>
    <row r="15" spans="1:5">
      <c r="A15" s="734"/>
      <c r="C15" t="s">
        <v>1661</v>
      </c>
      <c r="E15">
        <v>100</v>
      </c>
    </row>
    <row r="17" spans="1:5">
      <c r="A17" s="734" t="s">
        <v>881</v>
      </c>
      <c r="B17" t="s">
        <v>882</v>
      </c>
      <c r="E17">
        <v>1000</v>
      </c>
    </row>
    <row r="18" spans="1:5">
      <c r="A18" s="734"/>
      <c r="B18" s="7"/>
      <c r="C18" t="s">
        <v>883</v>
      </c>
      <c r="D18" s="7" t="s">
        <v>20</v>
      </c>
      <c r="E18">
        <v>750</v>
      </c>
    </row>
    <row r="19" spans="1:5">
      <c r="A19" s="734"/>
      <c r="B19" s="7"/>
      <c r="C19" t="s">
        <v>884</v>
      </c>
      <c r="D19" s="7" t="s">
        <v>1681</v>
      </c>
      <c r="E19">
        <v>750</v>
      </c>
    </row>
    <row r="20" spans="1:5">
      <c r="A20" s="734"/>
      <c r="B20" t="s">
        <v>773</v>
      </c>
      <c r="E20">
        <v>250</v>
      </c>
    </row>
    <row r="21" spans="1:5">
      <c r="A21" s="734"/>
      <c r="B21" s="7"/>
      <c r="C21" t="s">
        <v>885</v>
      </c>
      <c r="E21">
        <v>150</v>
      </c>
    </row>
    <row r="23" spans="1:5">
      <c r="A23" s="734" t="s">
        <v>1645</v>
      </c>
      <c r="B23" s="7"/>
      <c r="C23" t="s">
        <v>1646</v>
      </c>
      <c r="D23" s="7" t="s">
        <v>20</v>
      </c>
      <c r="E23">
        <v>300</v>
      </c>
    </row>
    <row r="24" spans="1:5">
      <c r="A24" s="734"/>
      <c r="B24" s="7"/>
      <c r="C24" t="s">
        <v>1647</v>
      </c>
      <c r="D24" s="7" t="s">
        <v>20</v>
      </c>
      <c r="E24">
        <v>200</v>
      </c>
    </row>
    <row r="25" spans="1:5">
      <c r="A25" s="734"/>
      <c r="B25" s="7"/>
      <c r="C25" t="s">
        <v>1647</v>
      </c>
      <c r="D25" s="7" t="s">
        <v>20</v>
      </c>
      <c r="E25">
        <v>200</v>
      </c>
    </row>
    <row r="26" spans="1:5">
      <c r="A26" s="734"/>
      <c r="B26" s="7"/>
      <c r="C26" t="s">
        <v>1690</v>
      </c>
      <c r="D26" s="7" t="s">
        <v>20</v>
      </c>
      <c r="E26">
        <v>800</v>
      </c>
    </row>
    <row r="27" spans="1:5">
      <c r="A27" s="734"/>
      <c r="B27" s="7"/>
      <c r="C27" t="s">
        <v>1689</v>
      </c>
      <c r="D27" s="7" t="s">
        <v>20</v>
      </c>
      <c r="E27">
        <v>300</v>
      </c>
    </row>
    <row r="28" spans="1:5">
      <c r="A28" s="734"/>
      <c r="B28" s="7"/>
      <c r="C28" t="s">
        <v>1655</v>
      </c>
      <c r="E28">
        <v>300</v>
      </c>
    </row>
    <row r="29" spans="1:5">
      <c r="A29" s="734"/>
      <c r="B29" s="7"/>
      <c r="C29" t="s">
        <v>1654</v>
      </c>
      <c r="D29" s="7" t="s">
        <v>20</v>
      </c>
      <c r="E29">
        <v>200</v>
      </c>
    </row>
    <row r="30" spans="1:5">
      <c r="A30" s="734"/>
      <c r="B30" s="7"/>
      <c r="C30" t="s">
        <v>1664</v>
      </c>
      <c r="E30">
        <v>50</v>
      </c>
    </row>
    <row r="31" spans="1:5">
      <c r="A31" s="734"/>
      <c r="B31" s="7"/>
      <c r="C31" t="s">
        <v>1663</v>
      </c>
      <c r="E31">
        <v>100</v>
      </c>
    </row>
    <row r="32" spans="1:5">
      <c r="A32" s="734"/>
      <c r="B32" s="7"/>
      <c r="C32" t="s">
        <v>1648</v>
      </c>
      <c r="D32" s="7" t="s">
        <v>20</v>
      </c>
      <c r="E32">
        <v>500</v>
      </c>
    </row>
    <row r="33" spans="1:5">
      <c r="A33" s="734"/>
      <c r="B33" s="7" t="s">
        <v>1673</v>
      </c>
      <c r="E33">
        <v>100</v>
      </c>
    </row>
    <row r="34" spans="1:5">
      <c r="A34" s="734"/>
      <c r="B34" s="7" t="s">
        <v>1674</v>
      </c>
      <c r="E34">
        <v>200</v>
      </c>
    </row>
    <row r="35" spans="1:5">
      <c r="A35" s="734"/>
      <c r="B35" s="7" t="s">
        <v>1675</v>
      </c>
      <c r="E35">
        <v>200</v>
      </c>
    </row>
    <row r="37" spans="1:5">
      <c r="A37" s="734" t="s">
        <v>1366</v>
      </c>
      <c r="C37" t="s">
        <v>1649</v>
      </c>
      <c r="D37" s="7" t="s">
        <v>1681</v>
      </c>
      <c r="E37">
        <v>3000</v>
      </c>
    </row>
    <row r="38" spans="1:5">
      <c r="A38" s="734"/>
      <c r="C38" t="s">
        <v>1650</v>
      </c>
      <c r="D38" s="7" t="s">
        <v>1681</v>
      </c>
      <c r="E38">
        <v>4000</v>
      </c>
    </row>
    <row r="39" spans="1:5">
      <c r="A39" s="734"/>
      <c r="C39" t="s">
        <v>1651</v>
      </c>
      <c r="D39" s="7" t="s">
        <v>1681</v>
      </c>
      <c r="E39">
        <v>3100</v>
      </c>
    </row>
    <row r="40" spans="1:5">
      <c r="A40" s="734"/>
      <c r="C40" t="s">
        <v>1656</v>
      </c>
      <c r="D40" s="7" t="s">
        <v>20</v>
      </c>
      <c r="E40">
        <v>500</v>
      </c>
    </row>
    <row r="41" spans="1:5">
      <c r="A41" s="734"/>
      <c r="C41" t="s">
        <v>1657</v>
      </c>
      <c r="D41" s="7" t="s">
        <v>20</v>
      </c>
      <c r="E41">
        <v>300</v>
      </c>
    </row>
    <row r="42" spans="1:5">
      <c r="A42" s="734"/>
      <c r="C42" t="s">
        <v>1652</v>
      </c>
      <c r="D42" s="7" t="s">
        <v>20</v>
      </c>
      <c r="E42">
        <v>700</v>
      </c>
    </row>
    <row r="43" spans="1:5">
      <c r="A43" s="734"/>
      <c r="C43" t="s">
        <v>1653</v>
      </c>
      <c r="D43" s="7" t="s">
        <v>20</v>
      </c>
      <c r="E43">
        <v>700</v>
      </c>
    </row>
    <row r="44" spans="1:5">
      <c r="A44" s="734"/>
      <c r="C44" t="s">
        <v>1665</v>
      </c>
      <c r="D44" s="7" t="s">
        <v>20</v>
      </c>
      <c r="E44">
        <v>300</v>
      </c>
    </row>
    <row r="45" spans="1:5">
      <c r="A45" s="734"/>
      <c r="B45" t="s">
        <v>565</v>
      </c>
      <c r="E45">
        <v>900</v>
      </c>
    </row>
    <row r="46" spans="1:5">
      <c r="A46" s="734"/>
      <c r="B46" t="s">
        <v>771</v>
      </c>
      <c r="E46">
        <v>150</v>
      </c>
    </row>
    <row r="47" spans="1:5">
      <c r="A47" s="734"/>
      <c r="B47" t="s">
        <v>1385</v>
      </c>
      <c r="E47">
        <v>700</v>
      </c>
    </row>
    <row r="49" spans="1:5">
      <c r="A49" s="734" t="s">
        <v>1668</v>
      </c>
      <c r="C49" t="s">
        <v>1666</v>
      </c>
      <c r="E49">
        <v>1499</v>
      </c>
    </row>
    <row r="50" spans="1:5">
      <c r="A50" s="734"/>
      <c r="C50" t="s">
        <v>1666</v>
      </c>
      <c r="E50">
        <v>1499</v>
      </c>
    </row>
    <row r="51" spans="1:5">
      <c r="A51" s="734"/>
      <c r="C51" t="s">
        <v>1667</v>
      </c>
      <c r="D51" s="7" t="s">
        <v>20</v>
      </c>
      <c r="E51">
        <v>1300</v>
      </c>
    </row>
    <row r="52" spans="1:5">
      <c r="A52" s="734"/>
      <c r="C52" t="s">
        <v>1670</v>
      </c>
      <c r="E52">
        <v>500</v>
      </c>
    </row>
    <row r="53" spans="1:5">
      <c r="A53" s="734"/>
      <c r="C53" t="s">
        <v>1671</v>
      </c>
      <c r="E53">
        <v>1000</v>
      </c>
    </row>
    <row r="54" spans="1:5">
      <c r="A54" s="734"/>
      <c r="C54" t="s">
        <v>1669</v>
      </c>
      <c r="E54">
        <f>100+100+100</f>
        <v>300</v>
      </c>
    </row>
    <row r="56" spans="1:5">
      <c r="A56" s="734" t="s">
        <v>129</v>
      </c>
      <c r="C56" t="s">
        <v>1683</v>
      </c>
      <c r="E56">
        <v>300</v>
      </c>
    </row>
    <row r="57" spans="1:5">
      <c r="A57" s="734"/>
      <c r="C57" t="s">
        <v>1685</v>
      </c>
      <c r="E57">
        <v>100</v>
      </c>
    </row>
    <row r="58" spans="1:5">
      <c r="A58" s="734"/>
      <c r="C58" t="s">
        <v>1684</v>
      </c>
      <c r="E58">
        <v>1000</v>
      </c>
    </row>
    <row r="60" spans="1:5">
      <c r="A60" s="242" t="s">
        <v>1678</v>
      </c>
      <c r="B60" s="242"/>
      <c r="C60" s="290" t="s">
        <v>1687</v>
      </c>
      <c r="D60" s="290"/>
      <c r="E60" s="242">
        <f>SUMIFS(E2:E58,D2:D58,"Y")</f>
        <v>7900</v>
      </c>
    </row>
    <row r="61" spans="1:5">
      <c r="A61" s="478" t="s">
        <v>1679</v>
      </c>
      <c r="B61" s="478"/>
      <c r="C61" s="479" t="s">
        <v>1686</v>
      </c>
      <c r="D61" s="479"/>
      <c r="E61" s="478">
        <f>SUMIFS(E3:E58,D3:D58,"H")</f>
        <v>10850</v>
      </c>
    </row>
    <row r="62" spans="1:5">
      <c r="A62" t="s">
        <v>1682</v>
      </c>
      <c r="E62">
        <f>SUM(E2:E58)-E61-E60</f>
        <v>15707</v>
      </c>
    </row>
    <row r="63" spans="1:5">
      <c r="A63" t="s">
        <v>131</v>
      </c>
      <c r="E63">
        <f>SUM(E2:E58)</f>
        <v>34457</v>
      </c>
    </row>
    <row r="64" spans="1:5">
      <c r="A64" t="s">
        <v>1688</v>
      </c>
      <c r="E64">
        <f>E63-E61</f>
        <v>23607</v>
      </c>
    </row>
  </sheetData>
  <mergeCells count="7">
    <mergeCell ref="A49:A54"/>
    <mergeCell ref="A23:A35"/>
    <mergeCell ref="A2:A9"/>
    <mergeCell ref="A56:A58"/>
    <mergeCell ref="A17:A21"/>
    <mergeCell ref="A37:A47"/>
    <mergeCell ref="A11:A15"/>
  </mergeCells>
  <conditionalFormatting sqref="C3:C54 C56:C58">
    <cfRule type="expression" dxfId="42" priority="1">
      <formula>$D3 = "Y"</formula>
    </cfRule>
    <cfRule type="expression" dxfId="41" priority="2">
      <formula>$D3 = "H"</formula>
    </cfRule>
  </conditionalFormatting>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A863-EE83-45DC-8279-2061A8DFCBCA}">
  <sheetPr codeName="Sheet66"/>
  <dimension ref="A1:S70"/>
  <sheetViews>
    <sheetView topLeftCell="B1" workbookViewId="0"/>
  </sheetViews>
  <sheetFormatPr defaultColWidth="10.33203125" defaultRowHeight="15.6" outlineLevelRow="1"/>
  <cols>
    <col min="1" max="1" width="15.44140625" hidden="1" customWidth="1"/>
    <col min="2" max="2" width="15.44140625" customWidth="1"/>
    <col min="3" max="3" width="21.109375" customWidth="1"/>
    <col min="4" max="4" width="36.44140625" customWidth="1"/>
    <col min="5" max="5" width="23" style="267" customWidth="1"/>
    <col min="6" max="10" width="22.44140625" customWidth="1"/>
    <col min="11" max="12" width="21.6640625" customWidth="1"/>
    <col min="13" max="14" width="22.44140625" style="7" customWidth="1"/>
    <col min="15" max="15" width="19.44140625" customWidth="1"/>
    <col min="16" max="16" width="11.33203125" customWidth="1"/>
    <col min="19" max="19" width="16.109375" customWidth="1"/>
  </cols>
  <sheetData>
    <row r="1" spans="1:19" ht="25.5" customHeight="1">
      <c r="A1" t="str">
        <f ca="1">UPPER(TEXT((1&amp;LEFT(B$1,3))-1,"MMM"))&amp;"-"&amp;UPPER(TEXT((1&amp;RIGHT(LEFT(B$1,7),3))-1,"MMM"))&amp;" "&amp;RIGHT(B$1,4)</f>
        <v>AUG-SEP 2019</v>
      </c>
      <c r="B1" s="730" t="str">
        <f ca="1">MID(CELL("filename",B1),FIND("]",CELL("filename",B1))+1,255)</f>
        <v>SEP-OCT 2019</v>
      </c>
      <c r="C1" s="731"/>
      <c r="D1" s="731"/>
      <c r="E1" s="731"/>
      <c r="F1" s="731"/>
      <c r="G1" s="731"/>
      <c r="H1" s="731"/>
      <c r="I1" s="731"/>
      <c r="J1" s="731"/>
      <c r="K1" s="731"/>
      <c r="L1" s="731"/>
      <c r="M1" s="731"/>
      <c r="N1" s="298"/>
      <c r="O1" s="281"/>
      <c r="P1" s="272"/>
      <c r="Q1" s="272"/>
      <c r="R1" s="272"/>
    </row>
    <row r="2" spans="1:19">
      <c r="B2" s="118"/>
      <c r="C2" s="118"/>
      <c r="D2">
        <f>1810.29-650</f>
        <v>1160.29</v>
      </c>
      <c r="E2" s="365"/>
      <c r="F2" t="s">
        <v>798</v>
      </c>
      <c r="G2" t="s">
        <v>799</v>
      </c>
      <c r="H2" t="s">
        <v>800</v>
      </c>
      <c r="I2" t="s">
        <v>801</v>
      </c>
      <c r="J2" t="s">
        <v>886</v>
      </c>
      <c r="K2" t="s">
        <v>887</v>
      </c>
      <c r="L2" t="s">
        <v>888</v>
      </c>
      <c r="M2" s="273" t="s">
        <v>10</v>
      </c>
      <c r="N2" s="273"/>
      <c r="O2" s="283" t="s">
        <v>803</v>
      </c>
      <c r="R2" t="s">
        <v>889</v>
      </c>
    </row>
    <row r="3" spans="1:19">
      <c r="B3" s="118"/>
      <c r="C3" s="118"/>
      <c r="E3" s="365"/>
      <c r="F3" s="42">
        <v>43728</v>
      </c>
      <c r="G3" s="42">
        <f>F3+7</f>
        <v>43735</v>
      </c>
      <c r="H3" s="42">
        <f t="shared" ref="H3:J3" si="0">G3+7</f>
        <v>43742</v>
      </c>
      <c r="I3" s="42">
        <f t="shared" si="0"/>
        <v>43749</v>
      </c>
      <c r="J3" s="42">
        <f t="shared" si="0"/>
        <v>43756</v>
      </c>
      <c r="K3" s="243">
        <f>SUM(K4:K43)</f>
        <v>44.3</v>
      </c>
      <c r="L3" s="243">
        <f>SUM(L4:L43)</f>
        <v>0</v>
      </c>
      <c r="M3" s="273"/>
      <c r="N3" s="273"/>
      <c r="O3" s="282"/>
      <c r="Q3" t="s">
        <v>890</v>
      </c>
      <c r="R3">
        <f>2000-3.2</f>
        <v>1996.8</v>
      </c>
    </row>
    <row r="4" spans="1:19" ht="15" customHeight="1">
      <c r="B4" s="727" t="s">
        <v>804</v>
      </c>
      <c r="C4" s="727"/>
      <c r="D4" s="727"/>
      <c r="E4" s="727"/>
      <c r="M4" s="273"/>
      <c r="N4" s="273"/>
      <c r="O4" s="282"/>
      <c r="Q4" t="s">
        <v>664</v>
      </c>
      <c r="R4">
        <v>84</v>
      </c>
      <c r="S4" t="s">
        <v>891</v>
      </c>
    </row>
    <row r="5" spans="1:19" ht="15" customHeight="1">
      <c r="B5" s="733" t="str">
        <f>IF(D5&gt;E$45*0.5,ROUND(D5-E$45*0.5,2) &amp; " Over",ROUND(E$45*0.5-D5,2) &amp; " Under")</f>
        <v>27.02 Over</v>
      </c>
      <c r="C5" s="733"/>
      <c r="D5" s="761">
        <f>SUM(E7:E25)</f>
        <v>2204.6999999999998</v>
      </c>
      <c r="E5" s="761"/>
      <c r="F5" s="284"/>
      <c r="G5" s="79"/>
      <c r="H5" s="79"/>
      <c r="I5" s="79"/>
      <c r="J5" s="79"/>
      <c r="M5" s="285">
        <f>SUMIF(M7:M25,"&gt;0")</f>
        <v>1425.35</v>
      </c>
      <c r="N5" s="285" t="s">
        <v>892</v>
      </c>
      <c r="O5" s="282">
        <f>SUM(O7:O25)</f>
        <v>9.2799999999999923</v>
      </c>
      <c r="R5">
        <v>37.380000000000003</v>
      </c>
      <c r="S5" t="s">
        <v>893</v>
      </c>
    </row>
    <row r="6" spans="1:19" ht="15" customHeight="1">
      <c r="B6" s="299"/>
      <c r="C6" s="299"/>
      <c r="D6" s="762" t="s">
        <v>805</v>
      </c>
      <c r="E6" s="278"/>
      <c r="F6" s="287" t="str">
        <f>F7-$E$7/5 &amp; IF(F7-$E$7/5 &gt; 0, " Over", " Under")</f>
        <v>-59.7 Under</v>
      </c>
      <c r="G6" s="286" t="str">
        <f t="shared" ref="G6:J6" si="1">G7-$E$7/5 &amp; IF(G7-$E$7/5 &gt; 0, " Over", " Under")</f>
        <v>52.93 Over</v>
      </c>
      <c r="H6" s="287" t="str">
        <f t="shared" si="1"/>
        <v>-65 Under</v>
      </c>
      <c r="I6" s="287" t="str">
        <f t="shared" si="1"/>
        <v>-90 Under</v>
      </c>
      <c r="J6" s="287" t="str">
        <f t="shared" si="1"/>
        <v>-90 Under</v>
      </c>
      <c r="M6" s="285"/>
      <c r="N6" s="285"/>
      <c r="O6" s="282"/>
    </row>
    <row r="7" spans="1:19" ht="15" customHeight="1">
      <c r="B7" s="734" t="str">
        <f>"50%: " &amp; E$45*0.5</f>
        <v>50%: 2177.675</v>
      </c>
      <c r="C7" s="734" t="str">
        <f>ROUND((D5/E$45)*100,2) &amp; "%: " &amp;D5</f>
        <v>50.62%: 2204.7</v>
      </c>
      <c r="D7" s="762"/>
      <c r="E7" s="374">
        <f>360+90</f>
        <v>450</v>
      </c>
      <c r="F7">
        <f>5.3+25</f>
        <v>30.3</v>
      </c>
      <c r="G7">
        <f>4.4+25.02+2.5+11+25+25+25.01+25</f>
        <v>142.93</v>
      </c>
      <c r="H7">
        <v>25</v>
      </c>
      <c r="K7">
        <f>25</f>
        <v>25</v>
      </c>
      <c r="M7" s="274">
        <f>E7-F7-G7-H7-I7-K7-J7-L7</f>
        <v>226.76999999999998</v>
      </c>
      <c r="N7" s="274" t="str">
        <f>D6</f>
        <v>Car Petrol / commuting</v>
      </c>
      <c r="O7" s="282">
        <f t="shared" ref="O7:O25" si="2">IF(M7&lt;0,M7*-1,0)</f>
        <v>0</v>
      </c>
      <c r="R7">
        <v>7.39</v>
      </c>
      <c r="S7" t="s">
        <v>633</v>
      </c>
    </row>
    <row r="8" spans="1:19" ht="15" customHeight="1">
      <c r="B8" s="734"/>
      <c r="C8" s="734"/>
      <c r="D8" s="762" t="s">
        <v>806</v>
      </c>
      <c r="E8" s="377"/>
      <c r="F8" s="286" t="str">
        <f>F9-$E$9/5 &amp; IF(F9-$E$9/5 &gt; 0, " Over", " Under")</f>
        <v>1.14 Over</v>
      </c>
      <c r="G8" s="286" t="str">
        <f>G9-$E$9/5 &amp; IF(G9-$E$9/5 &gt; 0, " Over", " Under")</f>
        <v>8.07000000000001 Over</v>
      </c>
      <c r="H8" s="286" t="str">
        <f t="shared" ref="H8:J8" si="3">H9-$E$9/5 &amp; IF(H9-$E$9/5 &gt; 0, " Over", " Under")</f>
        <v>57.7 Over</v>
      </c>
      <c r="I8" s="287" t="str">
        <f t="shared" si="3"/>
        <v>-75 Under</v>
      </c>
      <c r="J8" s="287" t="str">
        <f t="shared" si="3"/>
        <v>-75 Under</v>
      </c>
      <c r="M8" s="274"/>
      <c r="N8" s="274"/>
      <c r="O8" s="282"/>
    </row>
    <row r="9" spans="1:19" ht="15" customHeight="1">
      <c r="B9" s="734"/>
      <c r="C9" s="734"/>
      <c r="D9" s="762"/>
      <c r="E9" s="365">
        <f>300+75</f>
        <v>375</v>
      </c>
      <c r="F9">
        <f>1+3.39+5.05+6.48+6.88+19.49+1.7+3.39+4.99+15+8.77</f>
        <v>76.14</v>
      </c>
      <c r="G9">
        <f>14+10+2.5+5.98+3.5+5.5+6.49+1.5+10+4.3+19.3</f>
        <v>83.070000000000007</v>
      </c>
      <c r="H9">
        <f>29.98+(57.29-20)+5.25+21.82+37.31+1.05</f>
        <v>132.70000000000002</v>
      </c>
      <c r="K9">
        <v>19.3</v>
      </c>
      <c r="M9" s="274">
        <f t="shared" ref="M9:M25" si="4">E9-F9-G9-H9-I9-K9-J9-L9</f>
        <v>63.790000000000006</v>
      </c>
      <c r="N9" s="274" t="str">
        <f>D8</f>
        <v>Food/Bun</v>
      </c>
      <c r="O9" s="282">
        <f t="shared" si="2"/>
        <v>0</v>
      </c>
      <c r="R9">
        <v>62.89</v>
      </c>
      <c r="S9" t="s">
        <v>794</v>
      </c>
    </row>
    <row r="10" spans="1:19" ht="15" customHeight="1" outlineLevel="1">
      <c r="B10" s="734"/>
      <c r="C10" s="734"/>
      <c r="D10" s="13" t="s">
        <v>595</v>
      </c>
      <c r="E10" s="365">
        <v>452.64</v>
      </c>
      <c r="M10" s="274">
        <f t="shared" si="4"/>
        <v>452.64</v>
      </c>
      <c r="N10" s="274" t="str">
        <f t="shared" ref="N10:N25" si="5">D10</f>
        <v>Mortgage</v>
      </c>
      <c r="O10" s="282">
        <f t="shared" si="2"/>
        <v>0</v>
      </c>
      <c r="R10" s="242">
        <v>62.5</v>
      </c>
      <c r="S10" s="242" t="s">
        <v>633</v>
      </c>
    </row>
    <row r="11" spans="1:19" ht="15" customHeight="1" outlineLevel="1">
      <c r="B11" s="734"/>
      <c r="C11" s="734"/>
      <c r="D11" s="13" t="s">
        <v>596</v>
      </c>
      <c r="E11" s="365">
        <v>123</v>
      </c>
      <c r="M11" s="274">
        <f t="shared" si="4"/>
        <v>123</v>
      </c>
      <c r="N11" s="274" t="str">
        <f t="shared" si="5"/>
        <v>Council tax</v>
      </c>
      <c r="O11" s="282">
        <f t="shared" si="2"/>
        <v>0</v>
      </c>
      <c r="R11" s="242">
        <v>49.5</v>
      </c>
      <c r="S11" s="242" t="s">
        <v>633</v>
      </c>
    </row>
    <row r="12" spans="1:19" ht="15" customHeight="1" outlineLevel="1">
      <c r="B12" s="734"/>
      <c r="C12" s="734"/>
      <c r="D12" s="13" t="s">
        <v>785</v>
      </c>
      <c r="E12" s="365">
        <f>17+40+12.96+1</f>
        <v>70.960000000000008</v>
      </c>
      <c r="G12">
        <v>1</v>
      </c>
      <c r="M12" s="274">
        <f t="shared" si="4"/>
        <v>69.960000000000008</v>
      </c>
      <c r="N12" s="274" t="str">
        <f t="shared" si="5"/>
        <v>Utilities (G,W,E,TV)</v>
      </c>
      <c r="O12" s="282">
        <f t="shared" si="2"/>
        <v>0</v>
      </c>
      <c r="R12">
        <v>37.85</v>
      </c>
      <c r="S12" t="s">
        <v>633</v>
      </c>
    </row>
    <row r="13" spans="1:19" ht="15" customHeight="1" outlineLevel="1">
      <c r="B13" s="734"/>
      <c r="C13" s="734"/>
      <c r="D13" s="13" t="s">
        <v>894</v>
      </c>
      <c r="E13" s="365">
        <f>4.52+16.61+8.56+16.1+8</f>
        <v>53.79</v>
      </c>
      <c r="M13" s="274">
        <f t="shared" si="4"/>
        <v>53.79</v>
      </c>
      <c r="N13" s="274" t="str">
        <f t="shared" si="5"/>
        <v>Insurances</v>
      </c>
      <c r="O13" s="282">
        <f t="shared" si="2"/>
        <v>0</v>
      </c>
      <c r="R13">
        <v>100</v>
      </c>
      <c r="S13" t="s">
        <v>794</v>
      </c>
    </row>
    <row r="14" spans="1:19" ht="15" customHeight="1" outlineLevel="1">
      <c r="B14" s="734"/>
      <c r="C14" s="734"/>
      <c r="D14" s="276" t="s">
        <v>807</v>
      </c>
      <c r="E14" s="277">
        <f>25+129</f>
        <v>154</v>
      </c>
      <c r="M14" s="274">
        <f t="shared" si="4"/>
        <v>154</v>
      </c>
      <c r="N14" s="274" t="str">
        <f t="shared" si="5"/>
        <v>Loans (HTB)</v>
      </c>
      <c r="O14" s="282">
        <f t="shared" si="2"/>
        <v>0</v>
      </c>
      <c r="R14">
        <v>2.19</v>
      </c>
      <c r="S14" t="s">
        <v>794</v>
      </c>
    </row>
    <row r="15" spans="1:19" ht="15" customHeight="1" outlineLevel="1">
      <c r="B15" s="734"/>
      <c r="C15" s="734"/>
      <c r="D15" s="13" t="s">
        <v>602</v>
      </c>
      <c r="E15" s="365">
        <v>38.49</v>
      </c>
      <c r="M15" s="274">
        <f t="shared" si="4"/>
        <v>38.49</v>
      </c>
      <c r="N15" s="274" t="str">
        <f t="shared" si="5"/>
        <v>Broadband / TV</v>
      </c>
      <c r="O15" s="282">
        <f t="shared" si="2"/>
        <v>0</v>
      </c>
      <c r="R15" s="242">
        <v>25.01</v>
      </c>
      <c r="S15" s="242" t="s">
        <v>702</v>
      </c>
    </row>
    <row r="16" spans="1:19" ht="15" customHeight="1" outlineLevel="1">
      <c r="B16" s="734"/>
      <c r="C16" s="734"/>
      <c r="D16" s="13" t="s">
        <v>582</v>
      </c>
      <c r="E16" s="365">
        <v>7.99</v>
      </c>
      <c r="G16">
        <v>7.99</v>
      </c>
      <c r="H16">
        <v>7.99</v>
      </c>
      <c r="M16" s="274">
        <f t="shared" si="4"/>
        <v>-7.99</v>
      </c>
      <c r="N16" s="274" t="str">
        <f t="shared" si="5"/>
        <v>Onedrive (6th)</v>
      </c>
      <c r="O16" s="282">
        <f t="shared" si="2"/>
        <v>7.99</v>
      </c>
      <c r="R16">
        <v>14.65</v>
      </c>
      <c r="S16" t="s">
        <v>794</v>
      </c>
    </row>
    <row r="17" spans="2:19" ht="15" customHeight="1" outlineLevel="1">
      <c r="B17" s="734"/>
      <c r="C17" s="734"/>
      <c r="D17" s="13" t="s">
        <v>788</v>
      </c>
      <c r="E17" s="365">
        <v>10.01</v>
      </c>
      <c r="G17">
        <v>10.01</v>
      </c>
      <c r="M17" s="274">
        <f t="shared" si="4"/>
        <v>0</v>
      </c>
      <c r="N17" s="274" t="str">
        <f t="shared" si="5"/>
        <v>Matt Phone</v>
      </c>
      <c r="O17" s="282">
        <f t="shared" si="2"/>
        <v>0</v>
      </c>
      <c r="R17">
        <v>21.73</v>
      </c>
      <c r="S17" t="s">
        <v>794</v>
      </c>
    </row>
    <row r="18" spans="2:19" ht="15" customHeight="1" outlineLevel="1">
      <c r="B18" s="734"/>
      <c r="C18" s="734"/>
      <c r="D18" s="13" t="s">
        <v>668</v>
      </c>
      <c r="E18" s="365">
        <v>28.43</v>
      </c>
      <c r="G18">
        <v>28.43</v>
      </c>
      <c r="M18" s="274">
        <f t="shared" si="4"/>
        <v>0</v>
      </c>
      <c r="N18" s="274" t="str">
        <f t="shared" si="5"/>
        <v>M -Tax</v>
      </c>
      <c r="O18" s="282">
        <f t="shared" si="2"/>
        <v>0</v>
      </c>
      <c r="R18">
        <v>25.67</v>
      </c>
      <c r="S18" t="s">
        <v>794</v>
      </c>
    </row>
    <row r="19" spans="2:19" ht="15" customHeight="1" outlineLevel="1">
      <c r="B19" s="734"/>
      <c r="C19" s="734"/>
      <c r="D19" s="13" t="s">
        <v>669</v>
      </c>
      <c r="E19" s="365">
        <v>0</v>
      </c>
      <c r="M19" s="274">
        <f t="shared" si="4"/>
        <v>0</v>
      </c>
      <c r="N19" s="274" t="str">
        <f t="shared" si="5"/>
        <v>M - Service</v>
      </c>
      <c r="O19" s="282">
        <f t="shared" si="2"/>
        <v>0</v>
      </c>
      <c r="R19">
        <v>10.98</v>
      </c>
      <c r="S19" t="s">
        <v>794</v>
      </c>
    </row>
    <row r="20" spans="2:19" ht="15" customHeight="1" outlineLevel="1">
      <c r="B20" s="734"/>
      <c r="C20" s="734"/>
      <c r="D20" s="13" t="s">
        <v>670</v>
      </c>
      <c r="E20" s="365">
        <v>63.84</v>
      </c>
      <c r="M20" s="274">
        <f t="shared" si="4"/>
        <v>63.84</v>
      </c>
      <c r="N20" s="274" t="str">
        <f t="shared" si="5"/>
        <v>M - Insurance</v>
      </c>
      <c r="O20" s="282">
        <f t="shared" si="2"/>
        <v>0</v>
      </c>
      <c r="R20">
        <v>5.22</v>
      </c>
      <c r="S20" t="s">
        <v>794</v>
      </c>
    </row>
    <row r="21" spans="2:19" ht="15" customHeight="1" outlineLevel="1">
      <c r="B21" s="734"/>
      <c r="C21" s="734"/>
      <c r="D21" s="276" t="s">
        <v>671</v>
      </c>
      <c r="E21" s="277">
        <v>179.07</v>
      </c>
      <c r="M21" s="274">
        <f t="shared" si="4"/>
        <v>179.07</v>
      </c>
      <c r="N21" s="274" t="str">
        <f t="shared" si="5"/>
        <v>K - Finance</v>
      </c>
      <c r="O21" s="282">
        <f t="shared" si="2"/>
        <v>0</v>
      </c>
      <c r="R21">
        <v>61.96</v>
      </c>
      <c r="S21" t="s">
        <v>794</v>
      </c>
    </row>
    <row r="22" spans="2:19" ht="15" customHeight="1" outlineLevel="1">
      <c r="B22" s="734"/>
      <c r="C22" s="734"/>
      <c r="D22" s="13" t="s">
        <v>672</v>
      </c>
      <c r="E22" s="365">
        <v>12.25</v>
      </c>
      <c r="G22">
        <v>12.25</v>
      </c>
      <c r="M22" s="274">
        <f t="shared" si="4"/>
        <v>0</v>
      </c>
      <c r="N22" s="274" t="str">
        <f t="shared" si="5"/>
        <v>K - Tax</v>
      </c>
      <c r="O22" s="282">
        <f t="shared" si="2"/>
        <v>0</v>
      </c>
      <c r="R22">
        <v>10.62</v>
      </c>
      <c r="S22" t="s">
        <v>794</v>
      </c>
    </row>
    <row r="23" spans="2:19" ht="15" customHeight="1" outlineLevel="1">
      <c r="B23" s="734"/>
      <c r="C23" s="734"/>
      <c r="D23" s="13" t="s">
        <v>673</v>
      </c>
      <c r="E23" s="365">
        <v>0</v>
      </c>
      <c r="M23" s="274">
        <f t="shared" si="4"/>
        <v>0</v>
      </c>
      <c r="N23" s="274" t="str">
        <f t="shared" si="5"/>
        <v>K - Service</v>
      </c>
      <c r="O23" s="282">
        <f t="shared" si="2"/>
        <v>0</v>
      </c>
      <c r="R23">
        <v>40.590000000000003</v>
      </c>
      <c r="S23" t="s">
        <v>794</v>
      </c>
    </row>
    <row r="24" spans="2:19" ht="15" customHeight="1" outlineLevel="1">
      <c r="B24" s="734"/>
      <c r="C24" s="734"/>
      <c r="D24" s="13" t="s">
        <v>674</v>
      </c>
      <c r="E24" s="365">
        <f>103.23+82</f>
        <v>185.23000000000002</v>
      </c>
      <c r="F24">
        <v>103.23</v>
      </c>
      <c r="H24">
        <f>83.29</f>
        <v>83.29</v>
      </c>
      <c r="M24" s="274">
        <f t="shared" si="4"/>
        <v>-1.289999999999992</v>
      </c>
      <c r="N24" s="274" t="str">
        <f t="shared" si="5"/>
        <v>K - Insurance</v>
      </c>
      <c r="O24" s="282">
        <f t="shared" si="2"/>
        <v>1.289999999999992</v>
      </c>
      <c r="R24">
        <v>341.96</v>
      </c>
      <c r="S24" t="s">
        <v>794</v>
      </c>
    </row>
    <row r="25" spans="2:19" ht="15" customHeight="1" outlineLevel="1">
      <c r="B25" s="734"/>
      <c r="C25" s="734"/>
      <c r="D25" s="13" t="s">
        <v>675</v>
      </c>
      <c r="E25" s="365">
        <v>0</v>
      </c>
      <c r="M25" s="274">
        <f t="shared" si="4"/>
        <v>0</v>
      </c>
      <c r="N25" s="274" t="str">
        <f t="shared" si="5"/>
        <v>MOT's</v>
      </c>
      <c r="O25" s="282">
        <f t="shared" si="2"/>
        <v>0</v>
      </c>
      <c r="R25">
        <v>6.02</v>
      </c>
      <c r="S25" t="s">
        <v>794</v>
      </c>
    </row>
    <row r="26" spans="2:19" ht="15" customHeight="1">
      <c r="B26" s="118"/>
      <c r="C26" s="118"/>
      <c r="E26" s="365"/>
      <c r="M26" s="273"/>
      <c r="N26" s="273"/>
      <c r="O26" s="282"/>
      <c r="R26">
        <v>3.1</v>
      </c>
      <c r="S26" t="s">
        <v>794</v>
      </c>
    </row>
    <row r="27" spans="2:19" ht="15" customHeight="1">
      <c r="B27" s="736" t="s">
        <v>808</v>
      </c>
      <c r="C27" s="736"/>
      <c r="D27" s="736"/>
      <c r="E27" s="736"/>
      <c r="M27" s="274"/>
      <c r="N27" s="274"/>
      <c r="O27" s="282"/>
      <c r="R27">
        <v>16.82</v>
      </c>
      <c r="S27" t="s">
        <v>794</v>
      </c>
    </row>
    <row r="28" spans="2:19" ht="15" customHeight="1">
      <c r="B28" s="727" t="str">
        <f>IF(ISNUMBER((SEARCH("Over",C$5))),"Operating under budget","Operating over budget")</f>
        <v>Operating over budget</v>
      </c>
      <c r="C28" s="727"/>
      <c r="D28" s="759">
        <f>SUM(E29:E35)</f>
        <v>1568.62</v>
      </c>
      <c r="E28" s="759"/>
      <c r="M28" s="285">
        <f>SUMIF(M29:M35,"&gt;0")</f>
        <v>304.8</v>
      </c>
      <c r="N28" s="285" t="s">
        <v>895</v>
      </c>
      <c r="O28" s="282">
        <f>SUM(O30:O35)</f>
        <v>0</v>
      </c>
      <c r="R28">
        <v>33.64</v>
      </c>
      <c r="S28" t="s">
        <v>794</v>
      </c>
    </row>
    <row r="29" spans="2:19" ht="15" customHeight="1" outlineLevel="1">
      <c r="B29" s="734" t="str">
        <f>"20% : " &amp; E$45*0.2</f>
        <v>20% : 871.07</v>
      </c>
      <c r="C29" s="734" t="str">
        <f>"20% : " &amp; E$45*0.2</f>
        <v>20% : 871.07</v>
      </c>
      <c r="D29" s="300" t="s">
        <v>896</v>
      </c>
      <c r="E29" s="365">
        <f>ROUND(REPLACE(B29,1,6,"")*0.2,-1)-42+30</f>
        <v>158</v>
      </c>
      <c r="F29">
        <f>41.5</f>
        <v>41.5</v>
      </c>
      <c r="G29">
        <f>25.95+30</f>
        <v>55.95</v>
      </c>
      <c r="M29" s="274" t="e">
        <f>IF(E29-F29-G29-H29-I29-K29-J29-L29-O45 &gt; 0, E29-F29-G29-H29-I29-K29-J29-L29-O45, E29-F29-G29-H29-I29-K29-J29-L29)</f>
        <v>#REF!</v>
      </c>
      <c r="N29" s="274" t="str">
        <f>D29</f>
        <v>Contingency 20%</v>
      </c>
      <c r="O29" s="282" t="e">
        <f t="shared" ref="O29:O35" si="6">IF(M29&lt;0,M29*-1,0)</f>
        <v>#REF!</v>
      </c>
      <c r="R29">
        <v>6.64</v>
      </c>
      <c r="S29" t="s">
        <v>794</v>
      </c>
    </row>
    <row r="30" spans="2:19" ht="15" customHeight="1" outlineLevel="1">
      <c r="B30" s="734"/>
      <c r="C30" s="734"/>
      <c r="D30" s="300" t="s">
        <v>897</v>
      </c>
      <c r="E30" s="365">
        <v>0</v>
      </c>
      <c r="M30" s="274">
        <f t="shared" ref="M30:M35" si="7">E30-F30-G30-H30-I30-K30-J30-L30</f>
        <v>0</v>
      </c>
      <c r="N30" s="274" t="str">
        <f t="shared" ref="N30:N35" si="8">D30</f>
        <v>Holiday Fund 60%</v>
      </c>
      <c r="O30" s="282">
        <f t="shared" si="6"/>
        <v>0</v>
      </c>
      <c r="R30">
        <v>44.27</v>
      </c>
      <c r="S30" t="s">
        <v>794</v>
      </c>
    </row>
    <row r="31" spans="2:19" ht="15" customHeight="1" outlineLevel="1">
      <c r="B31" s="734"/>
      <c r="C31" s="734"/>
      <c r="D31" s="300" t="s">
        <v>811</v>
      </c>
      <c r="E31" s="365">
        <f>ROUND(REPLACE(B29,1,6,"")*0.2,-1)</f>
        <v>170</v>
      </c>
      <c r="F31">
        <v>40.1</v>
      </c>
      <c r="H31">
        <v>20</v>
      </c>
      <c r="M31" s="274">
        <f t="shared" si="7"/>
        <v>109.9</v>
      </c>
      <c r="N31" s="274" t="str">
        <f t="shared" si="8"/>
        <v>Gift Fund 20%</v>
      </c>
      <c r="O31" s="282">
        <f t="shared" si="6"/>
        <v>0</v>
      </c>
      <c r="R31">
        <v>10.45</v>
      </c>
      <c r="S31" t="s">
        <v>794</v>
      </c>
    </row>
    <row r="32" spans="2:19" ht="15" customHeight="1" outlineLevel="1">
      <c r="B32" s="734" t="s">
        <v>130</v>
      </c>
      <c r="C32" s="734"/>
      <c r="D32" s="300" t="s">
        <v>812</v>
      </c>
      <c r="E32" s="365">
        <v>0</v>
      </c>
      <c r="M32" s="274">
        <f t="shared" si="7"/>
        <v>0</v>
      </c>
      <c r="N32" s="274" t="str">
        <f t="shared" si="8"/>
        <v>Wedding</v>
      </c>
      <c r="O32" s="282">
        <f t="shared" si="6"/>
        <v>0</v>
      </c>
      <c r="R32">
        <v>8.25</v>
      </c>
      <c r="S32" t="s">
        <v>794</v>
      </c>
    </row>
    <row r="33" spans="2:19" ht="15" customHeight="1" outlineLevel="1">
      <c r="B33" s="734"/>
      <c r="C33" s="734"/>
      <c r="D33" s="300" t="s">
        <v>813</v>
      </c>
      <c r="E33" s="365">
        <v>225</v>
      </c>
      <c r="F33">
        <v>25</v>
      </c>
      <c r="G33">
        <f>25+25</f>
        <v>50</v>
      </c>
      <c r="H33">
        <v>150</v>
      </c>
      <c r="M33" s="274">
        <f t="shared" si="7"/>
        <v>0</v>
      </c>
      <c r="N33" s="274" t="str">
        <f t="shared" si="8"/>
        <v>Driving Lessons</v>
      </c>
      <c r="O33" s="282">
        <f t="shared" si="6"/>
        <v>0</v>
      </c>
      <c r="R33">
        <v>6.68</v>
      </c>
      <c r="S33" t="s">
        <v>794</v>
      </c>
    </row>
    <row r="34" spans="2:19" ht="15" customHeight="1" outlineLevel="1">
      <c r="B34" s="734"/>
      <c r="C34" s="734"/>
      <c r="D34" s="300" t="s">
        <v>174</v>
      </c>
      <c r="E34" s="365">
        <v>0</v>
      </c>
      <c r="F34" s="11"/>
      <c r="M34" s="274">
        <f t="shared" si="7"/>
        <v>0</v>
      </c>
      <c r="N34" s="274" t="str">
        <f t="shared" si="8"/>
        <v>House</v>
      </c>
      <c r="O34" s="282">
        <f t="shared" si="6"/>
        <v>0</v>
      </c>
      <c r="R34">
        <v>14.32</v>
      </c>
      <c r="S34" t="s">
        <v>794</v>
      </c>
    </row>
    <row r="35" spans="2:19" ht="15" customHeight="1" outlineLevel="1">
      <c r="B35" s="734"/>
      <c r="C35" s="734"/>
      <c r="D35" s="300" t="s">
        <v>814</v>
      </c>
      <c r="E35" s="365">
        <f>165.34+154.28+500+42+154</f>
        <v>1015.62</v>
      </c>
      <c r="F35" s="11"/>
      <c r="G35">
        <f>500+250</f>
        <v>750</v>
      </c>
      <c r="H35">
        <f>25+45.72</f>
        <v>70.72</v>
      </c>
      <c r="M35" s="274">
        <f t="shared" si="7"/>
        <v>194.9</v>
      </c>
      <c r="N35" s="274" t="str">
        <f t="shared" si="8"/>
        <v>CC</v>
      </c>
      <c r="O35" s="282">
        <f t="shared" si="6"/>
        <v>0</v>
      </c>
      <c r="R35">
        <f>SUMIF(S4:S34,"Barcelona",R4:R34)</f>
        <v>848.65000000000009</v>
      </c>
    </row>
    <row r="36" spans="2:19" ht="15" customHeight="1">
      <c r="B36" s="118"/>
      <c r="C36" s="118"/>
      <c r="E36" s="365"/>
      <c r="M36" s="273"/>
      <c r="N36" s="273"/>
      <c r="O36" s="282"/>
    </row>
    <row r="37" spans="2:19" ht="15" customHeight="1">
      <c r="B37" s="727" t="s">
        <v>898</v>
      </c>
      <c r="C37" s="727"/>
      <c r="D37" s="727"/>
      <c r="E37" s="727"/>
      <c r="M37" s="273"/>
      <c r="N37" s="273"/>
      <c r="O37" s="282"/>
    </row>
    <row r="38" spans="2:19" ht="15" customHeight="1">
      <c r="B38" s="727" t="str">
        <f>IF(ISNUMBER((SEARCH("Over",B$5))),"Operating under budget","Operating over budget")</f>
        <v>Operating under budget</v>
      </c>
      <c r="C38" s="727"/>
      <c r="D38" s="759">
        <f>(E$45-D5-D28)</f>
        <v>582.03000000000065</v>
      </c>
      <c r="E38" s="727"/>
      <c r="M38" s="285">
        <f>SUMIF(M39:M42,"&gt;0")</f>
        <v>45.123000000000062</v>
      </c>
      <c r="N38" s="285" t="s">
        <v>899</v>
      </c>
      <c r="O38" s="282" t="e">
        <f>SUM(O39:O42)</f>
        <v>#REF!</v>
      </c>
    </row>
    <row r="39" spans="2:19" ht="15" customHeight="1" outlineLevel="1">
      <c r="B39" s="734" t="str">
        <f>"30%: " &amp; (E$45*0.3)</f>
        <v>30%: 1306.605</v>
      </c>
      <c r="C39" s="760" t="str">
        <f>ROUND(((E$45-D5-(E$45*0.2))/E$45)*100,2) &amp; "%: " &amp; (E$45-D5-(E$45*0.2))</f>
        <v>29.38%: 1279.58</v>
      </c>
      <c r="D39" s="13" t="s">
        <v>179</v>
      </c>
      <c r="E39" s="365">
        <v>5.49</v>
      </c>
      <c r="F39">
        <v>5.49</v>
      </c>
      <c r="M39" s="274" t="e">
        <f>E39-#REF!-G39-H39-I39-K39-J39-L39</f>
        <v>#REF!</v>
      </c>
      <c r="N39" s="274" t="str">
        <f>D39</f>
        <v>Sky Movies</v>
      </c>
      <c r="O39" s="282" t="e">
        <f>IF(M39&lt;0,M39*-1,0)</f>
        <v>#REF!</v>
      </c>
    </row>
    <row r="40" spans="2:19" ht="18" outlineLevel="1">
      <c r="B40" s="734"/>
      <c r="C40" s="760"/>
      <c r="D40" s="13" t="s">
        <v>589</v>
      </c>
      <c r="E40" s="365">
        <v>14.99</v>
      </c>
      <c r="M40" s="274">
        <f>E40-F40-G40-H40-I40-K40-J40-L40</f>
        <v>14.99</v>
      </c>
      <c r="N40" s="274" t="str">
        <f>D40</f>
        <v>Music</v>
      </c>
      <c r="O40" s="282">
        <f>IF(M40&lt;0,M40*-1,0)</f>
        <v>0</v>
      </c>
    </row>
    <row r="41" spans="2:19" ht="15.75" customHeight="1" outlineLevel="1">
      <c r="B41" s="734"/>
      <c r="C41" s="760"/>
      <c r="D41" s="13" t="s">
        <v>781</v>
      </c>
      <c r="E41" s="365">
        <f>37.96</f>
        <v>37.96</v>
      </c>
      <c r="G41">
        <f>13+14.56</f>
        <v>27.560000000000002</v>
      </c>
      <c r="M41" s="274">
        <f>E41-F39-G41-H41-I41-K41-J41-L41</f>
        <v>4.9099999999999966</v>
      </c>
      <c r="N41" s="274" t="str">
        <f>D41</f>
        <v>Subscriptions</v>
      </c>
      <c r="O41" s="282">
        <f>IF(M41&lt;0,M41*-1,0)</f>
        <v>0</v>
      </c>
    </row>
    <row r="42" spans="2:19" ht="18" outlineLevel="1">
      <c r="B42" s="734"/>
      <c r="C42" s="760"/>
      <c r="D42" s="13" t="s">
        <v>815</v>
      </c>
      <c r="E42" s="365">
        <f>D38*0.1</f>
        <v>58.203000000000067</v>
      </c>
      <c r="F42">
        <f>10</f>
        <v>10</v>
      </c>
      <c r="G42">
        <f>20+2.98</f>
        <v>22.98</v>
      </c>
      <c r="M42" s="274">
        <f>E42-F42-G42-H42-I42-K42-J42-L42</f>
        <v>25.223000000000066</v>
      </c>
      <c r="N42" s="274" t="str">
        <f>D42</f>
        <v>Shared 10%</v>
      </c>
      <c r="O42" s="282">
        <f>IF(M42&lt;0,M42*-1,0)</f>
        <v>0</v>
      </c>
      <c r="R42" s="11">
        <f>M38+M43</f>
        <v>11.640000000000569</v>
      </c>
    </row>
    <row r="43" spans="2:19" ht="18" outlineLevel="1">
      <c r="B43" s="734"/>
      <c r="C43" s="760"/>
      <c r="D43" s="13" t="s">
        <v>900</v>
      </c>
      <c r="E43" s="365">
        <f>(D38-E39-E40-E41-E42)</f>
        <v>465.38700000000051</v>
      </c>
      <c r="F43">
        <f>128+40+28.04</f>
        <v>196.04</v>
      </c>
      <c r="G43">
        <f>41.6+100+136.13+10+3.6</f>
        <v>291.33000000000004</v>
      </c>
      <c r="H43">
        <v>11.5</v>
      </c>
      <c r="M43" s="274">
        <f>E43-F43-G43-H43-I43-K43-J43-L43</f>
        <v>-33.482999999999493</v>
      </c>
      <c r="N43" s="274" t="str">
        <f>D43</f>
        <v>Fun Matt</v>
      </c>
      <c r="O43" s="271"/>
    </row>
    <row r="44" spans="2:19">
      <c r="B44" s="118"/>
      <c r="C44" s="118"/>
      <c r="E44" s="365"/>
      <c r="M44" s="273"/>
      <c r="N44" s="273"/>
      <c r="O44" s="282"/>
    </row>
    <row r="45" spans="2:19" ht="18">
      <c r="B45" s="728" t="s">
        <v>817</v>
      </c>
      <c r="C45" s="728"/>
      <c r="D45" s="728"/>
      <c r="E45" s="375">
        <f>F45+G45+H45+I45+J45</f>
        <v>4355.3500000000004</v>
      </c>
      <c r="F45" s="271">
        <f>2605.78+154.28+55.98</f>
        <v>2816.0400000000004</v>
      </c>
      <c r="G45" s="271">
        <f>1466+4.32</f>
        <v>1470.32</v>
      </c>
      <c r="H45" s="271"/>
      <c r="I45" s="271">
        <f>68.99</f>
        <v>68.989999999999995</v>
      </c>
      <c r="J45" s="271"/>
      <c r="K45" s="271"/>
      <c r="L45" s="271"/>
      <c r="M45" s="285" t="str">
        <f>"£" &amp; M5+M38+M28+K3+M43+L3 &amp; " / " &amp; "£" &amp; E45</f>
        <v>£1786.09 / £4355.35</v>
      </c>
      <c r="N45" s="274"/>
      <c r="O45" s="282" t="e">
        <f>SUM(O38,O28,O5)</f>
        <v>#REF!</v>
      </c>
    </row>
    <row r="46" spans="2:19">
      <c r="B46" s="118"/>
      <c r="C46" s="7"/>
      <c r="E46" s="365"/>
      <c r="M46" s="7">
        <v>2641.14</v>
      </c>
      <c r="R46" s="243">
        <f>93-(K3+2.98)</f>
        <v>45.720000000000006</v>
      </c>
    </row>
    <row r="47" spans="2:19" ht="14.4">
      <c r="B47" s="729" t="s">
        <v>818</v>
      </c>
      <c r="C47" s="729"/>
      <c r="D47" s="729"/>
      <c r="E47" s="729"/>
      <c r="F47" s="729"/>
      <c r="H47" s="729" t="s">
        <v>819</v>
      </c>
      <c r="I47" s="729"/>
      <c r="J47" s="729"/>
      <c r="K47" s="729"/>
      <c r="L47" s="729"/>
      <c r="M47" s="729"/>
      <c r="N47" s="297"/>
    </row>
    <row r="48" spans="2:19">
      <c r="B48">
        <v>0</v>
      </c>
      <c r="C48">
        <v>0</v>
      </c>
      <c r="D48">
        <v>500</v>
      </c>
      <c r="E48"/>
      <c r="F48" t="s">
        <v>288</v>
      </c>
      <c r="H48" s="212" t="s">
        <v>820</v>
      </c>
      <c r="I48" s="278" t="s">
        <v>821</v>
      </c>
      <c r="J48" s="278"/>
      <c r="K48" s="212" t="s">
        <v>822</v>
      </c>
      <c r="L48" s="212"/>
      <c r="M48" s="212" t="s">
        <v>823</v>
      </c>
      <c r="N48" s="212"/>
    </row>
    <row r="49" spans="2:16">
      <c r="B49">
        <f t="shared" ref="B49:B57" si="9">B48+D$48-C49</f>
        <v>-35</v>
      </c>
      <c r="C49">
        <f>635-D49</f>
        <v>535</v>
      </c>
      <c r="D49">
        <v>100</v>
      </c>
      <c r="E49" t="s">
        <v>794</v>
      </c>
      <c r="F49" t="s">
        <v>824</v>
      </c>
      <c r="H49" s="214">
        <v>154950</v>
      </c>
      <c r="I49" s="376">
        <v>123960</v>
      </c>
      <c r="J49" s="376"/>
      <c r="K49" s="214">
        <v>23240</v>
      </c>
      <c r="L49" s="214"/>
      <c r="M49" s="214">
        <v>7950</v>
      </c>
      <c r="N49" s="214"/>
    </row>
    <row r="50" spans="2:16">
      <c r="B50">
        <f t="shared" si="9"/>
        <v>465</v>
      </c>
      <c r="C50">
        <f>0</f>
        <v>0</v>
      </c>
      <c r="D50">
        <v>100</v>
      </c>
      <c r="E50"/>
      <c r="F50" t="s">
        <v>277</v>
      </c>
      <c r="I50" s="365"/>
      <c r="J50" s="365"/>
      <c r="M50"/>
      <c r="N50"/>
    </row>
    <row r="51" spans="2:16">
      <c r="B51">
        <f t="shared" si="9"/>
        <v>965</v>
      </c>
      <c r="C51">
        <v>0</v>
      </c>
      <c r="E51"/>
      <c r="F51" t="s">
        <v>278</v>
      </c>
      <c r="H51" s="212" t="s">
        <v>825</v>
      </c>
      <c r="I51" s="278" t="s">
        <v>826</v>
      </c>
      <c r="J51" s="278"/>
      <c r="K51" s="212" t="s">
        <v>827</v>
      </c>
      <c r="L51" s="212"/>
      <c r="M51" s="212" t="s">
        <v>828</v>
      </c>
      <c r="N51" s="212"/>
    </row>
    <row r="52" spans="2:16">
      <c r="B52">
        <f t="shared" si="9"/>
        <v>1465</v>
      </c>
      <c r="C52">
        <v>0</v>
      </c>
      <c r="E52"/>
      <c r="F52" t="s">
        <v>279</v>
      </c>
      <c r="H52" s="56">
        <v>123960</v>
      </c>
      <c r="I52" s="365">
        <v>450</v>
      </c>
      <c r="J52" s="365"/>
      <c r="K52" s="56">
        <v>11922</v>
      </c>
      <c r="L52" s="56"/>
      <c r="M52" s="56">
        <v>15697</v>
      </c>
      <c r="N52" s="56"/>
    </row>
    <row r="53" spans="2:16">
      <c r="B53">
        <f t="shared" si="9"/>
        <v>315</v>
      </c>
      <c r="C53">
        <f>2000-D53</f>
        <v>1650</v>
      </c>
      <c r="D53">
        <f>75+75+100+100</f>
        <v>350</v>
      </c>
      <c r="E53" t="s">
        <v>796</v>
      </c>
      <c r="F53" t="s">
        <v>280</v>
      </c>
      <c r="I53" s="365"/>
      <c r="J53" s="365"/>
      <c r="M53"/>
      <c r="N53"/>
    </row>
    <row r="54" spans="2:16">
      <c r="B54">
        <f t="shared" si="9"/>
        <v>815</v>
      </c>
      <c r="C54">
        <v>0</v>
      </c>
      <c r="E54"/>
      <c r="F54" t="s">
        <v>281</v>
      </c>
      <c r="H54" s="212" t="s">
        <v>829</v>
      </c>
      <c r="I54" s="278" t="s">
        <v>830</v>
      </c>
      <c r="J54" s="278"/>
      <c r="K54" s="212" t="s">
        <v>831</v>
      </c>
      <c r="L54" s="212"/>
      <c r="M54" s="212" t="s">
        <v>832</v>
      </c>
      <c r="N54" s="212"/>
      <c r="O54" s="279" t="s">
        <v>833</v>
      </c>
    </row>
    <row r="55" spans="2:16">
      <c r="B55">
        <f t="shared" si="9"/>
        <v>1315</v>
      </c>
      <c r="C55">
        <v>0</v>
      </c>
      <c r="E55"/>
      <c r="F55" t="s">
        <v>282</v>
      </c>
      <c r="H55" s="258">
        <v>0.15</v>
      </c>
      <c r="I55" s="365">
        <f>H49*1.1</f>
        <v>170445</v>
      </c>
      <c r="J55" s="365"/>
      <c r="K55" s="38">
        <f>I55*0.2</f>
        <v>34089</v>
      </c>
      <c r="L55" s="38"/>
      <c r="M55" s="56">
        <v>113036</v>
      </c>
      <c r="N55" s="56"/>
      <c r="O55" s="280">
        <f>M55+K55</f>
        <v>147125</v>
      </c>
    </row>
    <row r="56" spans="2:16" ht="14.4">
      <c r="B56">
        <f t="shared" si="9"/>
        <v>1815</v>
      </c>
      <c r="C56">
        <v>0</v>
      </c>
      <c r="E56"/>
      <c r="F56" t="s">
        <v>284</v>
      </c>
    </row>
    <row r="57" spans="2:16">
      <c r="B57">
        <f t="shared" si="9"/>
        <v>15</v>
      </c>
      <c r="C57">
        <f>3000-D57</f>
        <v>2300</v>
      </c>
      <c r="D57">
        <f>150+150+200+200</f>
        <v>700</v>
      </c>
      <c r="E57" t="s">
        <v>797</v>
      </c>
      <c r="F57" t="s">
        <v>285</v>
      </c>
      <c r="H57" s="212" t="s">
        <v>820</v>
      </c>
      <c r="I57" s="278" t="s">
        <v>821</v>
      </c>
      <c r="J57" s="278"/>
      <c r="K57" s="212" t="s">
        <v>822</v>
      </c>
      <c r="L57" s="212"/>
      <c r="M57" s="212" t="s">
        <v>823</v>
      </c>
      <c r="N57" s="212"/>
    </row>
    <row r="58" spans="2:16">
      <c r="E58" s="365"/>
      <c r="H58" s="214">
        <v>154950</v>
      </c>
      <c r="I58" s="376">
        <v>123960</v>
      </c>
      <c r="J58" s="376"/>
      <c r="K58" s="214">
        <v>23240</v>
      </c>
      <c r="L58" s="214"/>
      <c r="M58" s="214">
        <v>7950</v>
      </c>
      <c r="N58" s="214"/>
    </row>
    <row r="59" spans="2:16" ht="16.5" customHeight="1">
      <c r="B59" s="726" t="s">
        <v>901</v>
      </c>
      <c r="C59" s="726"/>
      <c r="D59" s="726"/>
      <c r="E59" s="726"/>
      <c r="F59" s="726"/>
      <c r="I59" s="365"/>
      <c r="J59" s="365"/>
      <c r="M59"/>
      <c r="N59"/>
    </row>
    <row r="60" spans="2:16">
      <c r="B60">
        <v>1950</v>
      </c>
      <c r="C60" t="s">
        <v>889</v>
      </c>
      <c r="D60" t="s">
        <v>15</v>
      </c>
      <c r="E60">
        <v>1938.82</v>
      </c>
      <c r="F60" s="365" t="s">
        <v>887</v>
      </c>
      <c r="G60" t="s">
        <v>15</v>
      </c>
      <c r="H60" s="212" t="s">
        <v>825</v>
      </c>
      <c r="I60" s="278" t="s">
        <v>826</v>
      </c>
      <c r="J60" s="278"/>
      <c r="K60" s="212" t="s">
        <v>902</v>
      </c>
      <c r="L60" s="212"/>
      <c r="M60" s="212" t="s">
        <v>903</v>
      </c>
      <c r="N60" s="212"/>
    </row>
    <row r="61" spans="2:16">
      <c r="B61">
        <f>B60-C61</f>
        <v>1650</v>
      </c>
      <c r="C61">
        <v>300</v>
      </c>
      <c r="D61" t="s">
        <v>904</v>
      </c>
      <c r="E61" s="365">
        <f>E60-F61</f>
        <v>489.81999999999994</v>
      </c>
      <c r="F61" s="365">
        <v>1449</v>
      </c>
      <c r="G61" t="s">
        <v>904</v>
      </c>
      <c r="H61" s="56">
        <v>123960</v>
      </c>
      <c r="I61" s="365">
        <v>450</v>
      </c>
      <c r="J61" s="365"/>
      <c r="K61" s="56">
        <f>(11922/60)*18</f>
        <v>3576.6</v>
      </c>
      <c r="L61" s="56"/>
      <c r="M61" s="56">
        <f>(15697/60)*18</f>
        <v>4709.1000000000004</v>
      </c>
      <c r="N61" s="56"/>
    </row>
    <row r="62" spans="2:16">
      <c r="B62">
        <f>B61-C62</f>
        <v>1450</v>
      </c>
      <c r="C62">
        <v>200</v>
      </c>
      <c r="D62" t="s">
        <v>905</v>
      </c>
      <c r="E62" s="365"/>
      <c r="F62" s="365"/>
      <c r="I62" s="365"/>
      <c r="J62" s="365"/>
      <c r="M62"/>
      <c r="N62"/>
    </row>
    <row r="63" spans="2:16">
      <c r="B63">
        <f t="shared" ref="B63:B64" si="10">B62-C63</f>
        <v>1200</v>
      </c>
      <c r="C63">
        <v>250</v>
      </c>
      <c r="D63" t="s">
        <v>906</v>
      </c>
      <c r="E63" s="365"/>
      <c r="F63">
        <v>489.82</v>
      </c>
      <c r="G63" t="s">
        <v>277</v>
      </c>
      <c r="H63" s="212" t="s">
        <v>829</v>
      </c>
      <c r="I63" s="278" t="s">
        <v>830</v>
      </c>
      <c r="J63" s="278"/>
      <c r="K63" s="212" t="s">
        <v>831</v>
      </c>
      <c r="L63" s="212"/>
      <c r="M63" s="212" t="s">
        <v>832</v>
      </c>
      <c r="N63" s="212"/>
      <c r="O63" s="279" t="s">
        <v>833</v>
      </c>
    </row>
    <row r="64" spans="2:16">
      <c r="B64">
        <f t="shared" si="10"/>
        <v>950</v>
      </c>
      <c r="C64">
        <v>250</v>
      </c>
      <c r="D64" t="s">
        <v>907</v>
      </c>
      <c r="E64" s="365"/>
      <c r="F64" s="11"/>
      <c r="H64" s="258">
        <v>0.15</v>
      </c>
      <c r="I64" s="365">
        <f>H58*1.1</f>
        <v>170445</v>
      </c>
      <c r="J64" s="365"/>
      <c r="K64" s="38">
        <f>K58+(I64-H58)*0.2</f>
        <v>26339</v>
      </c>
      <c r="L64" s="38"/>
      <c r="M64" s="56">
        <f>I58-K61</f>
        <v>120383.4</v>
      </c>
      <c r="N64" s="56"/>
      <c r="O64" s="280">
        <f>M64+K64</f>
        <v>146722.4</v>
      </c>
      <c r="P64" t="s">
        <v>908</v>
      </c>
    </row>
    <row r="65" spans="2:17">
      <c r="E65" s="365"/>
      <c r="O65">
        <v>153000</v>
      </c>
      <c r="P65" t="s">
        <v>909</v>
      </c>
    </row>
    <row r="66" spans="2:17">
      <c r="E66" s="365"/>
      <c r="O66" s="38">
        <f>O65-O64</f>
        <v>6277.6000000000058</v>
      </c>
    </row>
    <row r="67" spans="2:17">
      <c r="B67" t="s">
        <v>910</v>
      </c>
      <c r="E67" s="365"/>
      <c r="O67" s="38">
        <f>O66-P67</f>
        <v>4277.6000000000058</v>
      </c>
      <c r="P67">
        <v>2000</v>
      </c>
      <c r="Q67" t="s">
        <v>814</v>
      </c>
    </row>
    <row r="68" spans="2:17">
      <c r="B68" t="s">
        <v>911</v>
      </c>
      <c r="E68" s="365"/>
      <c r="O68" s="38">
        <f>O67-P68</f>
        <v>2277.6000000000058</v>
      </c>
      <c r="P68">
        <v>2000</v>
      </c>
      <c r="Q68" t="s">
        <v>174</v>
      </c>
    </row>
    <row r="69" spans="2:17">
      <c r="B69" t="s">
        <v>912</v>
      </c>
      <c r="E69" s="365"/>
      <c r="O69" s="38">
        <f>O68-P69</f>
        <v>2000.0000000000059</v>
      </c>
      <c r="P69">
        <v>277.60000000000002</v>
      </c>
      <c r="Q69" t="s">
        <v>129</v>
      </c>
    </row>
    <row r="70" spans="2:17">
      <c r="E70" s="365"/>
      <c r="O70" s="38">
        <f>O69-P70</f>
        <v>5.9117155615240335E-12</v>
      </c>
      <c r="P70">
        <v>2000</v>
      </c>
      <c r="Q70" t="s">
        <v>913</v>
      </c>
    </row>
  </sheetData>
  <mergeCells count="23">
    <mergeCell ref="B59:F59"/>
    <mergeCell ref="B47:F47"/>
    <mergeCell ref="H47:M47"/>
    <mergeCell ref="C29:C31"/>
    <mergeCell ref="B29:B31"/>
    <mergeCell ref="B32:C35"/>
    <mergeCell ref="B37:E37"/>
    <mergeCell ref="B38:C38"/>
    <mergeCell ref="D38:E38"/>
    <mergeCell ref="B39:B43"/>
    <mergeCell ref="C39:C43"/>
    <mergeCell ref="B45:D45"/>
    <mergeCell ref="B27:E27"/>
    <mergeCell ref="B28:C28"/>
    <mergeCell ref="D28:E28"/>
    <mergeCell ref="B1:M1"/>
    <mergeCell ref="B4:E4"/>
    <mergeCell ref="B5:C5"/>
    <mergeCell ref="D5:E5"/>
    <mergeCell ref="B7:B25"/>
    <mergeCell ref="C7:C25"/>
    <mergeCell ref="D6:D7"/>
    <mergeCell ref="D8:D9"/>
  </mergeCells>
  <pageMargins left="0.7" right="0.7" top="0.75" bottom="0.75" header="0.3" footer="0.3"/>
  <pageSetup orientation="portrait" r:id="rId1"/>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FB4F-083D-294F-9BF9-70DEA2B6F595}">
  <sheetPr codeName="Sheet67"/>
  <dimension ref="A1:S81"/>
  <sheetViews>
    <sheetView topLeftCell="B1" workbookViewId="0"/>
  </sheetViews>
  <sheetFormatPr defaultColWidth="10.33203125" defaultRowHeight="15.6" outlineLevelRow="1"/>
  <cols>
    <col min="1" max="1" width="15.44140625" hidden="1" customWidth="1"/>
    <col min="2" max="2" width="15.44140625" customWidth="1"/>
    <col min="3" max="3" width="21.109375" customWidth="1"/>
    <col min="4" max="4" width="36.44140625" customWidth="1"/>
    <col min="5" max="5" width="23" style="267" customWidth="1"/>
    <col min="6" max="10" width="22.44140625" customWidth="1"/>
    <col min="11" max="12" width="21.6640625" customWidth="1"/>
    <col min="13" max="14" width="22.44140625" style="7" customWidth="1"/>
    <col min="15" max="15" width="19.44140625" customWidth="1"/>
    <col min="16" max="16" width="11.33203125" customWidth="1"/>
    <col min="19" max="19" width="16.109375" customWidth="1"/>
  </cols>
  <sheetData>
    <row r="1" spans="1:19" ht="25.5" customHeight="1">
      <c r="A1" t="str">
        <f ca="1">UPPER(TEXT((1&amp;LEFT(B$1,3))-1,"MMM"))&amp;"-"&amp;UPPER(TEXT((1&amp;RIGHT(LEFT(B$1,7),3))-1,"MMM"))&amp;" "&amp;RIGHT(B$1,4)</f>
        <v>AUG-SEP  (2)</v>
      </c>
      <c r="B1" s="730" t="str">
        <f ca="1">MID(CELL("filename",B1),FIND("]",CELL("filename",B1))+1,255)</f>
        <v>SEP-OCT 2019 (2)</v>
      </c>
      <c r="C1" s="731"/>
      <c r="D1" s="731"/>
      <c r="E1" s="731"/>
      <c r="F1" s="731"/>
      <c r="G1" s="731"/>
      <c r="H1" s="731"/>
      <c r="I1" s="731"/>
      <c r="J1" s="731"/>
      <c r="K1" s="731"/>
      <c r="L1" s="731"/>
      <c r="M1" s="731"/>
      <c r="N1" s="298"/>
      <c r="O1" s="281"/>
      <c r="P1" s="272"/>
      <c r="Q1" s="272"/>
      <c r="R1" s="272"/>
    </row>
    <row r="2" spans="1:19">
      <c r="B2" s="118"/>
      <c r="C2" s="118"/>
      <c r="D2">
        <f>1810.29-650</f>
        <v>1160.29</v>
      </c>
      <c r="E2" s="365"/>
      <c r="F2" t="s">
        <v>798</v>
      </c>
      <c r="G2" t="s">
        <v>799</v>
      </c>
      <c r="H2" t="s">
        <v>800</v>
      </c>
      <c r="I2" t="s">
        <v>801</v>
      </c>
      <c r="J2" t="s">
        <v>886</v>
      </c>
      <c r="K2" t="s">
        <v>887</v>
      </c>
      <c r="L2" t="s">
        <v>888</v>
      </c>
      <c r="M2" s="273" t="s">
        <v>10</v>
      </c>
      <c r="N2" s="273"/>
      <c r="O2" s="283" t="s">
        <v>803</v>
      </c>
      <c r="R2" t="s">
        <v>889</v>
      </c>
    </row>
    <row r="3" spans="1:19">
      <c r="B3" s="118"/>
      <c r="C3" s="118"/>
      <c r="E3" s="365"/>
      <c r="F3" s="42">
        <v>43728</v>
      </c>
      <c r="G3" s="42">
        <f>F3+7</f>
        <v>43735</v>
      </c>
      <c r="H3" s="42">
        <f t="shared" ref="H3:J3" si="0">G3+7</f>
        <v>43742</v>
      </c>
      <c r="I3" s="42">
        <f t="shared" si="0"/>
        <v>43749</v>
      </c>
      <c r="J3" s="42">
        <f t="shared" si="0"/>
        <v>43756</v>
      </c>
      <c r="K3" s="243">
        <f>SUM(K4:K43)</f>
        <v>0</v>
      </c>
      <c r="L3" s="243">
        <f>SUM(L4:L43)</f>
        <v>29.58</v>
      </c>
      <c r="M3" s="273"/>
      <c r="N3" s="273"/>
      <c r="O3" s="282"/>
      <c r="Q3" t="s">
        <v>890</v>
      </c>
      <c r="R3">
        <f>2000-3.2</f>
        <v>1996.8</v>
      </c>
    </row>
    <row r="4" spans="1:19" ht="15" customHeight="1">
      <c r="B4" s="727" t="s">
        <v>804</v>
      </c>
      <c r="C4" s="727"/>
      <c r="D4" s="727"/>
      <c r="E4" s="727"/>
      <c r="M4" s="273"/>
      <c r="N4" s="273"/>
      <c r="O4" s="282"/>
      <c r="Q4" t="s">
        <v>664</v>
      </c>
      <c r="R4">
        <v>84</v>
      </c>
      <c r="S4" t="s">
        <v>891</v>
      </c>
    </row>
    <row r="5" spans="1:19" ht="15" customHeight="1">
      <c r="B5" s="733" t="str">
        <f>IF(D5&gt;E$45*0.5,ROUND(D5-E$45*0.5,2) &amp; " Over",ROUND(E$45*0.5-D5,2) &amp; " Under")</f>
        <v>460.26 Over</v>
      </c>
      <c r="C5" s="733"/>
      <c r="D5" s="761">
        <f>SUM(E7:E25)</f>
        <v>1256.79</v>
      </c>
      <c r="E5" s="761"/>
      <c r="F5" s="284"/>
      <c r="G5" s="79"/>
      <c r="H5" s="79"/>
      <c r="I5" s="79"/>
      <c r="J5" s="79"/>
      <c r="M5" s="285">
        <f>SUMIF(M7:M25,"&gt;0")</f>
        <v>708.51</v>
      </c>
      <c r="N5" s="285" t="s">
        <v>892</v>
      </c>
      <c r="O5" s="282">
        <f>SUM(O7:O25)</f>
        <v>0</v>
      </c>
      <c r="R5">
        <v>37.380000000000003</v>
      </c>
      <c r="S5" t="s">
        <v>893</v>
      </c>
    </row>
    <row r="6" spans="1:19" ht="15" customHeight="1">
      <c r="B6" s="299"/>
      <c r="C6" s="299"/>
      <c r="D6" s="762" t="s">
        <v>805</v>
      </c>
      <c r="E6" s="278"/>
      <c r="F6" s="287" t="str">
        <f>F7-$E$7/5 &amp; IF(F7-$E$7/5 &gt; 0, " Over", " Under")</f>
        <v>-34.432 Under</v>
      </c>
      <c r="G6" s="286" t="str">
        <f t="shared" ref="G6:J6" si="1">G7-$E$7/5 &amp; IF(G7-$E$7/5 &gt; 0, " Over", " Under")</f>
        <v>-34.432 Under</v>
      </c>
      <c r="H6" s="287" t="str">
        <f>H7-$E$7/5 &amp; IF(H7-$E$7/5 &gt; 0, " Over", " Under")</f>
        <v>44.708 Over</v>
      </c>
      <c r="I6" s="287" t="str">
        <f t="shared" si="1"/>
        <v>-34.432 Under</v>
      </c>
      <c r="J6" s="287" t="str">
        <f t="shared" si="1"/>
        <v>-34.432 Under</v>
      </c>
      <c r="M6" s="285"/>
      <c r="N6" s="285"/>
      <c r="O6" s="282"/>
    </row>
    <row r="7" spans="1:19" ht="15" customHeight="1">
      <c r="B7" s="734" t="str">
        <f>"50%: " &amp; E$45*0.5</f>
        <v>50%: 796.53</v>
      </c>
      <c r="C7" s="734" t="str">
        <f>ROUND((D5/E$45)*100,2) &amp; "%: " &amp;D5</f>
        <v>78.89%: 1256.79</v>
      </c>
      <c r="D7" s="762"/>
      <c r="E7" s="374">
        <f>175-2.84</f>
        <v>172.16</v>
      </c>
      <c r="H7">
        <v>79.14</v>
      </c>
      <c r="M7" s="274">
        <f>E7-F7-G7-H7-I7-K7-J7-L7</f>
        <v>93.02</v>
      </c>
      <c r="N7" s="274" t="str">
        <f>D6</f>
        <v>Car Petrol / commuting</v>
      </c>
      <c r="O7" s="282">
        <f>IF(M7&lt;0,M7*-1,0)</f>
        <v>0</v>
      </c>
      <c r="R7">
        <v>7.39</v>
      </c>
      <c r="S7" t="s">
        <v>633</v>
      </c>
    </row>
    <row r="8" spans="1:19" ht="15" customHeight="1">
      <c r="B8" s="734"/>
      <c r="C8" s="734"/>
      <c r="D8" s="762" t="s">
        <v>806</v>
      </c>
      <c r="E8" s="377"/>
      <c r="F8" s="286" t="str">
        <f>F9-$E$9/5 &amp; IF(F9-$E$9/5 &gt; 0, " Over", " Under")</f>
        <v>-20.568 Under</v>
      </c>
      <c r="G8" s="286" t="str">
        <f>G9-$E$9/5 &amp; IF(G9-$E$9/5 &gt; 0, " Over", " Under")</f>
        <v>-20.568 Under</v>
      </c>
      <c r="H8" s="286" t="str">
        <f>H9-$E$9/5 &amp; IF(H9-$E$9/5 &gt; 0, " Over", " Under")</f>
        <v>6.452 Over</v>
      </c>
      <c r="I8" s="287" t="str">
        <f t="shared" ref="I8:J8" si="2">I9-$E$9/5 &amp; IF(I9-$E$9/5 &gt; 0, " Over", " Under")</f>
        <v>-20.568 Under</v>
      </c>
      <c r="J8" s="287" t="str">
        <f t="shared" si="2"/>
        <v>-20.568 Under</v>
      </c>
      <c r="M8" s="274"/>
      <c r="N8" s="274"/>
      <c r="O8" s="282"/>
    </row>
    <row r="9" spans="1:19" ht="15" customHeight="1">
      <c r="B9" s="734"/>
      <c r="C9" s="734"/>
      <c r="D9" s="762"/>
      <c r="E9" s="365">
        <v>102.84</v>
      </c>
      <c r="H9">
        <v>27.02</v>
      </c>
      <c r="M9" s="274">
        <f>E9-F9-G9-H9-I9-K9-J9-L9</f>
        <v>75.820000000000007</v>
      </c>
      <c r="N9" s="274" t="str">
        <f>D8</f>
        <v>Food/Bun</v>
      </c>
      <c r="O9" s="282">
        <f t="shared" ref="O9:O25" si="3">IF(M9&lt;0,M9*-1,0)</f>
        <v>0</v>
      </c>
      <c r="R9">
        <v>62.89</v>
      </c>
      <c r="S9" t="s">
        <v>794</v>
      </c>
    </row>
    <row r="10" spans="1:19" ht="15" customHeight="1" outlineLevel="1">
      <c r="B10" s="734"/>
      <c r="C10" s="734"/>
      <c r="D10" s="13" t="s">
        <v>595</v>
      </c>
      <c r="E10" s="365">
        <v>452.64</v>
      </c>
      <c r="M10" s="274">
        <f t="shared" ref="M10:M25" si="4">E10-F10-G10-H10-I10-K10-J10-L10</f>
        <v>452.64</v>
      </c>
      <c r="N10" s="274" t="str">
        <f t="shared" ref="N10:N25" si="5">D10</f>
        <v>Mortgage</v>
      </c>
      <c r="O10" s="282">
        <f t="shared" si="3"/>
        <v>0</v>
      </c>
      <c r="R10" s="242">
        <v>62.5</v>
      </c>
      <c r="S10" s="242" t="s">
        <v>633</v>
      </c>
    </row>
    <row r="11" spans="1:19" ht="15" customHeight="1" outlineLevel="1">
      <c r="B11" s="734"/>
      <c r="C11" s="734"/>
      <c r="D11" s="13" t="s">
        <v>596</v>
      </c>
      <c r="E11" s="365">
        <v>123</v>
      </c>
      <c r="F11">
        <v>123</v>
      </c>
      <c r="M11" s="274">
        <f t="shared" si="4"/>
        <v>0</v>
      </c>
      <c r="N11" s="274" t="str">
        <f t="shared" si="5"/>
        <v>Council tax</v>
      </c>
      <c r="O11" s="282">
        <f t="shared" si="3"/>
        <v>0</v>
      </c>
      <c r="R11" s="242">
        <v>49.5</v>
      </c>
      <c r="S11" s="242" t="s">
        <v>633</v>
      </c>
    </row>
    <row r="12" spans="1:19" ht="15" customHeight="1" outlineLevel="1">
      <c r="B12" s="734"/>
      <c r="C12" s="734"/>
      <c r="D12" s="13" t="s">
        <v>785</v>
      </c>
      <c r="E12" s="365">
        <f>17+40+12.96+1</f>
        <v>70.960000000000008</v>
      </c>
      <c r="F12">
        <v>37.72</v>
      </c>
      <c r="M12" s="274">
        <f t="shared" si="4"/>
        <v>33.240000000000009</v>
      </c>
      <c r="N12" s="274" t="str">
        <f t="shared" si="5"/>
        <v>Utilities (G,W,E,TV)</v>
      </c>
      <c r="O12" s="282">
        <f t="shared" si="3"/>
        <v>0</v>
      </c>
      <c r="R12">
        <v>37.85</v>
      </c>
      <c r="S12" t="s">
        <v>633</v>
      </c>
    </row>
    <row r="13" spans="1:19" ht="15" customHeight="1" outlineLevel="1">
      <c r="B13" s="734"/>
      <c r="C13" s="734"/>
      <c r="D13" s="13" t="s">
        <v>894</v>
      </c>
      <c r="E13" s="365">
        <f>4.52+16.61+8.56+16.1+8</f>
        <v>53.79</v>
      </c>
      <c r="M13" s="274">
        <f t="shared" si="4"/>
        <v>53.79</v>
      </c>
      <c r="N13" s="274" t="str">
        <f t="shared" si="5"/>
        <v>Insurances</v>
      </c>
      <c r="O13" s="282">
        <f t="shared" si="3"/>
        <v>0</v>
      </c>
      <c r="R13">
        <v>100</v>
      </c>
      <c r="S13" t="s">
        <v>794</v>
      </c>
    </row>
    <row r="14" spans="1:19" ht="15" customHeight="1" outlineLevel="1">
      <c r="B14" s="734"/>
      <c r="C14" s="734"/>
      <c r="D14" s="276" t="s">
        <v>807</v>
      </c>
      <c r="E14" s="277">
        <v>0</v>
      </c>
      <c r="M14" s="274">
        <f t="shared" si="4"/>
        <v>0</v>
      </c>
      <c r="N14" s="274" t="str">
        <f t="shared" si="5"/>
        <v>Loans (HTB)</v>
      </c>
      <c r="O14" s="282">
        <f t="shared" si="3"/>
        <v>0</v>
      </c>
      <c r="R14">
        <v>2.19</v>
      </c>
      <c r="S14" t="s">
        <v>794</v>
      </c>
    </row>
    <row r="15" spans="1:19" ht="15" customHeight="1" outlineLevel="1">
      <c r="B15" s="734"/>
      <c r="C15" s="734"/>
      <c r="D15" s="13" t="s">
        <v>602</v>
      </c>
      <c r="E15" s="365">
        <v>38.49</v>
      </c>
      <c r="F15">
        <v>38.49</v>
      </c>
      <c r="M15" s="274">
        <f t="shared" si="4"/>
        <v>0</v>
      </c>
      <c r="N15" s="274" t="str">
        <f t="shared" si="5"/>
        <v>Broadband / TV</v>
      </c>
      <c r="O15" s="282">
        <f t="shared" si="3"/>
        <v>0</v>
      </c>
      <c r="R15" s="242">
        <v>25.01</v>
      </c>
      <c r="S15" s="242" t="s">
        <v>702</v>
      </c>
    </row>
    <row r="16" spans="1:19" ht="15" customHeight="1" outlineLevel="1">
      <c r="B16" s="734"/>
      <c r="C16" s="734"/>
      <c r="D16" s="13" t="s">
        <v>582</v>
      </c>
      <c r="E16" s="365">
        <v>0</v>
      </c>
      <c r="M16" s="274">
        <f>E16-F16-G17-H17-I16-K16-J16-L16</f>
        <v>0</v>
      </c>
      <c r="N16" s="274" t="str">
        <f t="shared" si="5"/>
        <v>Onedrive (6th)</v>
      </c>
      <c r="O16" s="282">
        <f t="shared" si="3"/>
        <v>0</v>
      </c>
      <c r="R16">
        <v>14.65</v>
      </c>
      <c r="S16" t="s">
        <v>794</v>
      </c>
    </row>
    <row r="17" spans="2:19" ht="15" customHeight="1" outlineLevel="1">
      <c r="B17" s="734"/>
      <c r="C17" s="734"/>
      <c r="D17" s="13" t="s">
        <v>788</v>
      </c>
      <c r="E17" s="365">
        <v>0</v>
      </c>
      <c r="M17" s="274">
        <f>E17-F17-G18-H18-I17-K17-J17-L17</f>
        <v>0</v>
      </c>
      <c r="N17" s="274" t="str">
        <f t="shared" si="5"/>
        <v>Matt Phone</v>
      </c>
      <c r="O17" s="282">
        <f t="shared" si="3"/>
        <v>0</v>
      </c>
      <c r="R17">
        <v>21.73</v>
      </c>
      <c r="S17" t="s">
        <v>794</v>
      </c>
    </row>
    <row r="18" spans="2:19" ht="15" customHeight="1" outlineLevel="1">
      <c r="B18" s="734"/>
      <c r="C18" s="734"/>
      <c r="D18" s="13" t="s">
        <v>668</v>
      </c>
      <c r="E18" s="365">
        <v>0</v>
      </c>
      <c r="M18" s="274">
        <f>E18-F18-G18-H18-I18-K18-J18-L18</f>
        <v>0</v>
      </c>
      <c r="N18" s="274" t="str">
        <f t="shared" si="5"/>
        <v>M -Tax</v>
      </c>
      <c r="O18" s="282">
        <f>IF(M18&lt;0,M18*-1,0)</f>
        <v>0</v>
      </c>
      <c r="R18">
        <v>25.67</v>
      </c>
      <c r="S18" t="s">
        <v>794</v>
      </c>
    </row>
    <row r="19" spans="2:19" ht="15" customHeight="1" outlineLevel="1">
      <c r="B19" s="734"/>
      <c r="C19" s="734"/>
      <c r="D19" s="13" t="s">
        <v>669</v>
      </c>
      <c r="E19" s="365">
        <v>0</v>
      </c>
      <c r="M19" s="274">
        <f t="shared" si="4"/>
        <v>0</v>
      </c>
      <c r="N19" s="274" t="str">
        <f t="shared" si="5"/>
        <v>M - Service</v>
      </c>
      <c r="O19" s="282">
        <f t="shared" si="3"/>
        <v>0</v>
      </c>
      <c r="R19">
        <v>10.98</v>
      </c>
      <c r="S19" t="s">
        <v>794</v>
      </c>
    </row>
    <row r="20" spans="2:19" ht="15" customHeight="1" outlineLevel="1">
      <c r="B20" s="734"/>
      <c r="C20" s="734"/>
      <c r="D20" s="13" t="s">
        <v>670</v>
      </c>
      <c r="E20" s="365">
        <v>63.84</v>
      </c>
      <c r="F20">
        <v>63.84</v>
      </c>
      <c r="M20" s="274">
        <f t="shared" si="4"/>
        <v>0</v>
      </c>
      <c r="N20" s="274" t="str">
        <f t="shared" si="5"/>
        <v>M - Insurance</v>
      </c>
      <c r="O20" s="282">
        <f t="shared" si="3"/>
        <v>0</v>
      </c>
      <c r="R20">
        <v>5.22</v>
      </c>
      <c r="S20" t="s">
        <v>794</v>
      </c>
    </row>
    <row r="21" spans="2:19" ht="15" customHeight="1" outlineLevel="1">
      <c r="B21" s="734"/>
      <c r="C21" s="734"/>
      <c r="D21" s="276" t="s">
        <v>671</v>
      </c>
      <c r="E21" s="277">
        <v>179.07</v>
      </c>
      <c r="F21">
        <v>179.07</v>
      </c>
      <c r="M21" s="274">
        <f t="shared" si="4"/>
        <v>0</v>
      </c>
      <c r="N21" s="274" t="str">
        <f t="shared" si="5"/>
        <v>K - Finance</v>
      </c>
      <c r="O21" s="282">
        <f t="shared" si="3"/>
        <v>0</v>
      </c>
      <c r="R21">
        <v>61.96</v>
      </c>
      <c r="S21" t="s">
        <v>794</v>
      </c>
    </row>
    <row r="22" spans="2:19" ht="15" customHeight="1" outlineLevel="1">
      <c r="B22" s="734"/>
      <c r="C22" s="734"/>
      <c r="D22" s="13" t="s">
        <v>672</v>
      </c>
      <c r="E22" s="365">
        <v>0</v>
      </c>
      <c r="M22" s="274">
        <f t="shared" si="4"/>
        <v>0</v>
      </c>
      <c r="N22" s="274" t="str">
        <f t="shared" si="5"/>
        <v>K - Tax</v>
      </c>
      <c r="O22" s="282">
        <f t="shared" si="3"/>
        <v>0</v>
      </c>
      <c r="R22">
        <v>10.62</v>
      </c>
      <c r="S22" t="s">
        <v>794</v>
      </c>
    </row>
    <row r="23" spans="2:19" ht="15" customHeight="1" outlineLevel="1">
      <c r="B23" s="734"/>
      <c r="C23" s="734"/>
      <c r="D23" s="13" t="s">
        <v>673</v>
      </c>
      <c r="E23" s="365">
        <v>0</v>
      </c>
      <c r="M23" s="274">
        <f t="shared" si="4"/>
        <v>0</v>
      </c>
      <c r="N23" s="274" t="str">
        <f t="shared" si="5"/>
        <v>K - Service</v>
      </c>
      <c r="O23" s="282">
        <f t="shared" si="3"/>
        <v>0</v>
      </c>
      <c r="R23">
        <v>40.590000000000003</v>
      </c>
      <c r="S23" t="s">
        <v>794</v>
      </c>
    </row>
    <row r="24" spans="2:19" ht="15" customHeight="1" outlineLevel="1">
      <c r="B24" s="734"/>
      <c r="C24" s="734"/>
      <c r="D24" s="13" t="s">
        <v>674</v>
      </c>
      <c r="E24" s="365">
        <v>0</v>
      </c>
      <c r="M24" s="274">
        <f t="shared" si="4"/>
        <v>0</v>
      </c>
      <c r="N24" s="274" t="str">
        <f t="shared" si="5"/>
        <v>K - Insurance</v>
      </c>
      <c r="O24" s="282">
        <f t="shared" si="3"/>
        <v>0</v>
      </c>
      <c r="R24">
        <v>341.96</v>
      </c>
      <c r="S24" t="s">
        <v>794</v>
      </c>
    </row>
    <row r="25" spans="2:19" ht="15" customHeight="1" outlineLevel="1">
      <c r="B25" s="734"/>
      <c r="C25" s="734"/>
      <c r="D25" s="13" t="s">
        <v>675</v>
      </c>
      <c r="E25" s="365">
        <v>0</v>
      </c>
      <c r="M25" s="274">
        <f t="shared" si="4"/>
        <v>0</v>
      </c>
      <c r="N25" s="274" t="str">
        <f t="shared" si="5"/>
        <v>MOT's</v>
      </c>
      <c r="O25" s="282">
        <f t="shared" si="3"/>
        <v>0</v>
      </c>
      <c r="R25">
        <v>6.02</v>
      </c>
      <c r="S25" t="s">
        <v>794</v>
      </c>
    </row>
    <row r="26" spans="2:19" ht="15" customHeight="1">
      <c r="B26" s="118"/>
      <c r="C26" s="118"/>
      <c r="E26" s="365"/>
      <c r="M26" s="273"/>
      <c r="N26" s="273"/>
      <c r="O26" s="282"/>
      <c r="R26">
        <v>3.1</v>
      </c>
      <c r="S26" t="s">
        <v>794</v>
      </c>
    </row>
    <row r="27" spans="2:19" ht="15" customHeight="1">
      <c r="B27" s="736" t="s">
        <v>808</v>
      </c>
      <c r="C27" s="736"/>
      <c r="D27" s="736"/>
      <c r="E27" s="736"/>
      <c r="M27" s="274"/>
      <c r="N27" s="274"/>
      <c r="O27" s="282"/>
      <c r="R27">
        <v>16.82</v>
      </c>
      <c r="S27" t="s">
        <v>794</v>
      </c>
    </row>
    <row r="28" spans="2:19" ht="15" customHeight="1">
      <c r="B28" s="727" t="str">
        <f>IF(ISNUMBER((SEARCH("Over",C$5))),"Operating under budget","Operating over budget")</f>
        <v>Operating over budget</v>
      </c>
      <c r="C28" s="727"/>
      <c r="D28" s="759">
        <f>SUM(E29:E35)</f>
        <v>325.27999999999997</v>
      </c>
      <c r="E28" s="759"/>
      <c r="M28" s="285">
        <f>SUMIF(M29:M35,"&gt;0")</f>
        <v>242.82999999999998</v>
      </c>
      <c r="N28" s="285" t="s">
        <v>895</v>
      </c>
      <c r="O28" s="282">
        <f>SUM(O30:O35)</f>
        <v>0</v>
      </c>
      <c r="R28">
        <v>33.64</v>
      </c>
      <c r="S28" t="s">
        <v>794</v>
      </c>
    </row>
    <row r="29" spans="2:19" ht="15" customHeight="1" outlineLevel="1">
      <c r="B29" s="734" t="str">
        <f>"20% : " &amp; E$45*0.2</f>
        <v>20% : 318.612</v>
      </c>
      <c r="C29" s="734" t="str">
        <f>"20% : " &amp; E$45*0.2</f>
        <v>20% : 318.612</v>
      </c>
      <c r="D29" s="300" t="s">
        <v>896</v>
      </c>
      <c r="E29" s="365">
        <v>0</v>
      </c>
      <c r="M29" s="274">
        <f>IF(E29-F29-G29-H29-I29-K29-J29-L29-O45 &gt; 0, E29-F29-G29-H29-I29-K29-J29-L29-O45, E29-F29-G29-H29-I29-K29-J29-L29)</f>
        <v>0</v>
      </c>
      <c r="N29" s="274" t="str">
        <f>D29</f>
        <v>Contingency 20%</v>
      </c>
      <c r="O29" s="282">
        <f t="shared" ref="O29:O35" si="6">IF(M29&lt;0,M29*-1,0)</f>
        <v>0</v>
      </c>
      <c r="R29">
        <v>6.64</v>
      </c>
      <c r="S29" t="s">
        <v>794</v>
      </c>
    </row>
    <row r="30" spans="2:19" ht="15" customHeight="1" outlineLevel="1">
      <c r="B30" s="734"/>
      <c r="C30" s="734"/>
      <c r="D30" s="300" t="s">
        <v>897</v>
      </c>
      <c r="E30" s="365">
        <v>0</v>
      </c>
      <c r="M30" s="274">
        <f t="shared" ref="M30:M35" si="7">E30-F30-G30-H30-I30-K30-J30-L30</f>
        <v>0</v>
      </c>
      <c r="N30" s="274" t="str">
        <f t="shared" ref="N30:N35" si="8">D30</f>
        <v>Holiday Fund 60%</v>
      </c>
      <c r="O30" s="282">
        <f t="shared" si="6"/>
        <v>0</v>
      </c>
      <c r="R30">
        <v>44.27</v>
      </c>
      <c r="S30" t="s">
        <v>794</v>
      </c>
    </row>
    <row r="31" spans="2:19" ht="15" customHeight="1" outlineLevel="1">
      <c r="B31" s="734"/>
      <c r="C31" s="734"/>
      <c r="D31" s="300" t="s">
        <v>811</v>
      </c>
      <c r="E31" s="365">
        <f>ROUND(REPLACE(B29,1,6,"")*0.2,-1)+60+5.28</f>
        <v>125.28</v>
      </c>
      <c r="F31">
        <v>25.9</v>
      </c>
      <c r="H31">
        <v>26.97</v>
      </c>
      <c r="L31">
        <v>29.58</v>
      </c>
      <c r="M31" s="274">
        <f t="shared" si="7"/>
        <v>42.83</v>
      </c>
      <c r="N31" s="274" t="str">
        <f t="shared" si="8"/>
        <v>Gift Fund 20%</v>
      </c>
      <c r="O31" s="282">
        <f t="shared" si="6"/>
        <v>0</v>
      </c>
      <c r="R31">
        <v>10.45</v>
      </c>
      <c r="S31" t="s">
        <v>794</v>
      </c>
    </row>
    <row r="32" spans="2:19" ht="15" customHeight="1" outlineLevel="1">
      <c r="B32" s="734" t="s">
        <v>130</v>
      </c>
      <c r="C32" s="734"/>
      <c r="D32" s="300" t="s">
        <v>812</v>
      </c>
      <c r="E32" s="365">
        <v>0</v>
      </c>
      <c r="M32" s="274">
        <f t="shared" si="7"/>
        <v>0</v>
      </c>
      <c r="N32" s="274" t="str">
        <f t="shared" si="8"/>
        <v>Wedding</v>
      </c>
      <c r="O32" s="282">
        <f t="shared" si="6"/>
        <v>0</v>
      </c>
      <c r="R32">
        <v>8.25</v>
      </c>
      <c r="S32" t="s">
        <v>794</v>
      </c>
    </row>
    <row r="33" spans="2:19" ht="15" customHeight="1" outlineLevel="1">
      <c r="B33" s="734"/>
      <c r="C33" s="734"/>
      <c r="D33" s="300" t="s">
        <v>813</v>
      </c>
      <c r="E33" s="365">
        <v>0</v>
      </c>
      <c r="M33" s="274">
        <f t="shared" si="7"/>
        <v>0</v>
      </c>
      <c r="N33" s="274" t="str">
        <f t="shared" si="8"/>
        <v>Driving Lessons</v>
      </c>
      <c r="O33" s="282">
        <f t="shared" si="6"/>
        <v>0</v>
      </c>
      <c r="R33">
        <v>6.68</v>
      </c>
      <c r="S33" t="s">
        <v>794</v>
      </c>
    </row>
    <row r="34" spans="2:19" ht="15" customHeight="1" outlineLevel="1">
      <c r="B34" s="734"/>
      <c r="C34" s="734"/>
      <c r="D34" s="300" t="s">
        <v>174</v>
      </c>
      <c r="E34" s="365">
        <v>0</v>
      </c>
      <c r="F34" s="11"/>
      <c r="M34" s="274">
        <f t="shared" si="7"/>
        <v>0</v>
      </c>
      <c r="N34" s="274" t="str">
        <f t="shared" si="8"/>
        <v>House</v>
      </c>
      <c r="O34" s="282">
        <f t="shared" si="6"/>
        <v>0</v>
      </c>
      <c r="R34">
        <v>14.32</v>
      </c>
      <c r="S34" t="s">
        <v>794</v>
      </c>
    </row>
    <row r="35" spans="2:19" ht="15" customHeight="1" outlineLevel="1">
      <c r="B35" s="734"/>
      <c r="C35" s="734"/>
      <c r="D35" s="300" t="s">
        <v>814</v>
      </c>
      <c r="E35" s="365">
        <v>200</v>
      </c>
      <c r="F35" s="11"/>
      <c r="M35" s="274">
        <f t="shared" si="7"/>
        <v>200</v>
      </c>
      <c r="N35" s="274" t="str">
        <f t="shared" si="8"/>
        <v>CC</v>
      </c>
      <c r="O35" s="282">
        <f t="shared" si="6"/>
        <v>0</v>
      </c>
      <c r="R35">
        <f>SUMIF(S4:S34,"Barcelona",R4:R34)</f>
        <v>848.65000000000009</v>
      </c>
    </row>
    <row r="36" spans="2:19" ht="15" customHeight="1">
      <c r="B36" s="118"/>
      <c r="C36" s="118"/>
      <c r="E36" s="365"/>
      <c r="M36" s="273"/>
      <c r="N36" s="273"/>
      <c r="O36" s="282"/>
    </row>
    <row r="37" spans="2:19" ht="15" customHeight="1">
      <c r="B37" s="727" t="s">
        <v>898</v>
      </c>
      <c r="C37" s="727"/>
      <c r="D37" s="727"/>
      <c r="E37" s="727"/>
      <c r="M37" s="273"/>
      <c r="N37" s="273"/>
      <c r="O37" s="282"/>
    </row>
    <row r="38" spans="2:19" ht="15" customHeight="1">
      <c r="B38" s="727" t="str">
        <f>IF(ISNUMBER((SEARCH("Over",B$5))),"Operating under budget","Operating over budget")</f>
        <v>Operating under budget</v>
      </c>
      <c r="C38" s="727"/>
      <c r="D38" s="759">
        <f>(E$45-D5-D28)</f>
        <v>10.990000000000009</v>
      </c>
      <c r="E38" s="727"/>
      <c r="M38" s="285">
        <f>SUMIF(M39:M42,"&gt;0")</f>
        <v>0</v>
      </c>
      <c r="N38" s="285" t="s">
        <v>899</v>
      </c>
      <c r="O38" s="282">
        <f>SUM(O39:O42)</f>
        <v>14.901</v>
      </c>
    </row>
    <row r="39" spans="2:19" ht="15" customHeight="1" outlineLevel="1">
      <c r="B39" s="734" t="str">
        <f>"30%: " &amp; (E$45*0.3)</f>
        <v>30%: 477.918</v>
      </c>
      <c r="C39" s="760" t="str">
        <f>ROUND(((E$45-D5-(E$45*0.2))/E$45)*100,2) &amp; "%: " &amp; (E$45-D5-(E$45*0.2))</f>
        <v>1.11%: 17.658</v>
      </c>
      <c r="D39" s="13" t="s">
        <v>179</v>
      </c>
      <c r="E39" s="365">
        <v>0</v>
      </c>
      <c r="M39" s="274">
        <f>E39-F39-G39-H39-I39-K39-J39-L39</f>
        <v>0</v>
      </c>
      <c r="N39" s="274" t="str">
        <f>D39</f>
        <v>Sky Movies</v>
      </c>
      <c r="O39" s="282">
        <f>IF(M39&lt;0,M39*-1,0)</f>
        <v>0</v>
      </c>
    </row>
    <row r="40" spans="2:19" ht="18" outlineLevel="1">
      <c r="B40" s="734"/>
      <c r="C40" s="760"/>
      <c r="D40" s="13" t="s">
        <v>589</v>
      </c>
      <c r="E40" s="365">
        <v>14.99</v>
      </c>
      <c r="F40">
        <v>14.99</v>
      </c>
      <c r="M40" s="274">
        <f>E40-F40-G40-H40-I40-K40-J40-L40</f>
        <v>0</v>
      </c>
      <c r="N40" s="274" t="str">
        <f>D40</f>
        <v>Music</v>
      </c>
      <c r="O40" s="282">
        <f>IF(M40&lt;0,M40*-1,0)</f>
        <v>0</v>
      </c>
    </row>
    <row r="41" spans="2:19" ht="15.75" customHeight="1" outlineLevel="1">
      <c r="B41" s="734"/>
      <c r="C41" s="760"/>
      <c r="D41" s="13" t="s">
        <v>781</v>
      </c>
      <c r="E41" s="365">
        <v>18</v>
      </c>
      <c r="F41">
        <v>18</v>
      </c>
      <c r="M41" s="274">
        <f>E41-F41-G41-H41-I41-K41-J41-L41</f>
        <v>0</v>
      </c>
      <c r="N41" s="274" t="str">
        <f>D41</f>
        <v>Subscriptions</v>
      </c>
      <c r="O41" s="282">
        <f>IF(M41&lt;0,M41*-1,0)</f>
        <v>0</v>
      </c>
    </row>
    <row r="42" spans="2:19" ht="18" outlineLevel="1">
      <c r="B42" s="734"/>
      <c r="C42" s="760"/>
      <c r="D42" s="13" t="s">
        <v>815</v>
      </c>
      <c r="E42" s="365">
        <f>D38*0.1</f>
        <v>1.0990000000000009</v>
      </c>
      <c r="F42">
        <v>16</v>
      </c>
      <c r="M42" s="274">
        <f>E42-F42-G42-H42-I42-K42-J42-L42</f>
        <v>-14.901</v>
      </c>
      <c r="N42" s="274" t="str">
        <f>D42</f>
        <v>Shared 10%</v>
      </c>
      <c r="O42" s="282">
        <f>IF(M42&lt;0,M42*-1,0)</f>
        <v>14.901</v>
      </c>
      <c r="R42" s="11">
        <f>M38+M43</f>
        <v>-37.999999999999993</v>
      </c>
    </row>
    <row r="43" spans="2:19" ht="18" outlineLevel="1">
      <c r="B43" s="734"/>
      <c r="C43" s="760"/>
      <c r="D43" s="13" t="s">
        <v>900</v>
      </c>
      <c r="E43" s="365">
        <f>(D38-E39-E40-E41-E42-O45)</f>
        <v>-37.999999999999993</v>
      </c>
      <c r="M43" s="274">
        <f>E43-F43-G43-H43-I43-K43-J43-L43</f>
        <v>-37.999999999999993</v>
      </c>
      <c r="N43" s="274" t="str">
        <f>D43</f>
        <v>Fun Matt</v>
      </c>
      <c r="O43" s="271"/>
    </row>
    <row r="44" spans="2:19">
      <c r="B44" s="118"/>
      <c r="C44" s="118"/>
      <c r="E44" s="365"/>
      <c r="M44" s="273"/>
      <c r="N44" s="273"/>
      <c r="O44" s="282"/>
    </row>
    <row r="45" spans="2:19" ht="18">
      <c r="B45" s="728" t="s">
        <v>817</v>
      </c>
      <c r="C45" s="728"/>
      <c r="D45" s="728"/>
      <c r="E45" s="375">
        <f>F45+G45+H45+I45+J45</f>
        <v>1593.06</v>
      </c>
      <c r="F45" s="271">
        <v>1593.06</v>
      </c>
      <c r="G45" s="271"/>
      <c r="H45" s="271"/>
      <c r="I45" s="271"/>
      <c r="J45" s="271"/>
      <c r="K45" s="271"/>
      <c r="L45" s="271"/>
      <c r="M45" s="285" t="str">
        <f>"£" &amp; M5+M38+M28+K3+M43+L3 &amp; " / " &amp; "£" &amp; E45</f>
        <v>£942.92 / £1593.06</v>
      </c>
      <c r="N45" s="274"/>
      <c r="O45" s="282">
        <f>SUM(O38,O28,O5)</f>
        <v>14.901</v>
      </c>
    </row>
    <row r="46" spans="2:19">
      <c r="B46" s="118"/>
      <c r="C46" s="7"/>
      <c r="E46" s="365"/>
      <c r="R46" s="243">
        <f>93-(K3+2.98)</f>
        <v>90.02</v>
      </c>
    </row>
    <row r="47" spans="2:19" ht="14.4">
      <c r="B47" s="729" t="s">
        <v>818</v>
      </c>
      <c r="C47" s="729"/>
      <c r="D47" s="729"/>
      <c r="E47" s="729"/>
      <c r="F47" s="729"/>
      <c r="H47" s="729" t="s">
        <v>819</v>
      </c>
      <c r="I47" s="729"/>
      <c r="J47" s="729"/>
      <c r="K47" s="729"/>
      <c r="L47" s="729"/>
      <c r="M47" s="729"/>
      <c r="N47" s="297"/>
    </row>
    <row r="48" spans="2:19">
      <c r="B48">
        <v>0</v>
      </c>
      <c r="C48">
        <v>0</v>
      </c>
      <c r="D48">
        <v>500</v>
      </c>
      <c r="E48"/>
      <c r="F48" t="s">
        <v>288</v>
      </c>
      <c r="H48" s="212" t="s">
        <v>820</v>
      </c>
      <c r="I48" s="278" t="s">
        <v>821</v>
      </c>
      <c r="J48" s="278"/>
      <c r="K48" s="212" t="s">
        <v>822</v>
      </c>
      <c r="L48" s="212"/>
      <c r="M48" s="212" t="s">
        <v>823</v>
      </c>
      <c r="N48" s="212"/>
    </row>
    <row r="49" spans="2:16">
      <c r="B49">
        <f t="shared" ref="B49:B57" si="9">B48+D$48-C49</f>
        <v>-35</v>
      </c>
      <c r="C49">
        <f>635-D49</f>
        <v>535</v>
      </c>
      <c r="D49">
        <v>100</v>
      </c>
      <c r="E49" t="s">
        <v>794</v>
      </c>
      <c r="F49" t="s">
        <v>824</v>
      </c>
      <c r="H49" s="214">
        <v>154950</v>
      </c>
      <c r="I49" s="376">
        <v>123960</v>
      </c>
      <c r="J49" s="376"/>
      <c r="K49" s="214">
        <v>23240</v>
      </c>
      <c r="L49" s="214"/>
      <c r="M49" s="214">
        <v>7950</v>
      </c>
      <c r="N49" s="214"/>
    </row>
    <row r="50" spans="2:16">
      <c r="B50">
        <f t="shared" si="9"/>
        <v>465</v>
      </c>
      <c r="C50">
        <f>0</f>
        <v>0</v>
      </c>
      <c r="D50">
        <v>100</v>
      </c>
      <c r="E50"/>
      <c r="F50" t="s">
        <v>277</v>
      </c>
      <c r="I50" s="365"/>
      <c r="J50" s="365"/>
      <c r="M50"/>
      <c r="N50"/>
    </row>
    <row r="51" spans="2:16">
      <c r="B51">
        <f t="shared" si="9"/>
        <v>965</v>
      </c>
      <c r="C51">
        <v>0</v>
      </c>
      <c r="E51"/>
      <c r="F51" t="s">
        <v>278</v>
      </c>
      <c r="H51" s="212" t="s">
        <v>825</v>
      </c>
      <c r="I51" s="278" t="s">
        <v>826</v>
      </c>
      <c r="J51" s="278"/>
      <c r="K51" s="212" t="s">
        <v>827</v>
      </c>
      <c r="L51" s="212"/>
      <c r="M51" s="212" t="s">
        <v>828</v>
      </c>
      <c r="N51" s="212"/>
    </row>
    <row r="52" spans="2:16">
      <c r="B52">
        <f t="shared" si="9"/>
        <v>1465</v>
      </c>
      <c r="C52">
        <v>0</v>
      </c>
      <c r="E52"/>
      <c r="F52" t="s">
        <v>279</v>
      </c>
      <c r="H52" s="56">
        <v>123960</v>
      </c>
      <c r="I52" s="365">
        <v>450</v>
      </c>
      <c r="J52" s="365"/>
      <c r="K52" s="56">
        <v>11922</v>
      </c>
      <c r="L52" s="56"/>
      <c r="M52" s="56">
        <v>15697</v>
      </c>
      <c r="N52" s="56"/>
    </row>
    <row r="53" spans="2:16">
      <c r="B53">
        <f t="shared" si="9"/>
        <v>315</v>
      </c>
      <c r="C53">
        <f>2000-D53</f>
        <v>1650</v>
      </c>
      <c r="D53">
        <f>75+75+100+100</f>
        <v>350</v>
      </c>
      <c r="E53" t="s">
        <v>796</v>
      </c>
      <c r="F53" t="s">
        <v>280</v>
      </c>
      <c r="I53" s="365"/>
      <c r="J53" s="365"/>
      <c r="M53"/>
      <c r="N53"/>
    </row>
    <row r="54" spans="2:16">
      <c r="B54">
        <f t="shared" si="9"/>
        <v>815</v>
      </c>
      <c r="C54">
        <v>0</v>
      </c>
      <c r="E54"/>
      <c r="F54" t="s">
        <v>281</v>
      </c>
      <c r="H54" s="212" t="s">
        <v>829</v>
      </c>
      <c r="I54" s="278" t="s">
        <v>830</v>
      </c>
      <c r="J54" s="278"/>
      <c r="K54" s="212" t="s">
        <v>831</v>
      </c>
      <c r="L54" s="212"/>
      <c r="M54" s="212" t="s">
        <v>832</v>
      </c>
      <c r="N54" s="212"/>
      <c r="O54" s="279" t="s">
        <v>833</v>
      </c>
    </row>
    <row r="55" spans="2:16">
      <c r="B55">
        <f t="shared" si="9"/>
        <v>1315</v>
      </c>
      <c r="C55">
        <v>0</v>
      </c>
      <c r="E55"/>
      <c r="F55" t="s">
        <v>282</v>
      </c>
      <c r="H55" s="258">
        <v>0.15</v>
      </c>
      <c r="I55" s="365">
        <f>H49*1.1</f>
        <v>170445</v>
      </c>
      <c r="J55" s="365"/>
      <c r="K55" s="38">
        <f>I55*0.2</f>
        <v>34089</v>
      </c>
      <c r="L55" s="38"/>
      <c r="M55" s="56">
        <v>113036</v>
      </c>
      <c r="N55" s="56"/>
      <c r="O55" s="280">
        <f>M55+K55</f>
        <v>147125</v>
      </c>
    </row>
    <row r="56" spans="2:16" ht="14.4">
      <c r="B56">
        <f t="shared" si="9"/>
        <v>1815</v>
      </c>
      <c r="C56">
        <v>0</v>
      </c>
      <c r="E56"/>
      <c r="F56" t="s">
        <v>284</v>
      </c>
    </row>
    <row r="57" spans="2:16">
      <c r="B57">
        <f t="shared" si="9"/>
        <v>15</v>
      </c>
      <c r="C57">
        <f>3000-D57</f>
        <v>2300</v>
      </c>
      <c r="D57">
        <f>150+150+200+200</f>
        <v>700</v>
      </c>
      <c r="E57" t="s">
        <v>797</v>
      </c>
      <c r="F57" t="s">
        <v>285</v>
      </c>
      <c r="H57" s="212" t="s">
        <v>820</v>
      </c>
      <c r="I57" s="278" t="s">
        <v>821</v>
      </c>
      <c r="J57" s="278"/>
      <c r="K57" s="212" t="s">
        <v>822</v>
      </c>
      <c r="L57" s="212"/>
      <c r="M57" s="212" t="s">
        <v>823</v>
      </c>
      <c r="N57" s="212"/>
    </row>
    <row r="58" spans="2:16">
      <c r="E58" s="365"/>
      <c r="H58" s="214">
        <v>154950</v>
      </c>
      <c r="I58" s="376">
        <v>123960</v>
      </c>
      <c r="J58" s="376"/>
      <c r="K58" s="214">
        <v>23240</v>
      </c>
      <c r="L58" s="214"/>
      <c r="M58" s="214">
        <v>7950</v>
      </c>
      <c r="N58" s="214"/>
    </row>
    <row r="59" spans="2:16" ht="16.5" customHeight="1">
      <c r="B59" s="726" t="s">
        <v>901</v>
      </c>
      <c r="C59" s="726"/>
      <c r="D59" s="726"/>
      <c r="E59" s="726"/>
      <c r="F59" s="726"/>
      <c r="I59" s="365"/>
      <c r="J59" s="365"/>
      <c r="M59"/>
      <c r="N59"/>
    </row>
    <row r="60" spans="2:16">
      <c r="B60">
        <v>1950</v>
      </c>
      <c r="C60" t="s">
        <v>889</v>
      </c>
      <c r="D60" t="s">
        <v>15</v>
      </c>
      <c r="E60">
        <v>1938.82</v>
      </c>
      <c r="F60" s="365" t="s">
        <v>887</v>
      </c>
      <c r="G60" t="s">
        <v>15</v>
      </c>
      <c r="H60" s="212" t="s">
        <v>825</v>
      </c>
      <c r="I60" s="278" t="s">
        <v>826</v>
      </c>
      <c r="J60" s="278"/>
      <c r="K60" s="212" t="s">
        <v>902</v>
      </c>
      <c r="L60" s="212"/>
      <c r="M60" s="212" t="s">
        <v>903</v>
      </c>
      <c r="N60" s="212"/>
    </row>
    <row r="61" spans="2:16">
      <c r="B61">
        <f>B60-C61</f>
        <v>1650</v>
      </c>
      <c r="C61">
        <v>300</v>
      </c>
      <c r="D61" t="s">
        <v>904</v>
      </c>
      <c r="E61" s="365">
        <f>E60-F61</f>
        <v>489.81999999999994</v>
      </c>
      <c r="F61" s="365">
        <v>1449</v>
      </c>
      <c r="G61" t="s">
        <v>904</v>
      </c>
      <c r="H61" s="56">
        <v>123960</v>
      </c>
      <c r="I61" s="365">
        <v>450</v>
      </c>
      <c r="J61" s="365"/>
      <c r="K61" s="56">
        <f>(11922/60)*18</f>
        <v>3576.6</v>
      </c>
      <c r="L61" s="56"/>
      <c r="M61" s="56">
        <f>(15697/60)*18</f>
        <v>4709.1000000000004</v>
      </c>
      <c r="N61" s="56"/>
    </row>
    <row r="62" spans="2:16">
      <c r="B62">
        <f>B61-C62</f>
        <v>1450</v>
      </c>
      <c r="C62">
        <v>200</v>
      </c>
      <c r="D62" t="s">
        <v>905</v>
      </c>
      <c r="E62" s="365"/>
      <c r="F62" s="365"/>
      <c r="I62" s="365"/>
      <c r="J62" s="365"/>
      <c r="M62"/>
      <c r="N62"/>
    </row>
    <row r="63" spans="2:16">
      <c r="B63">
        <f t="shared" ref="B63:B64" si="10">B62-C63</f>
        <v>1200</v>
      </c>
      <c r="C63">
        <v>250</v>
      </c>
      <c r="D63" t="s">
        <v>906</v>
      </c>
      <c r="E63" s="365"/>
      <c r="F63">
        <v>489.82</v>
      </c>
      <c r="G63" t="s">
        <v>277</v>
      </c>
      <c r="H63" s="212" t="s">
        <v>829</v>
      </c>
      <c r="I63" s="278" t="s">
        <v>830</v>
      </c>
      <c r="J63" s="278"/>
      <c r="K63" s="212" t="s">
        <v>831</v>
      </c>
      <c r="L63" s="212"/>
      <c r="M63" s="212" t="s">
        <v>832</v>
      </c>
      <c r="N63" s="212"/>
      <c r="O63" s="279" t="s">
        <v>833</v>
      </c>
    </row>
    <row r="64" spans="2:16">
      <c r="B64">
        <f t="shared" si="10"/>
        <v>950</v>
      </c>
      <c r="C64">
        <v>250</v>
      </c>
      <c r="D64" t="s">
        <v>907</v>
      </c>
      <c r="E64" s="365"/>
      <c r="F64" s="11"/>
      <c r="H64" s="258">
        <v>0.15</v>
      </c>
      <c r="I64" s="365">
        <f>H58*1.1</f>
        <v>170445</v>
      </c>
      <c r="J64" s="365"/>
      <c r="K64" s="38">
        <f>K58+(I64-H58)*0.2</f>
        <v>26339</v>
      </c>
      <c r="L64" s="38"/>
      <c r="M64" s="56">
        <f>I58-K61</f>
        <v>120383.4</v>
      </c>
      <c r="N64" s="56"/>
      <c r="O64" s="280">
        <f>M64+K64</f>
        <v>146722.4</v>
      </c>
      <c r="P64" t="s">
        <v>908</v>
      </c>
    </row>
    <row r="65" spans="2:17">
      <c r="E65" s="365"/>
      <c r="O65">
        <v>153000</v>
      </c>
      <c r="P65" t="s">
        <v>909</v>
      </c>
    </row>
    <row r="66" spans="2:17">
      <c r="E66" s="365"/>
      <c r="O66" s="38">
        <f>O65-O64</f>
        <v>6277.6000000000058</v>
      </c>
    </row>
    <row r="67" spans="2:17">
      <c r="B67" t="s">
        <v>910</v>
      </c>
      <c r="E67" s="365"/>
      <c r="O67" s="38">
        <f>O66-P67</f>
        <v>4277.6000000000058</v>
      </c>
      <c r="P67">
        <v>2000</v>
      </c>
      <c r="Q67" t="s">
        <v>814</v>
      </c>
    </row>
    <row r="68" spans="2:17">
      <c r="B68" t="s">
        <v>911</v>
      </c>
      <c r="E68" s="365"/>
      <c r="O68" s="38">
        <f>O67-P68</f>
        <v>2277.6000000000058</v>
      </c>
      <c r="P68">
        <v>2000</v>
      </c>
      <c r="Q68" t="s">
        <v>174</v>
      </c>
    </row>
    <row r="69" spans="2:17">
      <c r="B69" t="s">
        <v>912</v>
      </c>
      <c r="E69" s="365"/>
      <c r="O69" s="38">
        <f>O68-P69</f>
        <v>2000.0000000000059</v>
      </c>
      <c r="P69">
        <v>277.60000000000002</v>
      </c>
      <c r="Q69" t="s">
        <v>129</v>
      </c>
    </row>
    <row r="70" spans="2:17">
      <c r="E70" s="365"/>
      <c r="O70" s="38">
        <f>O69-P70</f>
        <v>5.9117155615240335E-12</v>
      </c>
      <c r="P70">
        <v>2000</v>
      </c>
      <c r="Q70" t="s">
        <v>913</v>
      </c>
    </row>
    <row r="72" spans="2:17">
      <c r="E72" s="365">
        <f>2075.44</f>
        <v>2075.44</v>
      </c>
    </row>
    <row r="73" spans="2:17">
      <c r="E73" s="365">
        <v>26.98</v>
      </c>
      <c r="F73" t="s">
        <v>702</v>
      </c>
    </row>
    <row r="74" spans="2:17">
      <c r="E74" s="365">
        <v>26.97</v>
      </c>
      <c r="F74" t="s">
        <v>701</v>
      </c>
    </row>
    <row r="75" spans="2:17">
      <c r="E75" s="365">
        <v>25.78</v>
      </c>
      <c r="F75" t="s">
        <v>702</v>
      </c>
    </row>
    <row r="76" spans="2:17">
      <c r="E76" s="365">
        <v>9.98</v>
      </c>
      <c r="F76" t="s">
        <v>632</v>
      </c>
    </row>
    <row r="77" spans="2:17">
      <c r="E77" s="365">
        <v>6</v>
      </c>
      <c r="F77" t="s">
        <v>632</v>
      </c>
    </row>
    <row r="78" spans="2:17">
      <c r="E78" s="365">
        <v>27.02</v>
      </c>
      <c r="F78" t="s">
        <v>169</v>
      </c>
    </row>
    <row r="79" spans="2:17">
      <c r="E79" s="365">
        <v>26.38</v>
      </c>
      <c r="F79" t="s">
        <v>702</v>
      </c>
    </row>
    <row r="80" spans="2:17">
      <c r="E80" s="365">
        <f>SUM(E73:E79)</f>
        <v>149.11000000000001</v>
      </c>
    </row>
    <row r="81" spans="5:5">
      <c r="E81" s="365">
        <f>E72-E80</f>
        <v>1926.33</v>
      </c>
    </row>
  </sheetData>
  <mergeCells count="23">
    <mergeCell ref="B32:C35"/>
    <mergeCell ref="B1:M1"/>
    <mergeCell ref="B4:E4"/>
    <mergeCell ref="B5:C5"/>
    <mergeCell ref="D5:E5"/>
    <mergeCell ref="D6:D7"/>
    <mergeCell ref="B7:B25"/>
    <mergeCell ref="C7:C25"/>
    <mergeCell ref="D8:D9"/>
    <mergeCell ref="B27:E27"/>
    <mergeCell ref="B28:C28"/>
    <mergeCell ref="D28:E28"/>
    <mergeCell ref="B29:B31"/>
    <mergeCell ref="C29:C31"/>
    <mergeCell ref="B47:F47"/>
    <mergeCell ref="H47:M47"/>
    <mergeCell ref="B59:F59"/>
    <mergeCell ref="B37:E37"/>
    <mergeCell ref="B38:C38"/>
    <mergeCell ref="D38:E38"/>
    <mergeCell ref="B39:B43"/>
    <mergeCell ref="C39:C43"/>
    <mergeCell ref="B45:D45"/>
  </mergeCells>
  <pageMargins left="0.7" right="0.7" top="0.75" bottom="0.75" header="0.3" footer="0.3"/>
  <pageSetup orientation="portrait" r:id="rId1"/>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A1B52-B619-4A53-9D8B-BF131F744C54}">
  <sheetPr codeName="Sheet68"/>
  <dimension ref="A1:S79"/>
  <sheetViews>
    <sheetView topLeftCell="B1" workbookViewId="0"/>
  </sheetViews>
  <sheetFormatPr defaultColWidth="10.33203125" defaultRowHeight="15.6" outlineLevelRow="1"/>
  <cols>
    <col min="1" max="1" width="15.44140625" hidden="1" customWidth="1"/>
    <col min="2" max="2" width="15.44140625" customWidth="1"/>
    <col min="3" max="3" width="21.109375" customWidth="1"/>
    <col min="4" max="4" width="36.44140625" customWidth="1"/>
    <col min="5" max="5" width="23" style="267" customWidth="1"/>
    <col min="6" max="10" width="22.44140625" customWidth="1"/>
    <col min="11" max="12" width="21.6640625" customWidth="1"/>
    <col min="13" max="14" width="22.44140625" style="7" customWidth="1"/>
    <col min="15" max="15" width="19.44140625" customWidth="1"/>
    <col min="16" max="16" width="11.33203125" customWidth="1"/>
    <col min="19" max="19" width="16.109375" customWidth="1"/>
  </cols>
  <sheetData>
    <row r="1" spans="1:19" ht="25.5" customHeight="1">
      <c r="A1" t="str">
        <f ca="1">UPPER(TEXT((1&amp;LEFT(B$1,3))-1,"MMM"))&amp;"-"&amp;UPPER(TEXT((1&amp;RIGHT(LEFT(B$1,7),3))-1,"MMM"))&amp;" "&amp;RIGHT(B$1,4)</f>
        <v>AUG-SEP  (3)</v>
      </c>
      <c r="B1" s="730" t="str">
        <f ca="1">MID(CELL("filename",B1),FIND("]",CELL("filename",B1))+1,255)</f>
        <v>SEP-OCT 2019 (3)</v>
      </c>
      <c r="C1" s="731"/>
      <c r="D1" s="731"/>
      <c r="E1" s="731"/>
      <c r="F1" s="731"/>
      <c r="G1" s="731"/>
      <c r="H1" s="731"/>
      <c r="I1" s="731"/>
      <c r="J1" s="731"/>
      <c r="K1" s="731"/>
      <c r="L1" s="731"/>
      <c r="M1" s="731"/>
      <c r="N1" s="298"/>
      <c r="O1" s="281"/>
      <c r="P1" s="272"/>
      <c r="Q1" s="272"/>
      <c r="R1" s="272"/>
    </row>
    <row r="2" spans="1:19">
      <c r="B2" s="118"/>
      <c r="C2" s="118"/>
      <c r="D2">
        <f>1810.29-650</f>
        <v>1160.29</v>
      </c>
      <c r="E2" s="365"/>
      <c r="F2" t="s">
        <v>798</v>
      </c>
      <c r="G2" t="s">
        <v>799</v>
      </c>
      <c r="H2" t="s">
        <v>800</v>
      </c>
      <c r="I2" t="s">
        <v>801</v>
      </c>
      <c r="J2" t="s">
        <v>886</v>
      </c>
      <c r="K2" t="s">
        <v>887</v>
      </c>
      <c r="L2" t="s">
        <v>888</v>
      </c>
      <c r="M2" s="273" t="s">
        <v>10</v>
      </c>
      <c r="N2" s="273"/>
      <c r="O2" s="283" t="s">
        <v>803</v>
      </c>
      <c r="R2" t="s">
        <v>889</v>
      </c>
    </row>
    <row r="3" spans="1:19">
      <c r="B3" s="118"/>
      <c r="C3" s="118"/>
      <c r="E3" s="365"/>
      <c r="F3" s="42">
        <v>43728</v>
      </c>
      <c r="G3" s="42">
        <f>F3+7</f>
        <v>43735</v>
      </c>
      <c r="H3" s="42">
        <f t="shared" ref="H3:J3" si="0">G3+7</f>
        <v>43742</v>
      </c>
      <c r="I3" s="42">
        <f t="shared" si="0"/>
        <v>43749</v>
      </c>
      <c r="J3" s="42">
        <f t="shared" si="0"/>
        <v>43756</v>
      </c>
      <c r="K3" s="243">
        <f>SUM(K4:K41)</f>
        <v>0</v>
      </c>
      <c r="L3" s="243">
        <f>SUM(L4:L41)</f>
        <v>29.58</v>
      </c>
      <c r="M3" s="273"/>
      <c r="N3" s="273"/>
      <c r="O3" s="282"/>
      <c r="Q3" t="s">
        <v>890</v>
      </c>
      <c r="R3">
        <f>2000-3.2</f>
        <v>1996.8</v>
      </c>
    </row>
    <row r="4" spans="1:19" ht="15" customHeight="1">
      <c r="B4" s="727" t="s">
        <v>804</v>
      </c>
      <c r="C4" s="727"/>
      <c r="D4" s="727"/>
      <c r="E4" s="727"/>
      <c r="M4" s="273"/>
      <c r="N4" s="273"/>
      <c r="O4" s="282"/>
      <c r="Q4" t="s">
        <v>664</v>
      </c>
      <c r="R4">
        <v>84</v>
      </c>
      <c r="S4" t="s">
        <v>891</v>
      </c>
    </row>
    <row r="5" spans="1:19" ht="15" customHeight="1">
      <c r="B5" s="733" t="str">
        <f>IF(D5&gt;E$43*0.5,ROUND(D5-E$43*0.5,2) &amp; " Over",ROUND(E$43*0.5-D5,2) &amp; " Under")</f>
        <v>199.05 Over</v>
      </c>
      <c r="C5" s="733"/>
      <c r="D5" s="761">
        <f>SUM(E6:E23)</f>
        <v>670.51</v>
      </c>
      <c r="E5" s="761"/>
      <c r="F5" s="284"/>
      <c r="G5" s="79"/>
      <c r="H5" s="79"/>
      <c r="I5" s="79"/>
      <c r="J5" s="79"/>
      <c r="M5" s="285">
        <f>SUMIF(M6:M23,"&gt;0")</f>
        <v>180.95</v>
      </c>
      <c r="N5" s="285" t="s">
        <v>892</v>
      </c>
      <c r="O5" s="282">
        <f>SUM(O6:O23)</f>
        <v>0</v>
      </c>
      <c r="R5">
        <v>37.380000000000003</v>
      </c>
      <c r="S5" t="s">
        <v>893</v>
      </c>
    </row>
    <row r="6" spans="1:19" ht="15" customHeight="1">
      <c r="B6" s="734" t="str">
        <f>"50%: " &amp; E$43*0.5</f>
        <v>50%: 471.46</v>
      </c>
      <c r="C6" s="734" t="str">
        <f>ROUND((D5/E$43)*100,2) &amp; "%: " &amp;D5</f>
        <v>71.11%: 670.51</v>
      </c>
      <c r="D6" s="300" t="s">
        <v>805</v>
      </c>
      <c r="E6" s="374">
        <v>93.02</v>
      </c>
      <c r="M6" s="274">
        <f>E6-F6-G6-H6-I6-K6-J6-L6</f>
        <v>93.02</v>
      </c>
      <c r="N6" s="274" t="str">
        <f>D6</f>
        <v>Car Petrol / commuting</v>
      </c>
      <c r="O6" s="282">
        <f>IF(M6&lt;0,M6*-1,0)</f>
        <v>0</v>
      </c>
      <c r="R6">
        <v>7.39</v>
      </c>
      <c r="S6" t="s">
        <v>633</v>
      </c>
    </row>
    <row r="7" spans="1:19" ht="15" customHeight="1">
      <c r="B7" s="734"/>
      <c r="C7" s="734"/>
      <c r="D7" s="300" t="s">
        <v>806</v>
      </c>
      <c r="E7" s="365">
        <v>75</v>
      </c>
      <c r="F7">
        <f>6.5</f>
        <v>6.5</v>
      </c>
      <c r="M7" s="274">
        <f>E7-F7-G7-H7-I7-K7-J7-L7</f>
        <v>68.5</v>
      </c>
      <c r="N7" s="274" t="str">
        <f>D7</f>
        <v>Food/Bun</v>
      </c>
      <c r="O7" s="282">
        <f t="shared" ref="O7:O23" si="1">IF(M7&lt;0,M7*-1,0)</f>
        <v>0</v>
      </c>
      <c r="R7">
        <v>62.89</v>
      </c>
      <c r="S7" t="s">
        <v>794</v>
      </c>
    </row>
    <row r="8" spans="1:19" ht="15" customHeight="1" outlineLevel="1">
      <c r="B8" s="734"/>
      <c r="C8" s="734"/>
      <c r="D8" s="13" t="s">
        <v>595</v>
      </c>
      <c r="E8" s="365">
        <v>452.64</v>
      </c>
      <c r="F8">
        <v>452.64</v>
      </c>
      <c r="M8" s="274">
        <f t="shared" ref="M8:M23" si="2">E8-F8-G8-H8-I8-K8-J8-L8</f>
        <v>0</v>
      </c>
      <c r="N8" s="274" t="str">
        <f t="shared" ref="N8:N23" si="3">D8</f>
        <v>Mortgage</v>
      </c>
      <c r="O8" s="282">
        <f t="shared" si="1"/>
        <v>0</v>
      </c>
      <c r="R8" s="242">
        <v>62.5</v>
      </c>
      <c r="S8" s="242" t="s">
        <v>633</v>
      </c>
    </row>
    <row r="9" spans="1:19" ht="15" customHeight="1" outlineLevel="1">
      <c r="B9" s="734"/>
      <c r="C9" s="734"/>
      <c r="D9" s="13" t="s">
        <v>596</v>
      </c>
      <c r="E9" s="365">
        <v>0</v>
      </c>
      <c r="M9" s="274">
        <f t="shared" si="2"/>
        <v>0</v>
      </c>
      <c r="N9" s="274" t="str">
        <f t="shared" si="3"/>
        <v>Council tax</v>
      </c>
      <c r="O9" s="282">
        <f t="shared" si="1"/>
        <v>0</v>
      </c>
      <c r="R9" s="242">
        <v>49.5</v>
      </c>
      <c r="S9" s="242" t="s">
        <v>633</v>
      </c>
    </row>
    <row r="10" spans="1:19" ht="15" customHeight="1" outlineLevel="1">
      <c r="B10" s="734"/>
      <c r="C10" s="734"/>
      <c r="D10" s="13" t="s">
        <v>785</v>
      </c>
      <c r="E10" s="365">
        <f>(17+40+12.96+1)-37.72</f>
        <v>33.240000000000009</v>
      </c>
      <c r="F10">
        <v>13.81</v>
      </c>
      <c r="M10" s="274">
        <f t="shared" si="2"/>
        <v>19.430000000000007</v>
      </c>
      <c r="N10" s="274" t="str">
        <f t="shared" si="3"/>
        <v>Utilities (G,W,E,TV)</v>
      </c>
      <c r="O10" s="282">
        <f t="shared" si="1"/>
        <v>0</v>
      </c>
      <c r="R10">
        <v>37.85</v>
      </c>
      <c r="S10" t="s">
        <v>633</v>
      </c>
    </row>
    <row r="11" spans="1:19" ht="15" customHeight="1" outlineLevel="1">
      <c r="B11" s="734"/>
      <c r="C11" s="734"/>
      <c r="D11" s="13" t="s">
        <v>894</v>
      </c>
      <c r="E11" s="365">
        <f>16.61</f>
        <v>16.61</v>
      </c>
      <c r="F11">
        <f>16.61</f>
        <v>16.61</v>
      </c>
      <c r="M11" s="274">
        <f t="shared" si="2"/>
        <v>0</v>
      </c>
      <c r="N11" s="274" t="str">
        <f t="shared" si="3"/>
        <v>Insurances</v>
      </c>
      <c r="O11" s="282">
        <f t="shared" si="1"/>
        <v>0</v>
      </c>
      <c r="R11">
        <v>100</v>
      </c>
      <c r="S11" t="s">
        <v>794</v>
      </c>
    </row>
    <row r="12" spans="1:19" ht="15" customHeight="1" outlineLevel="1">
      <c r="B12" s="734"/>
      <c r="C12" s="734"/>
      <c r="D12" s="276" t="s">
        <v>807</v>
      </c>
      <c r="E12" s="277">
        <v>0</v>
      </c>
      <c r="M12" s="274">
        <f t="shared" si="2"/>
        <v>0</v>
      </c>
      <c r="N12" s="274" t="str">
        <f t="shared" si="3"/>
        <v>Loans (HTB)</v>
      </c>
      <c r="O12" s="282">
        <f t="shared" si="1"/>
        <v>0</v>
      </c>
      <c r="R12">
        <v>2.19</v>
      </c>
      <c r="S12" t="s">
        <v>794</v>
      </c>
    </row>
    <row r="13" spans="1:19" ht="15" customHeight="1" outlineLevel="1">
      <c r="B13" s="734"/>
      <c r="C13" s="734"/>
      <c r="D13" s="13" t="s">
        <v>602</v>
      </c>
      <c r="E13" s="365">
        <v>0</v>
      </c>
      <c r="M13" s="274">
        <f t="shared" si="2"/>
        <v>0</v>
      </c>
      <c r="N13" s="274" t="str">
        <f t="shared" si="3"/>
        <v>Broadband / TV</v>
      </c>
      <c r="O13" s="282">
        <f t="shared" si="1"/>
        <v>0</v>
      </c>
      <c r="R13" s="242">
        <v>25.01</v>
      </c>
      <c r="S13" s="242" t="s">
        <v>702</v>
      </c>
    </row>
    <row r="14" spans="1:19" ht="15" customHeight="1" outlineLevel="1">
      <c r="B14" s="734"/>
      <c r="C14" s="734"/>
      <c r="D14" s="13" t="s">
        <v>582</v>
      </c>
      <c r="E14" s="365">
        <v>0</v>
      </c>
      <c r="M14" s="274">
        <f>E14-F14-G15-H15-I14-K14-J14-L14</f>
        <v>0</v>
      </c>
      <c r="N14" s="274" t="str">
        <f t="shared" si="3"/>
        <v>Onedrive (6th)</v>
      </c>
      <c r="O14" s="282">
        <f t="shared" si="1"/>
        <v>0</v>
      </c>
      <c r="R14">
        <v>14.65</v>
      </c>
      <c r="S14" t="s">
        <v>794</v>
      </c>
    </row>
    <row r="15" spans="1:19" ht="15" customHeight="1" outlineLevel="1">
      <c r="B15" s="734"/>
      <c r="C15" s="734"/>
      <c r="D15" s="13" t="s">
        <v>788</v>
      </c>
      <c r="E15" s="365">
        <v>0</v>
      </c>
      <c r="M15" s="274">
        <f>E15-F15-G16-H16-I15-K15-J15-L15</f>
        <v>0</v>
      </c>
      <c r="N15" s="274" t="str">
        <f t="shared" si="3"/>
        <v>Matt Phone</v>
      </c>
      <c r="O15" s="282">
        <f t="shared" si="1"/>
        <v>0</v>
      </c>
      <c r="R15">
        <v>21.73</v>
      </c>
      <c r="S15" t="s">
        <v>794</v>
      </c>
    </row>
    <row r="16" spans="1:19" ht="15" customHeight="1" outlineLevel="1">
      <c r="B16" s="734"/>
      <c r="C16" s="734"/>
      <c r="D16" s="13" t="s">
        <v>668</v>
      </c>
      <c r="E16" s="365">
        <v>0</v>
      </c>
      <c r="M16" s="274">
        <f>E16-F16-G16-H16-I16-K16-J16-L16</f>
        <v>0</v>
      </c>
      <c r="N16" s="274" t="str">
        <f t="shared" si="3"/>
        <v>M -Tax</v>
      </c>
      <c r="O16" s="282">
        <f>IF(M16&lt;0,M16*-1,0)</f>
        <v>0</v>
      </c>
      <c r="R16">
        <v>25.67</v>
      </c>
      <c r="S16" t="s">
        <v>794</v>
      </c>
    </row>
    <row r="17" spans="2:19" ht="15" customHeight="1" outlineLevel="1">
      <c r="B17" s="734"/>
      <c r="C17" s="734"/>
      <c r="D17" s="13" t="s">
        <v>669</v>
      </c>
      <c r="E17" s="365">
        <v>0</v>
      </c>
      <c r="M17" s="274">
        <f t="shared" si="2"/>
        <v>0</v>
      </c>
      <c r="N17" s="274" t="str">
        <f t="shared" si="3"/>
        <v>M - Service</v>
      </c>
      <c r="O17" s="282">
        <f t="shared" si="1"/>
        <v>0</v>
      </c>
      <c r="R17">
        <v>10.98</v>
      </c>
      <c r="S17" t="s">
        <v>794</v>
      </c>
    </row>
    <row r="18" spans="2:19" ht="15" customHeight="1" outlineLevel="1">
      <c r="B18" s="734"/>
      <c r="C18" s="734"/>
      <c r="D18" s="13" t="s">
        <v>670</v>
      </c>
      <c r="E18" s="365">
        <v>0</v>
      </c>
      <c r="M18" s="274">
        <f t="shared" si="2"/>
        <v>0</v>
      </c>
      <c r="N18" s="274" t="str">
        <f t="shared" si="3"/>
        <v>M - Insurance</v>
      </c>
      <c r="O18" s="282">
        <f t="shared" si="1"/>
        <v>0</v>
      </c>
      <c r="R18">
        <v>5.22</v>
      </c>
      <c r="S18" t="s">
        <v>794</v>
      </c>
    </row>
    <row r="19" spans="2:19" ht="15" customHeight="1" outlineLevel="1">
      <c r="B19" s="734"/>
      <c r="C19" s="734"/>
      <c r="D19" s="276" t="s">
        <v>671</v>
      </c>
      <c r="E19" s="277">
        <v>0</v>
      </c>
      <c r="M19" s="274">
        <f t="shared" si="2"/>
        <v>0</v>
      </c>
      <c r="N19" s="274" t="str">
        <f t="shared" si="3"/>
        <v>K - Finance</v>
      </c>
      <c r="O19" s="282">
        <f t="shared" si="1"/>
        <v>0</v>
      </c>
      <c r="R19">
        <v>61.96</v>
      </c>
      <c r="S19" t="s">
        <v>794</v>
      </c>
    </row>
    <row r="20" spans="2:19" ht="15" customHeight="1" outlineLevel="1">
      <c r="B20" s="734"/>
      <c r="C20" s="734"/>
      <c r="D20" s="13" t="s">
        <v>672</v>
      </c>
      <c r="E20" s="365">
        <v>0</v>
      </c>
      <c r="M20" s="274">
        <f t="shared" si="2"/>
        <v>0</v>
      </c>
      <c r="N20" s="274" t="str">
        <f t="shared" si="3"/>
        <v>K - Tax</v>
      </c>
      <c r="O20" s="282">
        <f t="shared" si="1"/>
        <v>0</v>
      </c>
      <c r="R20">
        <v>10.62</v>
      </c>
      <c r="S20" t="s">
        <v>794</v>
      </c>
    </row>
    <row r="21" spans="2:19" ht="15" customHeight="1" outlineLevel="1">
      <c r="B21" s="734"/>
      <c r="C21" s="734"/>
      <c r="D21" s="13" t="s">
        <v>673</v>
      </c>
      <c r="E21" s="365">
        <v>0</v>
      </c>
      <c r="M21" s="274">
        <f t="shared" si="2"/>
        <v>0</v>
      </c>
      <c r="N21" s="274" t="str">
        <f t="shared" si="3"/>
        <v>K - Service</v>
      </c>
      <c r="O21" s="282">
        <f t="shared" si="1"/>
        <v>0</v>
      </c>
      <c r="R21">
        <v>40.590000000000003</v>
      </c>
      <c r="S21" t="s">
        <v>794</v>
      </c>
    </row>
    <row r="22" spans="2:19" ht="15" customHeight="1" outlineLevel="1">
      <c r="B22" s="734"/>
      <c r="C22" s="734"/>
      <c r="D22" s="13" t="s">
        <v>674</v>
      </c>
      <c r="E22" s="365">
        <v>0</v>
      </c>
      <c r="M22" s="274">
        <f t="shared" si="2"/>
        <v>0</v>
      </c>
      <c r="N22" s="274" t="str">
        <f t="shared" si="3"/>
        <v>K - Insurance</v>
      </c>
      <c r="O22" s="282">
        <f t="shared" si="1"/>
        <v>0</v>
      </c>
      <c r="R22">
        <v>341.96</v>
      </c>
      <c r="S22" t="s">
        <v>794</v>
      </c>
    </row>
    <row r="23" spans="2:19" ht="15" customHeight="1" outlineLevel="1">
      <c r="B23" s="734"/>
      <c r="C23" s="734"/>
      <c r="D23" s="13" t="s">
        <v>675</v>
      </c>
      <c r="E23" s="365">
        <v>0</v>
      </c>
      <c r="M23" s="274">
        <f t="shared" si="2"/>
        <v>0</v>
      </c>
      <c r="N23" s="274" t="str">
        <f t="shared" si="3"/>
        <v>MOT's</v>
      </c>
      <c r="O23" s="282">
        <f t="shared" si="1"/>
        <v>0</v>
      </c>
      <c r="R23">
        <v>6.02</v>
      </c>
      <c r="S23" t="s">
        <v>794</v>
      </c>
    </row>
    <row r="24" spans="2:19" ht="15" customHeight="1">
      <c r="B24" s="118"/>
      <c r="C24" s="118"/>
      <c r="E24" s="365"/>
      <c r="M24" s="273"/>
      <c r="N24" s="273"/>
      <c r="O24" s="282"/>
      <c r="R24">
        <v>3.1</v>
      </c>
      <c r="S24" t="s">
        <v>794</v>
      </c>
    </row>
    <row r="25" spans="2:19" ht="15" customHeight="1">
      <c r="B25" s="736" t="s">
        <v>808</v>
      </c>
      <c r="C25" s="736"/>
      <c r="D25" s="736"/>
      <c r="E25" s="736"/>
      <c r="M25" s="274"/>
      <c r="N25" s="274"/>
      <c r="O25" s="282"/>
      <c r="R25">
        <v>16.82</v>
      </c>
      <c r="S25" t="s">
        <v>794</v>
      </c>
    </row>
    <row r="26" spans="2:19" ht="15" customHeight="1">
      <c r="B26" s="727" t="str">
        <f>IF(ISNUMBER((SEARCH("Over",C$5))),"Operating under budget","Operating over budget")</f>
        <v>Operating over budget</v>
      </c>
      <c r="C26" s="727"/>
      <c r="D26" s="759">
        <f>SUM(E27:E33)</f>
        <v>272.40999999999997</v>
      </c>
      <c r="E26" s="759"/>
      <c r="M26" s="285">
        <f>SUMIF(M27:M33,"&gt;0")</f>
        <v>242.82999999999998</v>
      </c>
      <c r="N26" s="285" t="s">
        <v>895</v>
      </c>
      <c r="O26" s="282">
        <f>SUM(O28:O33)</f>
        <v>0</v>
      </c>
      <c r="R26">
        <v>33.64</v>
      </c>
      <c r="S26" t="s">
        <v>794</v>
      </c>
    </row>
    <row r="27" spans="2:19" ht="15" customHeight="1" outlineLevel="1">
      <c r="B27" s="734" t="str">
        <f>"20% : " &amp; E$43*0.2</f>
        <v>20% : 188.584</v>
      </c>
      <c r="C27" s="734" t="str">
        <f>"20% : " &amp; E$43*0.2</f>
        <v>20% : 188.584</v>
      </c>
      <c r="D27" s="300" t="s">
        <v>896</v>
      </c>
      <c r="E27" s="365">
        <v>0</v>
      </c>
      <c r="M27" s="274">
        <f>IF(E27-F27-G27-H27-I27-K27-J27-L27-O43 &gt; 0, E27-F27-G27-H27-I27-K27-J27-L27-O43, E27-F27-G27-H27-I27-K27-J27-L27)</f>
        <v>0</v>
      </c>
      <c r="N27" s="274" t="str">
        <f>D27</f>
        <v>Contingency 20%</v>
      </c>
      <c r="O27" s="282">
        <f t="shared" ref="O27:O33" si="4">IF(M27&lt;0,M27*-1,0)</f>
        <v>0</v>
      </c>
      <c r="R27">
        <v>6.64</v>
      </c>
      <c r="S27" t="s">
        <v>794</v>
      </c>
    </row>
    <row r="28" spans="2:19" ht="15" customHeight="1" outlineLevel="1">
      <c r="B28" s="734"/>
      <c r="C28" s="734"/>
      <c r="D28" s="300" t="s">
        <v>897</v>
      </c>
      <c r="E28" s="365">
        <v>0</v>
      </c>
      <c r="M28" s="274">
        <f t="shared" ref="M28:M33" si="5">E28-F28-G28-H28-I28-K28-J28-L28</f>
        <v>0</v>
      </c>
      <c r="N28" s="274" t="str">
        <f t="shared" ref="N28:N33" si="6">D28</f>
        <v>Holiday Fund 60%</v>
      </c>
      <c r="O28" s="282">
        <f t="shared" si="4"/>
        <v>0</v>
      </c>
      <c r="R28">
        <v>44.27</v>
      </c>
      <c r="S28" t="s">
        <v>794</v>
      </c>
    </row>
    <row r="29" spans="2:19" ht="15" customHeight="1" outlineLevel="1">
      <c r="B29" s="734"/>
      <c r="C29" s="734"/>
      <c r="D29" s="300" t="s">
        <v>811</v>
      </c>
      <c r="E29" s="365">
        <v>72.41</v>
      </c>
      <c r="L29">
        <v>29.58</v>
      </c>
      <c r="M29" s="274">
        <f t="shared" si="5"/>
        <v>42.83</v>
      </c>
      <c r="N29" s="274" t="str">
        <f t="shared" si="6"/>
        <v>Gift Fund 20%</v>
      </c>
      <c r="O29" s="282">
        <f t="shared" si="4"/>
        <v>0</v>
      </c>
      <c r="R29">
        <v>10.45</v>
      </c>
      <c r="S29" t="s">
        <v>794</v>
      </c>
    </row>
    <row r="30" spans="2:19" ht="15" customHeight="1" outlineLevel="1">
      <c r="B30" s="734" t="s">
        <v>130</v>
      </c>
      <c r="C30" s="734"/>
      <c r="D30" s="300" t="s">
        <v>812</v>
      </c>
      <c r="E30" s="365">
        <v>0</v>
      </c>
      <c r="M30" s="274">
        <f t="shared" si="5"/>
        <v>0</v>
      </c>
      <c r="N30" s="274" t="str">
        <f t="shared" si="6"/>
        <v>Wedding</v>
      </c>
      <c r="O30" s="282">
        <f t="shared" si="4"/>
        <v>0</v>
      </c>
      <c r="R30">
        <v>8.25</v>
      </c>
      <c r="S30" t="s">
        <v>794</v>
      </c>
    </row>
    <row r="31" spans="2:19" ht="15" customHeight="1" outlineLevel="1">
      <c r="B31" s="734"/>
      <c r="C31" s="734"/>
      <c r="D31" s="300" t="s">
        <v>813</v>
      </c>
      <c r="E31" s="365">
        <v>0</v>
      </c>
      <c r="M31" s="274">
        <f t="shared" si="5"/>
        <v>0</v>
      </c>
      <c r="N31" s="274" t="str">
        <f t="shared" si="6"/>
        <v>Driving Lessons</v>
      </c>
      <c r="O31" s="282">
        <f t="shared" si="4"/>
        <v>0</v>
      </c>
      <c r="R31">
        <v>6.68</v>
      </c>
      <c r="S31" t="s">
        <v>794</v>
      </c>
    </row>
    <row r="32" spans="2:19" ht="15" customHeight="1" outlineLevel="1">
      <c r="B32" s="734"/>
      <c r="C32" s="734"/>
      <c r="D32" s="300" t="s">
        <v>174</v>
      </c>
      <c r="E32" s="365">
        <v>0</v>
      </c>
      <c r="F32" s="11"/>
      <c r="M32" s="274">
        <f t="shared" si="5"/>
        <v>0</v>
      </c>
      <c r="N32" s="274" t="str">
        <f t="shared" si="6"/>
        <v>House</v>
      </c>
      <c r="O32" s="282">
        <f t="shared" si="4"/>
        <v>0</v>
      </c>
      <c r="R32">
        <v>14.32</v>
      </c>
      <c r="S32" t="s">
        <v>794</v>
      </c>
    </row>
    <row r="33" spans="2:18" ht="15" customHeight="1" outlineLevel="1">
      <c r="B33" s="734"/>
      <c r="C33" s="734"/>
      <c r="D33" s="300" t="s">
        <v>814</v>
      </c>
      <c r="E33" s="365">
        <v>200</v>
      </c>
      <c r="F33" s="11"/>
      <c r="M33" s="274">
        <f t="shared" si="5"/>
        <v>200</v>
      </c>
      <c r="N33" s="274" t="str">
        <f t="shared" si="6"/>
        <v>CC</v>
      </c>
      <c r="O33" s="282">
        <f t="shared" si="4"/>
        <v>0</v>
      </c>
      <c r="R33">
        <f>SUMIF(S4:S32,"Barcelona",R4:R32)</f>
        <v>848.65000000000009</v>
      </c>
    </row>
    <row r="34" spans="2:18" ht="15" customHeight="1">
      <c r="B34" s="118"/>
      <c r="C34" s="118"/>
      <c r="E34" s="365"/>
      <c r="M34" s="273"/>
      <c r="N34" s="273"/>
      <c r="O34" s="282"/>
    </row>
    <row r="35" spans="2:18" ht="15" customHeight="1">
      <c r="B35" s="727" t="s">
        <v>898</v>
      </c>
      <c r="C35" s="727"/>
      <c r="D35" s="727"/>
      <c r="E35" s="727"/>
      <c r="M35" s="273"/>
      <c r="N35" s="273"/>
      <c r="O35" s="282"/>
    </row>
    <row r="36" spans="2:18" ht="15" customHeight="1">
      <c r="B36" s="727" t="str">
        <f>IF(ISNUMBER((SEARCH("Over",B$5))),"Operating under budget","Operating over budget")</f>
        <v>Operating under budget</v>
      </c>
      <c r="C36" s="727"/>
      <c r="D36" s="759">
        <f>(E$43-D5-D26)</f>
        <v>0</v>
      </c>
      <c r="E36" s="727"/>
      <c r="M36" s="285">
        <f>SUMIF(M37:M40,"&gt;0")</f>
        <v>0</v>
      </c>
      <c r="N36" s="285" t="s">
        <v>899</v>
      </c>
      <c r="O36" s="282">
        <f>SUM(O37:O40)</f>
        <v>0</v>
      </c>
    </row>
    <row r="37" spans="2:18" ht="15" customHeight="1" outlineLevel="1">
      <c r="B37" s="734" t="str">
        <f>"30%: " &amp; (E$43*0.3)</f>
        <v>30%: 282.876</v>
      </c>
      <c r="C37" s="760" t="str">
        <f>ROUND(((E$43-D5-(E$43*0.2))/E$43)*100,2) &amp; "%: " &amp; (E$43-D5-(E$43*0.2))</f>
        <v>8.89%: 83.826</v>
      </c>
      <c r="D37" s="13" t="s">
        <v>179</v>
      </c>
      <c r="E37" s="365">
        <v>0</v>
      </c>
      <c r="M37" s="274">
        <f>E37-F37-G37-H37-I37-K37-J37-L37</f>
        <v>0</v>
      </c>
      <c r="N37" s="274" t="str">
        <f>D37</f>
        <v>Sky Movies</v>
      </c>
      <c r="O37" s="282">
        <f>IF(M37&lt;0,M37*-1,0)</f>
        <v>0</v>
      </c>
    </row>
    <row r="38" spans="2:18" ht="18" outlineLevel="1">
      <c r="B38" s="734"/>
      <c r="C38" s="760"/>
      <c r="D38" s="13" t="s">
        <v>589</v>
      </c>
      <c r="E38" s="365">
        <v>0</v>
      </c>
      <c r="M38" s="274">
        <f>E38-F38-G38-H38-I38-K38-J38-L38</f>
        <v>0</v>
      </c>
      <c r="N38" s="274" t="str">
        <f>D38</f>
        <v>Music</v>
      </c>
      <c r="O38" s="282">
        <f>IF(M38&lt;0,M38*-1,0)</f>
        <v>0</v>
      </c>
    </row>
    <row r="39" spans="2:18" ht="15.75" customHeight="1" outlineLevel="1">
      <c r="B39" s="734"/>
      <c r="C39" s="760"/>
      <c r="D39" s="13" t="s">
        <v>781</v>
      </c>
      <c r="E39" s="365">
        <v>0</v>
      </c>
      <c r="M39" s="274">
        <f>E39-F39-G39-H39-I39-K39-J39-L39</f>
        <v>0</v>
      </c>
      <c r="N39" s="274" t="str">
        <f>D39</f>
        <v>Subscriptions</v>
      </c>
      <c r="O39" s="282">
        <f>IF(M39&lt;0,M39*-1,0)</f>
        <v>0</v>
      </c>
    </row>
    <row r="40" spans="2:18" ht="18" outlineLevel="1">
      <c r="B40" s="734"/>
      <c r="C40" s="760"/>
      <c r="D40" s="13" t="s">
        <v>815</v>
      </c>
      <c r="E40" s="365">
        <f>D36*0.1</f>
        <v>0</v>
      </c>
      <c r="M40" s="274">
        <f>E40-F40-G40-H40-I40-K40-J40-L40</f>
        <v>0</v>
      </c>
      <c r="N40" s="274" t="str">
        <f>D40</f>
        <v>Shared 10%</v>
      </c>
      <c r="O40" s="282">
        <f>IF(M40&lt;0,M40*-1,0)</f>
        <v>0</v>
      </c>
      <c r="R40" s="11">
        <f>M36+M41</f>
        <v>0</v>
      </c>
    </row>
    <row r="41" spans="2:18" ht="18" outlineLevel="1">
      <c r="B41" s="734"/>
      <c r="C41" s="760"/>
      <c r="D41" s="13" t="s">
        <v>900</v>
      </c>
      <c r="E41" s="365">
        <f>(D36-E37-E38-E39-E40-O43)</f>
        <v>0</v>
      </c>
      <c r="M41" s="274">
        <f>E41-F41-G41-H41-I41-K41-J41-L41</f>
        <v>0</v>
      </c>
      <c r="N41" s="274" t="str">
        <f>D41</f>
        <v>Fun Matt</v>
      </c>
      <c r="O41" s="271"/>
    </row>
    <row r="42" spans="2:18">
      <c r="B42" s="118"/>
      <c r="C42" s="118"/>
      <c r="E42" s="365"/>
      <c r="M42" s="273"/>
      <c r="N42" s="273"/>
      <c r="O42" s="282"/>
    </row>
    <row r="43" spans="2:18" ht="18">
      <c r="B43" s="728" t="s">
        <v>817</v>
      </c>
      <c r="C43" s="728"/>
      <c r="D43" s="728"/>
      <c r="E43" s="375">
        <f>F43+G43+H43+I43+J43</f>
        <v>942.92</v>
      </c>
      <c r="F43" s="271">
        <f>942.92</f>
        <v>942.92</v>
      </c>
      <c r="G43" s="271"/>
      <c r="H43" s="271"/>
      <c r="I43" s="271"/>
      <c r="J43" s="271"/>
      <c r="K43" s="271"/>
      <c r="L43" s="271"/>
      <c r="M43" s="285" t="str">
        <f>"£" &amp; M5+M36+M26+K3+M41+L3 &amp; " / " &amp; "£" &amp; E43</f>
        <v>£453.36 / £942.92</v>
      </c>
      <c r="N43" s="274"/>
      <c r="O43" s="282">
        <f>SUM(O36,O26,O5)</f>
        <v>0</v>
      </c>
    </row>
    <row r="44" spans="2:18">
      <c r="B44" s="118"/>
      <c r="C44" s="7"/>
      <c r="E44" s="365"/>
      <c r="R44" s="243">
        <f>93-(K3+2.98)</f>
        <v>90.02</v>
      </c>
    </row>
    <row r="45" spans="2:18" ht="14.4">
      <c r="B45" s="729" t="s">
        <v>818</v>
      </c>
      <c r="C45" s="729"/>
      <c r="D45" s="729"/>
      <c r="E45" s="729"/>
      <c r="F45" s="729"/>
      <c r="G45">
        <f>1076.05-133.13</f>
        <v>942.92</v>
      </c>
      <c r="H45" s="729" t="s">
        <v>819</v>
      </c>
      <c r="I45" s="729"/>
      <c r="J45" s="729"/>
      <c r="K45" s="729"/>
      <c r="L45" s="729"/>
      <c r="M45" s="729"/>
      <c r="N45" s="297"/>
    </row>
    <row r="46" spans="2:18">
      <c r="B46">
        <v>0</v>
      </c>
      <c r="C46">
        <v>0</v>
      </c>
      <c r="D46">
        <v>500</v>
      </c>
      <c r="E46"/>
      <c r="F46" t="s">
        <v>288</v>
      </c>
      <c r="H46" s="212" t="s">
        <v>820</v>
      </c>
      <c r="I46" s="278" t="s">
        <v>821</v>
      </c>
      <c r="J46" s="278"/>
      <c r="K46" s="212" t="s">
        <v>822</v>
      </c>
      <c r="L46" s="212"/>
      <c r="M46" s="212" t="s">
        <v>823</v>
      </c>
      <c r="N46" s="212"/>
      <c r="P46">
        <f>200+42.83+68.5+93.02</f>
        <v>404.34999999999997</v>
      </c>
      <c r="Q46" s="11">
        <f>P46+M10</f>
        <v>423.78</v>
      </c>
    </row>
    <row r="47" spans="2:18">
      <c r="B47">
        <f t="shared" ref="B47:B55" si="7">B46+D$46-C47</f>
        <v>-35</v>
      </c>
      <c r="C47">
        <f>635-D47</f>
        <v>535</v>
      </c>
      <c r="D47">
        <v>100</v>
      </c>
      <c r="E47" t="s">
        <v>794</v>
      </c>
      <c r="F47" t="s">
        <v>824</v>
      </c>
      <c r="H47" s="214">
        <v>154950</v>
      </c>
      <c r="I47" s="376">
        <v>123960</v>
      </c>
      <c r="J47" s="376"/>
      <c r="K47" s="214">
        <v>23240</v>
      </c>
      <c r="L47" s="214"/>
      <c r="M47" s="214">
        <v>7950</v>
      </c>
      <c r="N47" s="214"/>
    </row>
    <row r="48" spans="2:18">
      <c r="B48">
        <f t="shared" si="7"/>
        <v>465</v>
      </c>
      <c r="C48">
        <f>0</f>
        <v>0</v>
      </c>
      <c r="D48">
        <v>100</v>
      </c>
      <c r="E48"/>
      <c r="F48" t="s">
        <v>277</v>
      </c>
      <c r="I48" s="365"/>
      <c r="J48" s="365"/>
      <c r="M48"/>
      <c r="N48"/>
    </row>
    <row r="49" spans="2:16">
      <c r="B49">
        <f t="shared" si="7"/>
        <v>965</v>
      </c>
      <c r="C49">
        <v>0</v>
      </c>
      <c r="E49"/>
      <c r="F49" t="s">
        <v>278</v>
      </c>
      <c r="H49" s="212" t="s">
        <v>825</v>
      </c>
      <c r="I49" s="278" t="s">
        <v>826</v>
      </c>
      <c r="J49" s="278"/>
      <c r="K49" s="212" t="s">
        <v>827</v>
      </c>
      <c r="L49" s="212"/>
      <c r="M49" s="212" t="s">
        <v>828</v>
      </c>
      <c r="N49" s="212"/>
    </row>
    <row r="50" spans="2:16">
      <c r="B50">
        <f t="shared" si="7"/>
        <v>1465</v>
      </c>
      <c r="C50">
        <v>0</v>
      </c>
      <c r="E50"/>
      <c r="F50" t="s">
        <v>279</v>
      </c>
      <c r="H50" s="56">
        <v>123960</v>
      </c>
      <c r="I50" s="365">
        <v>450</v>
      </c>
      <c r="J50" s="365"/>
      <c r="K50" s="56">
        <v>11922</v>
      </c>
      <c r="L50" s="56"/>
      <c r="M50" s="56">
        <v>15697</v>
      </c>
      <c r="N50" s="56"/>
    </row>
    <row r="51" spans="2:16">
      <c r="B51">
        <f t="shared" si="7"/>
        <v>315</v>
      </c>
      <c r="C51">
        <f>2000-D51</f>
        <v>1650</v>
      </c>
      <c r="D51">
        <f>75+75+100+100</f>
        <v>350</v>
      </c>
      <c r="E51" t="s">
        <v>796</v>
      </c>
      <c r="F51" t="s">
        <v>280</v>
      </c>
      <c r="I51" s="365"/>
      <c r="J51" s="365"/>
      <c r="M51"/>
      <c r="N51"/>
    </row>
    <row r="52" spans="2:16">
      <c r="B52">
        <f t="shared" si="7"/>
        <v>815</v>
      </c>
      <c r="C52">
        <v>0</v>
      </c>
      <c r="E52"/>
      <c r="F52" t="s">
        <v>281</v>
      </c>
      <c r="H52" s="212" t="s">
        <v>829</v>
      </c>
      <c r="I52" s="278" t="s">
        <v>830</v>
      </c>
      <c r="J52" s="278"/>
      <c r="K52" s="212" t="s">
        <v>831</v>
      </c>
      <c r="L52" s="212"/>
      <c r="M52" s="212" t="s">
        <v>832</v>
      </c>
      <c r="N52" s="212"/>
      <c r="O52" s="279" t="s">
        <v>833</v>
      </c>
    </row>
    <row r="53" spans="2:16">
      <c r="B53">
        <f t="shared" si="7"/>
        <v>1315</v>
      </c>
      <c r="C53">
        <v>0</v>
      </c>
      <c r="E53"/>
      <c r="F53" t="s">
        <v>282</v>
      </c>
      <c r="H53" s="258">
        <v>0.15</v>
      </c>
      <c r="I53" s="365">
        <f>H47*1.1</f>
        <v>170445</v>
      </c>
      <c r="J53" s="365"/>
      <c r="K53" s="38">
        <f>I53*0.2</f>
        <v>34089</v>
      </c>
      <c r="L53" s="38"/>
      <c r="M53" s="56">
        <v>113036</v>
      </c>
      <c r="N53" s="56"/>
      <c r="O53" s="280">
        <f>M53+K53</f>
        <v>147125</v>
      </c>
    </row>
    <row r="54" spans="2:16" ht="14.4">
      <c r="B54">
        <f t="shared" si="7"/>
        <v>1815</v>
      </c>
      <c r="C54">
        <v>0</v>
      </c>
      <c r="E54"/>
      <c r="F54" t="s">
        <v>284</v>
      </c>
    </row>
    <row r="55" spans="2:16">
      <c r="B55">
        <f t="shared" si="7"/>
        <v>15</v>
      </c>
      <c r="C55">
        <f>3000-D55</f>
        <v>2300</v>
      </c>
      <c r="D55">
        <f>150+150+200+200</f>
        <v>700</v>
      </c>
      <c r="E55" t="s">
        <v>797</v>
      </c>
      <c r="F55" t="s">
        <v>285</v>
      </c>
      <c r="H55" s="212" t="s">
        <v>820</v>
      </c>
      <c r="I55" s="278" t="s">
        <v>821</v>
      </c>
      <c r="J55" s="278"/>
      <c r="K55" s="212" t="s">
        <v>822</v>
      </c>
      <c r="L55" s="212"/>
      <c r="M55" s="212" t="s">
        <v>823</v>
      </c>
      <c r="N55" s="212"/>
    </row>
    <row r="56" spans="2:16">
      <c r="E56" s="365"/>
      <c r="H56" s="214">
        <v>154950</v>
      </c>
      <c r="I56" s="376">
        <v>123960</v>
      </c>
      <c r="J56" s="376"/>
      <c r="K56" s="214">
        <v>23240</v>
      </c>
      <c r="L56" s="214"/>
      <c r="M56" s="214">
        <v>7950</v>
      </c>
      <c r="N56" s="214"/>
    </row>
    <row r="57" spans="2:16" ht="16.5" customHeight="1">
      <c r="B57" s="726" t="s">
        <v>901</v>
      </c>
      <c r="C57" s="726"/>
      <c r="D57" s="726"/>
      <c r="E57" s="726"/>
      <c r="F57" s="726"/>
      <c r="I57" s="365"/>
      <c r="J57" s="365"/>
      <c r="M57"/>
      <c r="N57"/>
    </row>
    <row r="58" spans="2:16">
      <c r="B58">
        <v>1950</v>
      </c>
      <c r="C58" t="s">
        <v>889</v>
      </c>
      <c r="D58" t="s">
        <v>15</v>
      </c>
      <c r="E58">
        <v>1938.82</v>
      </c>
      <c r="F58" s="365" t="s">
        <v>887</v>
      </c>
      <c r="G58" t="s">
        <v>15</v>
      </c>
      <c r="H58" s="212" t="s">
        <v>825</v>
      </c>
      <c r="I58" s="278" t="s">
        <v>826</v>
      </c>
      <c r="J58" s="278"/>
      <c r="K58" s="212" t="s">
        <v>902</v>
      </c>
      <c r="L58" s="212"/>
      <c r="M58" s="212" t="s">
        <v>903</v>
      </c>
      <c r="N58" s="212"/>
    </row>
    <row r="59" spans="2:16">
      <c r="B59">
        <f>B58-C59</f>
        <v>1650</v>
      </c>
      <c r="C59">
        <v>300</v>
      </c>
      <c r="D59" t="s">
        <v>904</v>
      </c>
      <c r="E59" s="365">
        <f>E58-F59</f>
        <v>489.81999999999994</v>
      </c>
      <c r="F59" s="365">
        <v>1449</v>
      </c>
      <c r="G59" t="s">
        <v>904</v>
      </c>
      <c r="H59" s="56">
        <v>123960</v>
      </c>
      <c r="I59" s="365">
        <v>450</v>
      </c>
      <c r="J59" s="365"/>
      <c r="K59" s="56">
        <f>(11922/60)*18</f>
        <v>3576.6</v>
      </c>
      <c r="L59" s="56"/>
      <c r="M59" s="56">
        <f>(15697/60)*18</f>
        <v>4709.1000000000004</v>
      </c>
      <c r="N59" s="56"/>
    </row>
    <row r="60" spans="2:16">
      <c r="B60">
        <f>B59-C60</f>
        <v>1450</v>
      </c>
      <c r="C60">
        <v>200</v>
      </c>
      <c r="D60" t="s">
        <v>905</v>
      </c>
      <c r="E60" s="365"/>
      <c r="F60" s="365"/>
      <c r="I60" s="365"/>
      <c r="J60" s="365"/>
      <c r="M60"/>
      <c r="N60"/>
    </row>
    <row r="61" spans="2:16">
      <c r="B61">
        <f t="shared" ref="B61:B62" si="8">B60-C61</f>
        <v>1200</v>
      </c>
      <c r="C61">
        <v>250</v>
      </c>
      <c r="D61" t="s">
        <v>906</v>
      </c>
      <c r="E61" s="365"/>
      <c r="F61">
        <v>489.82</v>
      </c>
      <c r="G61" t="s">
        <v>277</v>
      </c>
      <c r="H61" s="212" t="s">
        <v>829</v>
      </c>
      <c r="I61" s="278" t="s">
        <v>830</v>
      </c>
      <c r="J61" s="278"/>
      <c r="K61" s="212" t="s">
        <v>831</v>
      </c>
      <c r="L61" s="212"/>
      <c r="M61" s="212" t="s">
        <v>832</v>
      </c>
      <c r="N61" s="212"/>
      <c r="O61" s="279" t="s">
        <v>833</v>
      </c>
    </row>
    <row r="62" spans="2:16">
      <c r="B62">
        <f t="shared" si="8"/>
        <v>950</v>
      </c>
      <c r="C62">
        <v>250</v>
      </c>
      <c r="D62" t="s">
        <v>907</v>
      </c>
      <c r="E62" s="365"/>
      <c r="F62" s="11"/>
      <c r="H62" s="258">
        <v>0.15</v>
      </c>
      <c r="I62" s="365">
        <f>H56*1.1</f>
        <v>170445</v>
      </c>
      <c r="J62" s="365"/>
      <c r="K62" s="38">
        <f>K56+(I62-H56)*0.2</f>
        <v>26339</v>
      </c>
      <c r="L62" s="38"/>
      <c r="M62" s="56">
        <f>I56-K59</f>
        <v>120383.4</v>
      </c>
      <c r="N62" s="56"/>
      <c r="O62" s="280">
        <f>M62+K62</f>
        <v>146722.4</v>
      </c>
      <c r="P62" t="s">
        <v>908</v>
      </c>
    </row>
    <row r="63" spans="2:16">
      <c r="E63" s="365"/>
      <c r="O63">
        <v>153000</v>
      </c>
      <c r="P63" t="s">
        <v>909</v>
      </c>
    </row>
    <row r="64" spans="2:16">
      <c r="E64" s="365"/>
      <c r="O64" s="38">
        <f>O63-O62</f>
        <v>6277.6000000000058</v>
      </c>
    </row>
    <row r="65" spans="2:17">
      <c r="B65" t="s">
        <v>910</v>
      </c>
      <c r="E65" s="365"/>
      <c r="O65" s="38">
        <f>O64-P65</f>
        <v>4277.6000000000058</v>
      </c>
      <c r="P65">
        <v>2000</v>
      </c>
      <c r="Q65" t="s">
        <v>814</v>
      </c>
    </row>
    <row r="66" spans="2:17">
      <c r="B66" t="s">
        <v>911</v>
      </c>
      <c r="E66" s="365"/>
      <c r="O66" s="38">
        <f>O65-P66</f>
        <v>2277.6000000000058</v>
      </c>
      <c r="P66">
        <v>2000</v>
      </c>
      <c r="Q66" t="s">
        <v>174</v>
      </c>
    </row>
    <row r="67" spans="2:17">
      <c r="B67" t="s">
        <v>912</v>
      </c>
      <c r="E67" s="365"/>
      <c r="O67" s="38">
        <f>O66-P67</f>
        <v>2000.0000000000059</v>
      </c>
      <c r="P67">
        <v>277.60000000000002</v>
      </c>
      <c r="Q67" t="s">
        <v>129</v>
      </c>
    </row>
    <row r="68" spans="2:17">
      <c r="E68" s="365"/>
      <c r="O68" s="38">
        <f>O67-P68</f>
        <v>5.9117155615240335E-12</v>
      </c>
      <c r="P68">
        <v>2000</v>
      </c>
      <c r="Q68" t="s">
        <v>913</v>
      </c>
    </row>
    <row r="70" spans="2:17">
      <c r="E70" s="365">
        <f>2075.44</f>
        <v>2075.44</v>
      </c>
    </row>
    <row r="71" spans="2:17">
      <c r="E71" s="365">
        <v>26.98</v>
      </c>
      <c r="F71" t="s">
        <v>702</v>
      </c>
    </row>
    <row r="72" spans="2:17">
      <c r="E72" s="365">
        <v>26.97</v>
      </c>
      <c r="F72" t="s">
        <v>701</v>
      </c>
    </row>
    <row r="73" spans="2:17">
      <c r="E73" s="365">
        <v>25.78</v>
      </c>
      <c r="F73" t="s">
        <v>702</v>
      </c>
    </row>
    <row r="74" spans="2:17">
      <c r="E74" s="365">
        <v>9.98</v>
      </c>
      <c r="F74" t="s">
        <v>632</v>
      </c>
    </row>
    <row r="75" spans="2:17">
      <c r="E75" s="365">
        <v>6</v>
      </c>
      <c r="F75" t="s">
        <v>632</v>
      </c>
    </row>
    <row r="76" spans="2:17">
      <c r="E76" s="365">
        <v>27.02</v>
      </c>
      <c r="F76" t="s">
        <v>169</v>
      </c>
    </row>
    <row r="77" spans="2:17">
      <c r="E77" s="365">
        <v>26.38</v>
      </c>
      <c r="F77" t="s">
        <v>702</v>
      </c>
    </row>
    <row r="78" spans="2:17">
      <c r="E78" s="365">
        <f>SUM(E71:E77)</f>
        <v>149.11000000000001</v>
      </c>
    </row>
    <row r="79" spans="2:17">
      <c r="E79" s="365">
        <f>E70-E78</f>
        <v>1926.33</v>
      </c>
    </row>
  </sheetData>
  <mergeCells count="21">
    <mergeCell ref="B30:C33"/>
    <mergeCell ref="B1:M1"/>
    <mergeCell ref="B4:E4"/>
    <mergeCell ref="B5:C5"/>
    <mergeCell ref="D5:E5"/>
    <mergeCell ref="B6:B23"/>
    <mergeCell ref="C6:C23"/>
    <mergeCell ref="B25:E25"/>
    <mergeCell ref="B26:C26"/>
    <mergeCell ref="D26:E26"/>
    <mergeCell ref="B27:B29"/>
    <mergeCell ref="C27:C29"/>
    <mergeCell ref="B45:F45"/>
    <mergeCell ref="H45:M45"/>
    <mergeCell ref="B57:F57"/>
    <mergeCell ref="B35:E35"/>
    <mergeCell ref="B36:C36"/>
    <mergeCell ref="D36:E36"/>
    <mergeCell ref="B37:B41"/>
    <mergeCell ref="C37:C41"/>
    <mergeCell ref="B43:D43"/>
  </mergeCells>
  <pageMargins left="0.7" right="0.7" top="0.75" bottom="0.75" header="0.3" footer="0.3"/>
  <pageSetup orientation="portrait" r:id="rId1"/>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84C3-B8D7-4B71-A25E-2E2BBE13C650}">
  <sheetPr codeName="Sheet69"/>
  <dimension ref="A1:S77"/>
  <sheetViews>
    <sheetView topLeftCell="B1" workbookViewId="0"/>
  </sheetViews>
  <sheetFormatPr defaultColWidth="10.33203125" defaultRowHeight="15.6" outlineLevelRow="2"/>
  <cols>
    <col min="1" max="1" width="15.44140625" hidden="1" customWidth="1"/>
    <col min="2" max="2" width="15.44140625" customWidth="1"/>
    <col min="3" max="3" width="21.109375" customWidth="1"/>
    <col min="4" max="4" width="36.44140625" customWidth="1"/>
    <col min="5" max="5" width="23" style="267" customWidth="1"/>
    <col min="6" max="10" width="22.44140625" customWidth="1"/>
    <col min="11" max="12" width="21.6640625" customWidth="1"/>
    <col min="13" max="14" width="22.44140625" style="7" customWidth="1"/>
    <col min="15" max="15" width="19.44140625" customWidth="1"/>
    <col min="16" max="16" width="11.33203125" customWidth="1"/>
    <col min="19" max="19" width="16.109375" customWidth="1"/>
  </cols>
  <sheetData>
    <row r="1" spans="1:19" ht="25.5" customHeight="1">
      <c r="A1" t="str">
        <f ca="1">UPPER(TEXT((1&amp;LEFT(B$1,3))-1,"MMM"))&amp;"-"&amp;UPPER(TEXT((1&amp;RIGHT(LEFT(B$1,7),3))-1,"MMM"))&amp;" "&amp;RIGHT(B$1,4)</f>
        <v>AUG-SEP  (4)</v>
      </c>
      <c r="B1" s="730" t="str">
        <f ca="1">MID(CELL("filename",B1),FIND("]",CELL("filename",B1))+1,255)</f>
        <v>SEP-OCT 2019 (4)</v>
      </c>
      <c r="C1" s="731"/>
      <c r="D1" s="731"/>
      <c r="E1" s="731"/>
      <c r="F1" s="731"/>
      <c r="G1" s="731"/>
      <c r="H1" s="731"/>
      <c r="I1" s="731"/>
      <c r="J1" s="731"/>
      <c r="K1" s="731"/>
      <c r="L1" s="731"/>
      <c r="M1" s="731"/>
      <c r="N1" s="298"/>
      <c r="O1" s="281"/>
      <c r="P1" s="272"/>
      <c r="Q1" s="272"/>
      <c r="R1" s="272"/>
    </row>
    <row r="2" spans="1:19">
      <c r="B2" s="118"/>
      <c r="C2" s="118"/>
      <c r="D2">
        <f>1810.29-650</f>
        <v>1160.29</v>
      </c>
      <c r="E2" s="365"/>
      <c r="F2" t="s">
        <v>798</v>
      </c>
      <c r="G2" t="s">
        <v>799</v>
      </c>
      <c r="H2" t="s">
        <v>800</v>
      </c>
      <c r="I2" t="s">
        <v>801</v>
      </c>
      <c r="J2" t="s">
        <v>886</v>
      </c>
      <c r="K2" t="s">
        <v>887</v>
      </c>
      <c r="L2" t="s">
        <v>888</v>
      </c>
      <c r="M2" s="273" t="s">
        <v>10</v>
      </c>
      <c r="N2" s="273"/>
      <c r="O2" s="283" t="s">
        <v>803</v>
      </c>
      <c r="R2" t="s">
        <v>889</v>
      </c>
    </row>
    <row r="3" spans="1:19">
      <c r="B3" s="118"/>
      <c r="C3" s="118"/>
      <c r="E3" s="365"/>
      <c r="F3" s="42">
        <v>43728</v>
      </c>
      <c r="G3" s="42">
        <f>F3+7</f>
        <v>43735</v>
      </c>
      <c r="H3" s="42">
        <f t="shared" ref="H3:J3" si="0">G3+7</f>
        <v>43742</v>
      </c>
      <c r="I3" s="42">
        <f t="shared" si="0"/>
        <v>43749</v>
      </c>
      <c r="J3" s="42">
        <f t="shared" si="0"/>
        <v>43756</v>
      </c>
      <c r="K3" s="243">
        <f>SUM(K4:K50)</f>
        <v>0</v>
      </c>
      <c r="L3" s="243">
        <f>SUM(L4:L50)</f>
        <v>0</v>
      </c>
      <c r="M3" s="273"/>
      <c r="N3" s="273"/>
      <c r="O3" s="282"/>
      <c r="Q3" t="s">
        <v>890</v>
      </c>
      <c r="R3">
        <f>2000-3.2</f>
        <v>1996.8</v>
      </c>
    </row>
    <row r="4" spans="1:19" ht="15" customHeight="1">
      <c r="B4" s="727" t="s">
        <v>804</v>
      </c>
      <c r="C4" s="727"/>
      <c r="D4" s="727"/>
      <c r="E4" s="727"/>
      <c r="M4" s="273"/>
      <c r="N4" s="273"/>
      <c r="O4" s="282"/>
      <c r="Q4" t="s">
        <v>664</v>
      </c>
      <c r="R4">
        <v>84</v>
      </c>
      <c r="S4" t="s">
        <v>891</v>
      </c>
    </row>
    <row r="5" spans="1:19" ht="15" customHeight="1">
      <c r="B5" s="733" t="str">
        <f>IF(D5&gt;E$52*0.5,ROUND(D5-E$52*0.5,2) &amp; " Over",ROUND(E$52*0.5-D5,2) &amp; " Under")</f>
        <v>31.92 Under</v>
      </c>
      <c r="C5" s="733"/>
      <c r="D5" s="761">
        <f>SUM(E6:E10)+E16+SUM(E21:E32)</f>
        <v>194.76</v>
      </c>
      <c r="E5" s="761"/>
      <c r="F5" s="284"/>
      <c r="G5" s="79"/>
      <c r="H5" s="79"/>
      <c r="I5" s="79"/>
      <c r="J5" s="79"/>
      <c r="M5" s="285">
        <f>SUMIF(M6:M32,"&gt;0")</f>
        <v>99.28</v>
      </c>
      <c r="N5" s="285" t="s">
        <v>892</v>
      </c>
      <c r="O5" s="282">
        <f>SUM(O6:O32)</f>
        <v>16.77000000000001</v>
      </c>
      <c r="R5">
        <v>37.380000000000003</v>
      </c>
      <c r="S5" t="s">
        <v>893</v>
      </c>
    </row>
    <row r="6" spans="1:19" ht="15" customHeight="1">
      <c r="B6" s="734" t="str">
        <f>"50%: " &amp; E$52*0.5</f>
        <v>50%: 226.68</v>
      </c>
      <c r="C6" s="734" t="str">
        <f>ROUND((D5/E$52)*100,2) &amp; "%: " &amp;D5</f>
        <v>42.96%: 194.76</v>
      </c>
      <c r="D6" s="300" t="s">
        <v>805</v>
      </c>
      <c r="E6" s="374">
        <v>93.02</v>
      </c>
      <c r="F6">
        <v>25.98</v>
      </c>
      <c r="M6" s="274">
        <f>E6-F6-G6-H6-I6-K6-J6-L6</f>
        <v>67.039999999999992</v>
      </c>
      <c r="N6" s="274" t="str">
        <f>D6</f>
        <v>Car Petrol / commuting</v>
      </c>
      <c r="O6" s="282">
        <f>IF(M6&lt;0,M6*-1,0)</f>
        <v>0</v>
      </c>
      <c r="R6">
        <v>7.39</v>
      </c>
      <c r="S6" t="s">
        <v>633</v>
      </c>
    </row>
    <row r="7" spans="1:19" ht="15" customHeight="1">
      <c r="B7" s="734"/>
      <c r="C7" s="734"/>
      <c r="D7" s="300" t="s">
        <v>806</v>
      </c>
      <c r="E7" s="365">
        <v>68.5</v>
      </c>
      <c r="F7">
        <f>9.5+1.99+12+33.5+2.1+2.25+20.48+3.45</f>
        <v>85.27000000000001</v>
      </c>
      <c r="M7" s="274">
        <f>E7-F7-G7-H7-I7-K7-J7-L7</f>
        <v>-16.77000000000001</v>
      </c>
      <c r="N7" s="274" t="str">
        <f>D7</f>
        <v>Food/Bun</v>
      </c>
      <c r="O7" s="282">
        <f t="shared" ref="O7:O32" si="1">IF(M7&lt;0,M7*-1,0)</f>
        <v>16.77000000000001</v>
      </c>
      <c r="R7">
        <v>62.89</v>
      </c>
      <c r="S7" t="s">
        <v>794</v>
      </c>
    </row>
    <row r="8" spans="1:19" ht="15" customHeight="1" outlineLevel="1">
      <c r="B8" s="734"/>
      <c r="C8" s="734"/>
      <c r="D8" s="13" t="s">
        <v>595</v>
      </c>
      <c r="E8" s="365">
        <v>0</v>
      </c>
      <c r="M8" s="274">
        <f t="shared" ref="M8:M32" si="2">E8-F8-G8-H8-I8-K8-J8-L8</f>
        <v>0</v>
      </c>
      <c r="N8" s="274" t="str">
        <f t="shared" ref="N8:N32" si="3">D8</f>
        <v>Mortgage</v>
      </c>
      <c r="O8" s="282">
        <f t="shared" si="1"/>
        <v>0</v>
      </c>
      <c r="R8" s="242">
        <v>62.5</v>
      </c>
      <c r="S8" s="242" t="s">
        <v>633</v>
      </c>
    </row>
    <row r="9" spans="1:19" ht="15" customHeight="1" outlineLevel="1">
      <c r="B9" s="734"/>
      <c r="C9" s="734"/>
      <c r="D9" s="13" t="s">
        <v>596</v>
      </c>
      <c r="E9" s="365">
        <v>0</v>
      </c>
      <c r="M9" s="274">
        <f t="shared" si="2"/>
        <v>0</v>
      </c>
      <c r="N9" s="274" t="str">
        <f t="shared" si="3"/>
        <v>Council tax</v>
      </c>
      <c r="O9" s="282">
        <f t="shared" si="1"/>
        <v>0</v>
      </c>
      <c r="R9" s="242">
        <v>49.5</v>
      </c>
      <c r="S9" s="242" t="s">
        <v>633</v>
      </c>
    </row>
    <row r="10" spans="1:19" ht="15" customHeight="1" outlineLevel="1">
      <c r="B10" s="734"/>
      <c r="C10" s="734"/>
      <c r="D10" s="13" t="s">
        <v>785</v>
      </c>
      <c r="E10" s="365">
        <f>SUM(E11:E14)-37.72</f>
        <v>33.240000000000009</v>
      </c>
      <c r="F10">
        <f>1</f>
        <v>1</v>
      </c>
      <c r="M10" s="274">
        <f t="shared" si="2"/>
        <v>32.240000000000009</v>
      </c>
      <c r="N10" s="274" t="str">
        <f t="shared" si="3"/>
        <v>Utilities (G,W,E,TV)</v>
      </c>
      <c r="O10" s="282">
        <f t="shared" si="1"/>
        <v>0</v>
      </c>
      <c r="R10">
        <v>37.85</v>
      </c>
      <c r="S10" t="s">
        <v>633</v>
      </c>
    </row>
    <row r="11" spans="1:19" ht="15" hidden="1" customHeight="1" outlineLevel="2">
      <c r="B11" s="734"/>
      <c r="C11" s="734"/>
      <c r="D11" s="289" t="s">
        <v>914</v>
      </c>
      <c r="E11" s="365">
        <v>40</v>
      </c>
      <c r="M11" s="274"/>
      <c r="N11" s="274" t="str">
        <f t="shared" si="3"/>
        <v>Gas + Electric</v>
      </c>
      <c r="O11" s="282"/>
    </row>
    <row r="12" spans="1:19" ht="15" hidden="1" customHeight="1" outlineLevel="2">
      <c r="B12" s="734"/>
      <c r="C12" s="734"/>
      <c r="D12" s="289" t="s">
        <v>597</v>
      </c>
      <c r="E12" s="365">
        <v>17</v>
      </c>
      <c r="M12" s="274"/>
      <c r="N12" s="274" t="str">
        <f t="shared" si="3"/>
        <v>Water</v>
      </c>
      <c r="O12" s="282"/>
    </row>
    <row r="13" spans="1:19" ht="15" hidden="1" customHeight="1" outlineLevel="2">
      <c r="B13" s="734"/>
      <c r="C13" s="734"/>
      <c r="D13" s="289" t="s">
        <v>359</v>
      </c>
      <c r="E13" s="365">
        <v>12.96</v>
      </c>
      <c r="M13" s="274"/>
      <c r="N13" s="274" t="str">
        <f t="shared" si="3"/>
        <v>TV License</v>
      </c>
      <c r="O13" s="282"/>
    </row>
    <row r="14" spans="1:19" ht="15" hidden="1" customHeight="1" outlineLevel="2">
      <c r="B14" s="734"/>
      <c r="C14" s="734"/>
      <c r="D14" s="289" t="s">
        <v>915</v>
      </c>
      <c r="E14" s="365">
        <v>1</v>
      </c>
      <c r="M14" s="274"/>
      <c r="N14" s="274" t="str">
        <f t="shared" si="3"/>
        <v>HTB Admin</v>
      </c>
      <c r="O14" s="282"/>
    </row>
    <row r="15" spans="1:19" ht="15" hidden="1" customHeight="1" outlineLevel="2">
      <c r="B15" s="734"/>
      <c r="C15" s="734"/>
      <c r="D15" s="13"/>
      <c r="E15" s="365"/>
      <c r="M15" s="274"/>
      <c r="N15" s="274"/>
      <c r="O15" s="282"/>
    </row>
    <row r="16" spans="1:19" ht="15" customHeight="1" outlineLevel="1" collapsed="1">
      <c r="B16" s="734"/>
      <c r="C16" s="734"/>
      <c r="D16" s="13" t="s">
        <v>894</v>
      </c>
      <c r="E16" s="365">
        <f>SUM(E17:E19)-40.61</f>
        <v>0</v>
      </c>
      <c r="M16" s="274">
        <f t="shared" si="2"/>
        <v>0</v>
      </c>
      <c r="N16" s="274" t="str">
        <f t="shared" si="3"/>
        <v>Insurances</v>
      </c>
      <c r="O16" s="282">
        <f t="shared" si="1"/>
        <v>0</v>
      </c>
      <c r="R16">
        <v>100</v>
      </c>
      <c r="S16" t="s">
        <v>794</v>
      </c>
    </row>
    <row r="17" spans="2:19" ht="15" hidden="1" customHeight="1" outlineLevel="2">
      <c r="B17" s="734"/>
      <c r="C17" s="734"/>
      <c r="D17" s="289" t="s">
        <v>772</v>
      </c>
      <c r="E17" s="365">
        <v>16</v>
      </c>
      <c r="M17" s="274"/>
      <c r="N17" s="274" t="str">
        <f t="shared" si="3"/>
        <v>Home</v>
      </c>
      <c r="O17" s="282"/>
    </row>
    <row r="18" spans="2:19" ht="15" hidden="1" customHeight="1" outlineLevel="2">
      <c r="B18" s="734"/>
      <c r="C18" s="734"/>
      <c r="D18" s="289" t="s">
        <v>916</v>
      </c>
      <c r="E18" s="365">
        <v>16.61</v>
      </c>
      <c r="M18" s="274"/>
      <c r="N18" s="274"/>
      <c r="O18" s="282"/>
    </row>
    <row r="19" spans="2:19" ht="15" hidden="1" customHeight="1" outlineLevel="2">
      <c r="B19" s="734"/>
      <c r="C19" s="734"/>
      <c r="D19" s="289" t="s">
        <v>917</v>
      </c>
      <c r="E19" s="365">
        <v>8</v>
      </c>
      <c r="M19" s="274"/>
      <c r="N19" s="274"/>
      <c r="O19" s="282"/>
    </row>
    <row r="20" spans="2:19" ht="15" hidden="1" customHeight="1" outlineLevel="2">
      <c r="B20" s="734"/>
      <c r="C20" s="734"/>
      <c r="D20" s="13"/>
      <c r="E20" s="365"/>
      <c r="M20" s="274"/>
      <c r="N20" s="274"/>
      <c r="O20" s="282"/>
    </row>
    <row r="21" spans="2:19" ht="15" customHeight="1" outlineLevel="1" collapsed="1">
      <c r="B21" s="734"/>
      <c r="C21" s="734"/>
      <c r="D21" s="276" t="s">
        <v>807</v>
      </c>
      <c r="E21" s="277">
        <v>0</v>
      </c>
      <c r="M21" s="274">
        <f t="shared" si="2"/>
        <v>0</v>
      </c>
      <c r="N21" s="274" t="str">
        <f t="shared" si="3"/>
        <v>Loans (HTB)</v>
      </c>
      <c r="O21" s="282">
        <f t="shared" si="1"/>
        <v>0</v>
      </c>
      <c r="R21">
        <v>2.19</v>
      </c>
      <c r="S21" t="s">
        <v>794</v>
      </c>
    </row>
    <row r="22" spans="2:19" ht="15" customHeight="1" outlineLevel="1">
      <c r="B22" s="734"/>
      <c r="C22" s="734"/>
      <c r="D22" s="13" t="s">
        <v>602</v>
      </c>
      <c r="E22" s="365">
        <v>0</v>
      </c>
      <c r="M22" s="274">
        <f t="shared" si="2"/>
        <v>0</v>
      </c>
      <c r="N22" s="274" t="str">
        <f t="shared" si="3"/>
        <v>Broadband / TV</v>
      </c>
      <c r="O22" s="282">
        <f t="shared" si="1"/>
        <v>0</v>
      </c>
      <c r="R22" s="242">
        <v>25.01</v>
      </c>
      <c r="S22" s="242" t="s">
        <v>702</v>
      </c>
    </row>
    <row r="23" spans="2:19" ht="15" customHeight="1" outlineLevel="1">
      <c r="B23" s="734"/>
      <c r="C23" s="734"/>
      <c r="D23" s="13" t="s">
        <v>582</v>
      </c>
      <c r="E23" s="365">
        <v>0</v>
      </c>
      <c r="M23" s="274">
        <f>E23-F23-G24-H24-I23-K23-J23-L23</f>
        <v>0</v>
      </c>
      <c r="N23" s="274" t="str">
        <f t="shared" si="3"/>
        <v>Onedrive (6th)</v>
      </c>
      <c r="O23" s="282">
        <f t="shared" si="1"/>
        <v>0</v>
      </c>
      <c r="R23">
        <v>14.65</v>
      </c>
      <c r="S23" t="s">
        <v>794</v>
      </c>
    </row>
    <row r="24" spans="2:19" ht="15" customHeight="1" outlineLevel="1">
      <c r="B24" s="734"/>
      <c r="C24" s="734"/>
      <c r="D24" s="13" t="s">
        <v>788</v>
      </c>
      <c r="E24" s="365">
        <v>0</v>
      </c>
      <c r="M24" s="274">
        <f>E24-F24-G25-H25-I24-K24-J24-L24</f>
        <v>0</v>
      </c>
      <c r="N24" s="274" t="str">
        <f t="shared" si="3"/>
        <v>Matt Phone</v>
      </c>
      <c r="O24" s="282">
        <f t="shared" si="1"/>
        <v>0</v>
      </c>
      <c r="R24">
        <v>21.73</v>
      </c>
      <c r="S24" t="s">
        <v>794</v>
      </c>
    </row>
    <row r="25" spans="2:19" ht="15" customHeight="1" outlineLevel="1">
      <c r="B25" s="734"/>
      <c r="C25" s="734"/>
      <c r="D25" s="13" t="s">
        <v>668</v>
      </c>
      <c r="E25" s="365">
        <v>0</v>
      </c>
      <c r="M25" s="274">
        <f>E25-F25-G25-H25-I25-K25-J25-L25</f>
        <v>0</v>
      </c>
      <c r="N25" s="274" t="str">
        <f t="shared" si="3"/>
        <v>M -Tax</v>
      </c>
      <c r="O25" s="282">
        <f>IF(M25&lt;0,M25*-1,0)</f>
        <v>0</v>
      </c>
      <c r="R25">
        <v>25.67</v>
      </c>
      <c r="S25" t="s">
        <v>794</v>
      </c>
    </row>
    <row r="26" spans="2:19" ht="15" customHeight="1" outlineLevel="1">
      <c r="B26" s="734"/>
      <c r="C26" s="734"/>
      <c r="D26" s="13" t="s">
        <v>669</v>
      </c>
      <c r="E26" s="365">
        <v>0</v>
      </c>
      <c r="M26" s="274">
        <f t="shared" si="2"/>
        <v>0</v>
      </c>
      <c r="N26" s="274" t="str">
        <f t="shared" si="3"/>
        <v>M - Service</v>
      </c>
      <c r="O26" s="282">
        <f t="shared" si="1"/>
        <v>0</v>
      </c>
      <c r="R26">
        <v>10.98</v>
      </c>
      <c r="S26" t="s">
        <v>794</v>
      </c>
    </row>
    <row r="27" spans="2:19" ht="15" customHeight="1" outlineLevel="1">
      <c r="B27" s="734"/>
      <c r="C27" s="734"/>
      <c r="D27" s="13" t="s">
        <v>670</v>
      </c>
      <c r="E27" s="365">
        <v>0</v>
      </c>
      <c r="M27" s="274">
        <f t="shared" si="2"/>
        <v>0</v>
      </c>
      <c r="N27" s="274" t="str">
        <f t="shared" si="3"/>
        <v>M - Insurance</v>
      </c>
      <c r="O27" s="282">
        <f t="shared" si="1"/>
        <v>0</v>
      </c>
      <c r="R27">
        <v>5.22</v>
      </c>
      <c r="S27" t="s">
        <v>794</v>
      </c>
    </row>
    <row r="28" spans="2:19" ht="15" customHeight="1" outlineLevel="1">
      <c r="B28" s="734"/>
      <c r="C28" s="734"/>
      <c r="D28" s="276" t="s">
        <v>671</v>
      </c>
      <c r="E28" s="277">
        <v>0</v>
      </c>
      <c r="M28" s="274">
        <f t="shared" si="2"/>
        <v>0</v>
      </c>
      <c r="N28" s="274" t="str">
        <f t="shared" si="3"/>
        <v>K - Finance</v>
      </c>
      <c r="O28" s="282">
        <f t="shared" si="1"/>
        <v>0</v>
      </c>
      <c r="R28">
        <v>61.96</v>
      </c>
      <c r="S28" t="s">
        <v>794</v>
      </c>
    </row>
    <row r="29" spans="2:19" ht="15" customHeight="1" outlineLevel="1">
      <c r="B29" s="734"/>
      <c r="C29" s="734"/>
      <c r="D29" s="13" t="s">
        <v>672</v>
      </c>
      <c r="E29" s="365">
        <v>0</v>
      </c>
      <c r="M29" s="274">
        <f t="shared" si="2"/>
        <v>0</v>
      </c>
      <c r="N29" s="274" t="str">
        <f t="shared" si="3"/>
        <v>K - Tax</v>
      </c>
      <c r="O29" s="282">
        <f t="shared" si="1"/>
        <v>0</v>
      </c>
      <c r="R29">
        <v>10.62</v>
      </c>
      <c r="S29" t="s">
        <v>794</v>
      </c>
    </row>
    <row r="30" spans="2:19" ht="15" customHeight="1" outlineLevel="1">
      <c r="B30" s="734"/>
      <c r="C30" s="734"/>
      <c r="D30" s="13" t="s">
        <v>673</v>
      </c>
      <c r="E30" s="365">
        <v>0</v>
      </c>
      <c r="M30" s="274">
        <f t="shared" si="2"/>
        <v>0</v>
      </c>
      <c r="N30" s="274" t="str">
        <f t="shared" si="3"/>
        <v>K - Service</v>
      </c>
      <c r="O30" s="282">
        <f t="shared" si="1"/>
        <v>0</v>
      </c>
      <c r="R30">
        <v>40.590000000000003</v>
      </c>
      <c r="S30" t="s">
        <v>794</v>
      </c>
    </row>
    <row r="31" spans="2:19" ht="15" customHeight="1" outlineLevel="1">
      <c r="B31" s="734"/>
      <c r="C31" s="734"/>
      <c r="D31" s="13" t="s">
        <v>674</v>
      </c>
      <c r="E31" s="365">
        <v>0</v>
      </c>
      <c r="M31" s="274">
        <f t="shared" si="2"/>
        <v>0</v>
      </c>
      <c r="N31" s="274" t="str">
        <f t="shared" si="3"/>
        <v>K - Insurance</v>
      </c>
      <c r="O31" s="282">
        <f t="shared" si="1"/>
        <v>0</v>
      </c>
      <c r="R31">
        <v>341.96</v>
      </c>
      <c r="S31" t="s">
        <v>794</v>
      </c>
    </row>
    <row r="32" spans="2:19" ht="15" customHeight="1" outlineLevel="1">
      <c r="B32" s="734"/>
      <c r="C32" s="734"/>
      <c r="D32" s="13" t="s">
        <v>675</v>
      </c>
      <c r="E32" s="365">
        <v>0</v>
      </c>
      <c r="M32" s="274">
        <f t="shared" si="2"/>
        <v>0</v>
      </c>
      <c r="N32" s="274" t="str">
        <f t="shared" si="3"/>
        <v>MOT's</v>
      </c>
      <c r="O32" s="282">
        <f t="shared" si="1"/>
        <v>0</v>
      </c>
      <c r="R32">
        <v>6.02</v>
      </c>
      <c r="S32" t="s">
        <v>794</v>
      </c>
    </row>
    <row r="33" spans="2:19" ht="15" customHeight="1">
      <c r="B33" s="118"/>
      <c r="C33" s="118"/>
      <c r="E33" s="365"/>
      <c r="M33" s="273"/>
      <c r="N33" s="273"/>
      <c r="O33" s="282"/>
      <c r="R33">
        <v>3.1</v>
      </c>
      <c r="S33" t="s">
        <v>794</v>
      </c>
    </row>
    <row r="34" spans="2:19" ht="15" customHeight="1">
      <c r="B34" s="736" t="s">
        <v>808</v>
      </c>
      <c r="C34" s="736"/>
      <c r="D34" s="736"/>
      <c r="E34" s="736"/>
      <c r="M34" s="274"/>
      <c r="N34" s="274"/>
      <c r="O34" s="282"/>
      <c r="R34">
        <v>16.82</v>
      </c>
      <c r="S34" t="s">
        <v>794</v>
      </c>
    </row>
    <row r="35" spans="2:19" ht="15" customHeight="1">
      <c r="B35" s="727" t="str">
        <f>IF(ISNUMBER((SEARCH("Over",C$5))),"Operating under budget","Operating over budget")</f>
        <v>Operating over budget</v>
      </c>
      <c r="C35" s="727"/>
      <c r="D35" s="759">
        <f>SUM(E36:E42)</f>
        <v>258.60000000000002</v>
      </c>
      <c r="E35" s="759"/>
      <c r="M35" s="285">
        <f>SUMIF(M36:M42,"&gt;0")</f>
        <v>158.6</v>
      </c>
      <c r="N35" s="285" t="s">
        <v>895</v>
      </c>
      <c r="O35" s="282">
        <f>SUM(O37:O42)</f>
        <v>0</v>
      </c>
      <c r="R35">
        <v>33.64</v>
      </c>
      <c r="S35" t="s">
        <v>794</v>
      </c>
    </row>
    <row r="36" spans="2:19" ht="15" customHeight="1" outlineLevel="1">
      <c r="B36" s="734" t="str">
        <f>"20% : " &amp; E$52*0.2</f>
        <v>20% : 90.672</v>
      </c>
      <c r="C36" s="734" t="str">
        <f>"20% : " &amp; E$52*0.2</f>
        <v>20% : 90.672</v>
      </c>
      <c r="D36" s="300" t="s">
        <v>896</v>
      </c>
      <c r="E36" s="365">
        <v>0</v>
      </c>
      <c r="M36" s="274">
        <f>IF(E36-F36-G36-H36-I36-K36-J36-L36-O52 &gt; 0, E36-F36-G36-H36-I36-K36-J36-L36-O52, E36-F36-G36-H36-I36-K36-J36-L36)</f>
        <v>0</v>
      </c>
      <c r="N36" s="274" t="str">
        <f>D36</f>
        <v>Contingency 20%</v>
      </c>
      <c r="O36" s="282">
        <f t="shared" ref="O36:O42" si="4">IF(M36&lt;0,M36*-1,0)</f>
        <v>0</v>
      </c>
      <c r="R36">
        <v>6.64</v>
      </c>
      <c r="S36" t="s">
        <v>794</v>
      </c>
    </row>
    <row r="37" spans="2:19" ht="15" customHeight="1" outlineLevel="1">
      <c r="B37" s="734"/>
      <c r="C37" s="734"/>
      <c r="D37" s="300" t="s">
        <v>897</v>
      </c>
      <c r="E37" s="365">
        <v>0</v>
      </c>
      <c r="M37" s="274">
        <f t="shared" ref="M37:M42" si="5">E37-F37-G37-H37-I37-K37-J37-L37</f>
        <v>0</v>
      </c>
      <c r="N37" s="274" t="str">
        <f t="shared" ref="N37:N42" si="6">D37</f>
        <v>Holiday Fund 60%</v>
      </c>
      <c r="O37" s="282">
        <f t="shared" si="4"/>
        <v>0</v>
      </c>
      <c r="R37">
        <v>44.27</v>
      </c>
      <c r="S37" t="s">
        <v>794</v>
      </c>
    </row>
    <row r="38" spans="2:19" ht="15" customHeight="1" outlineLevel="1">
      <c r="B38" s="734"/>
      <c r="C38" s="734"/>
      <c r="D38" s="300" t="s">
        <v>811</v>
      </c>
      <c r="E38" s="365">
        <f>42.83+15.77</f>
        <v>58.599999999999994</v>
      </c>
      <c r="M38" s="274">
        <f t="shared" si="5"/>
        <v>58.599999999999994</v>
      </c>
      <c r="N38" s="274" t="str">
        <f t="shared" si="6"/>
        <v>Gift Fund 20%</v>
      </c>
      <c r="O38" s="282">
        <f t="shared" si="4"/>
        <v>0</v>
      </c>
      <c r="R38">
        <v>10.45</v>
      </c>
      <c r="S38" t="s">
        <v>794</v>
      </c>
    </row>
    <row r="39" spans="2:19" ht="15" customHeight="1" outlineLevel="1">
      <c r="B39" s="734" t="s">
        <v>130</v>
      </c>
      <c r="C39" s="734"/>
      <c r="D39" s="300" t="s">
        <v>812</v>
      </c>
      <c r="E39" s="365">
        <v>0</v>
      </c>
      <c r="M39" s="274">
        <f t="shared" si="5"/>
        <v>0</v>
      </c>
      <c r="N39" s="274" t="str">
        <f t="shared" si="6"/>
        <v>Wedding</v>
      </c>
      <c r="O39" s="282">
        <f t="shared" si="4"/>
        <v>0</v>
      </c>
      <c r="R39">
        <v>8.25</v>
      </c>
      <c r="S39" t="s">
        <v>794</v>
      </c>
    </row>
    <row r="40" spans="2:19" ht="15" customHeight="1" outlineLevel="1">
      <c r="B40" s="734"/>
      <c r="C40" s="734"/>
      <c r="D40" s="300" t="s">
        <v>813</v>
      </c>
      <c r="E40" s="365">
        <v>0</v>
      </c>
      <c r="M40" s="274">
        <f t="shared" si="5"/>
        <v>0</v>
      </c>
      <c r="N40" s="274" t="str">
        <f t="shared" si="6"/>
        <v>Driving Lessons</v>
      </c>
      <c r="O40" s="282">
        <f t="shared" si="4"/>
        <v>0</v>
      </c>
      <c r="R40">
        <v>6.68</v>
      </c>
      <c r="S40" t="s">
        <v>794</v>
      </c>
    </row>
    <row r="41" spans="2:19" ht="15" customHeight="1" outlineLevel="1">
      <c r="B41" s="734"/>
      <c r="C41" s="734"/>
      <c r="D41" s="300" t="s">
        <v>174</v>
      </c>
      <c r="E41" s="365">
        <v>0</v>
      </c>
      <c r="F41" s="11"/>
      <c r="M41" s="274">
        <f t="shared" si="5"/>
        <v>0</v>
      </c>
      <c r="N41" s="274" t="str">
        <f t="shared" si="6"/>
        <v>House</v>
      </c>
      <c r="O41" s="282">
        <f t="shared" si="4"/>
        <v>0</v>
      </c>
      <c r="R41">
        <v>14.32</v>
      </c>
      <c r="S41" t="s">
        <v>794</v>
      </c>
    </row>
    <row r="42" spans="2:19" ht="15" customHeight="1" outlineLevel="1">
      <c r="B42" s="734"/>
      <c r="C42" s="734"/>
      <c r="D42" s="300" t="s">
        <v>814</v>
      </c>
      <c r="E42" s="365">
        <v>200</v>
      </c>
      <c r="F42" s="11">
        <v>100</v>
      </c>
      <c r="M42" s="274">
        <f t="shared" si="5"/>
        <v>100</v>
      </c>
      <c r="N42" s="274" t="str">
        <f t="shared" si="6"/>
        <v>CC</v>
      </c>
      <c r="O42" s="282">
        <f t="shared" si="4"/>
        <v>0</v>
      </c>
      <c r="R42">
        <f>SUMIF(S4:S41,"Barcelona",R4:R41)</f>
        <v>848.65000000000009</v>
      </c>
    </row>
    <row r="43" spans="2:19" ht="15" customHeight="1">
      <c r="B43" s="118"/>
      <c r="C43" s="118"/>
      <c r="E43" s="365"/>
      <c r="M43" s="273"/>
      <c r="N43" s="273"/>
      <c r="O43" s="282"/>
    </row>
    <row r="44" spans="2:19" ht="15" customHeight="1">
      <c r="B44" s="727" t="s">
        <v>898</v>
      </c>
      <c r="C44" s="727"/>
      <c r="D44" s="727"/>
      <c r="E44" s="727"/>
      <c r="M44" s="273"/>
      <c r="N44" s="273"/>
      <c r="O44" s="282"/>
    </row>
    <row r="45" spans="2:19" ht="15" customHeight="1">
      <c r="B45" s="727" t="str">
        <f>IF(ISNUMBER((SEARCH("Over",B$5))),"Operating under budget","Operating over budget")</f>
        <v>Operating over budget</v>
      </c>
      <c r="C45" s="727"/>
      <c r="D45" s="759">
        <f>(E$52-D5-D35)</f>
        <v>0</v>
      </c>
      <c r="E45" s="727"/>
      <c r="M45" s="285">
        <f>SUMIF(M46:M49,"&gt;0")</f>
        <v>0</v>
      </c>
      <c r="N45" s="285" t="s">
        <v>899</v>
      </c>
      <c r="O45" s="282">
        <f>SUM(O46:O49)</f>
        <v>0</v>
      </c>
    </row>
    <row r="46" spans="2:19" ht="15" customHeight="1" outlineLevel="1">
      <c r="B46" s="734" t="str">
        <f>"30%: " &amp; (E$52*0.3)</f>
        <v>30%: 136.008</v>
      </c>
      <c r="C46" s="760" t="str">
        <f>ROUND(((E$52-D5-(E$52*0.2))/E$52)*100,2) &amp; "%: " &amp; (E$52-D5-(E$52*0.2))</f>
        <v>37.04%: 167.928</v>
      </c>
      <c r="D46" s="13" t="s">
        <v>179</v>
      </c>
      <c r="E46" s="365">
        <v>0</v>
      </c>
      <c r="M46" s="274">
        <f>E46-F46-G46-H46-I46-K46-J46-L46</f>
        <v>0</v>
      </c>
      <c r="N46" s="274" t="str">
        <f>D46</f>
        <v>Sky Movies</v>
      </c>
      <c r="O46" s="282">
        <f>IF(M46&lt;0,M46*-1,0)</f>
        <v>0</v>
      </c>
    </row>
    <row r="47" spans="2:19" ht="18" outlineLevel="1">
      <c r="B47" s="734"/>
      <c r="C47" s="760"/>
      <c r="D47" s="13" t="s">
        <v>589</v>
      </c>
      <c r="E47" s="365">
        <v>0</v>
      </c>
      <c r="M47" s="274">
        <f>E47-F47-G47-H47-I47-K47-J47-L47</f>
        <v>0</v>
      </c>
      <c r="N47" s="274" t="str">
        <f>D47</f>
        <v>Music</v>
      </c>
      <c r="O47" s="282">
        <f>IF(M47&lt;0,M47*-1,0)</f>
        <v>0</v>
      </c>
    </row>
    <row r="48" spans="2:19" ht="15.75" customHeight="1" outlineLevel="1">
      <c r="B48" s="734"/>
      <c r="C48" s="760"/>
      <c r="D48" s="13" t="s">
        <v>781</v>
      </c>
      <c r="E48" s="365">
        <v>0</v>
      </c>
      <c r="M48" s="274">
        <f>E48-F48-G48-H48-I48-K48-J48-L48</f>
        <v>0</v>
      </c>
      <c r="N48" s="274" t="str">
        <f>D48</f>
        <v>Subscriptions</v>
      </c>
      <c r="O48" s="282">
        <f>IF(M48&lt;0,M48*-1,0)</f>
        <v>0</v>
      </c>
    </row>
    <row r="49" spans="2:18" ht="18" outlineLevel="1">
      <c r="B49" s="734"/>
      <c r="C49" s="760"/>
      <c r="D49" s="13" t="s">
        <v>815</v>
      </c>
      <c r="E49" s="365">
        <f>D45*0.1</f>
        <v>0</v>
      </c>
      <c r="M49" s="274">
        <f>E49-F49-G49-H49-I49-K49-J49-L49</f>
        <v>0</v>
      </c>
      <c r="N49" s="274" t="str">
        <f>D49</f>
        <v>Shared 10%</v>
      </c>
      <c r="O49" s="282">
        <f>IF(M49&lt;0,M49*-1,0)</f>
        <v>0</v>
      </c>
      <c r="R49" s="11">
        <f>M45+M50</f>
        <v>-16.77000000000001</v>
      </c>
    </row>
    <row r="50" spans="2:18" ht="18" outlineLevel="1">
      <c r="B50" s="734"/>
      <c r="C50" s="760"/>
      <c r="D50" s="13" t="s">
        <v>900</v>
      </c>
      <c r="E50" s="365">
        <f>(D45-E46-E47-E48-E49-O52)</f>
        <v>-16.77000000000001</v>
      </c>
      <c r="M50" s="274">
        <f>E50-F50-G50-H50-I50-K50-J50-L50</f>
        <v>-16.77000000000001</v>
      </c>
      <c r="N50" s="274" t="str">
        <f>D50</f>
        <v>Fun Matt</v>
      </c>
      <c r="O50" s="271"/>
    </row>
    <row r="51" spans="2:18">
      <c r="B51" s="118"/>
      <c r="C51" s="118"/>
      <c r="E51" s="365"/>
      <c r="M51" s="273"/>
      <c r="N51" s="273"/>
      <c r="O51" s="282"/>
    </row>
    <row r="52" spans="2:18" ht="18">
      <c r="B52" s="728" t="s">
        <v>817</v>
      </c>
      <c r="C52" s="728"/>
      <c r="D52" s="728"/>
      <c r="E52" s="375">
        <f>F52+G52+H52+I52+J52</f>
        <v>453.36</v>
      </c>
      <c r="F52" s="271">
        <v>453.36</v>
      </c>
      <c r="G52" s="271"/>
      <c r="H52" s="271"/>
      <c r="I52" s="271"/>
      <c r="J52" s="271"/>
      <c r="K52" s="271"/>
      <c r="L52" s="271"/>
      <c r="M52" s="285" t="str">
        <f>"£" &amp; M5+M45+M35+K3+M50+L3 &amp; " / " &amp; "£" &amp; E52</f>
        <v>£241.11 / £453.36</v>
      </c>
      <c r="N52" s="274"/>
      <c r="O52" s="282">
        <f>SUM(O45,O35,O5)</f>
        <v>16.77000000000001</v>
      </c>
    </row>
    <row r="53" spans="2:18">
      <c r="B53" s="118"/>
      <c r="C53" s="7"/>
      <c r="E53" s="365"/>
      <c r="R53" s="243">
        <f>93-(K3+2.98)</f>
        <v>90.02</v>
      </c>
    </row>
    <row r="54" spans="2:18" ht="14.4">
      <c r="B54" s="729" t="s">
        <v>818</v>
      </c>
      <c r="C54" s="729"/>
      <c r="D54" s="729"/>
      <c r="E54" s="729"/>
      <c r="F54" s="729"/>
      <c r="G54">
        <f>1076.05-133.13</f>
        <v>942.92</v>
      </c>
      <c r="H54" s="729" t="s">
        <v>819</v>
      </c>
      <c r="I54" s="729"/>
      <c r="J54" s="729"/>
      <c r="K54" s="729"/>
      <c r="L54" s="729"/>
      <c r="M54" s="729"/>
      <c r="N54" s="297"/>
    </row>
    <row r="55" spans="2:18">
      <c r="B55">
        <v>0</v>
      </c>
      <c r="C55">
        <v>0</v>
      </c>
      <c r="D55">
        <v>500</v>
      </c>
      <c r="E55"/>
      <c r="F55" t="s">
        <v>288</v>
      </c>
      <c r="H55" s="212" t="s">
        <v>820</v>
      </c>
      <c r="I55" s="278" t="s">
        <v>821</v>
      </c>
      <c r="J55" s="278"/>
      <c r="K55" s="212" t="s">
        <v>822</v>
      </c>
      <c r="L55" s="212"/>
      <c r="M55" s="212" t="s">
        <v>823</v>
      </c>
      <c r="N55" s="212"/>
      <c r="P55">
        <f>200+42.83+68.5+93.02</f>
        <v>404.34999999999997</v>
      </c>
      <c r="Q55" s="11">
        <f>P55+M10</f>
        <v>436.59</v>
      </c>
    </row>
    <row r="56" spans="2:18">
      <c r="B56">
        <f t="shared" ref="B56:B64" si="7">B55+D$55-C56</f>
        <v>-35</v>
      </c>
      <c r="C56">
        <f>635-D56</f>
        <v>535</v>
      </c>
      <c r="D56">
        <v>100</v>
      </c>
      <c r="E56" t="s">
        <v>794</v>
      </c>
      <c r="F56" t="s">
        <v>824</v>
      </c>
      <c r="H56" s="214">
        <v>154950</v>
      </c>
      <c r="I56" s="376">
        <v>123960</v>
      </c>
      <c r="J56" s="376"/>
      <c r="K56" s="214">
        <v>23240</v>
      </c>
      <c r="L56" s="214"/>
      <c r="M56" s="214">
        <v>7950</v>
      </c>
      <c r="N56" s="214"/>
    </row>
    <row r="57" spans="2:18">
      <c r="B57">
        <f t="shared" si="7"/>
        <v>465</v>
      </c>
      <c r="C57">
        <f>0</f>
        <v>0</v>
      </c>
      <c r="D57">
        <v>100</v>
      </c>
      <c r="E57"/>
      <c r="F57" t="s">
        <v>277</v>
      </c>
      <c r="I57" s="365"/>
      <c r="J57" s="365"/>
      <c r="M57"/>
      <c r="N57"/>
    </row>
    <row r="58" spans="2:18">
      <c r="B58">
        <f t="shared" si="7"/>
        <v>965</v>
      </c>
      <c r="C58">
        <v>0</v>
      </c>
      <c r="E58"/>
      <c r="F58" t="s">
        <v>278</v>
      </c>
      <c r="H58" s="212" t="s">
        <v>825</v>
      </c>
      <c r="I58" s="278" t="s">
        <v>826</v>
      </c>
      <c r="J58" s="278"/>
      <c r="K58" s="212" t="s">
        <v>827</v>
      </c>
      <c r="L58" s="212"/>
      <c r="M58" s="212" t="s">
        <v>828</v>
      </c>
      <c r="N58" s="212"/>
    </row>
    <row r="59" spans="2:18">
      <c r="B59">
        <f t="shared" si="7"/>
        <v>1465</v>
      </c>
      <c r="C59">
        <v>0</v>
      </c>
      <c r="E59"/>
      <c r="F59" t="s">
        <v>279</v>
      </c>
      <c r="H59" s="56">
        <v>123960</v>
      </c>
      <c r="I59" s="365">
        <v>450</v>
      </c>
      <c r="J59" s="365"/>
      <c r="K59" s="56">
        <v>11922</v>
      </c>
      <c r="L59" s="56"/>
      <c r="M59" s="56">
        <v>15697</v>
      </c>
      <c r="N59" s="56"/>
    </row>
    <row r="60" spans="2:18">
      <c r="B60">
        <f t="shared" si="7"/>
        <v>315</v>
      </c>
      <c r="C60">
        <f>2000-D60</f>
        <v>1650</v>
      </c>
      <c r="D60">
        <f>75+75+100+100</f>
        <v>350</v>
      </c>
      <c r="E60" t="s">
        <v>796</v>
      </c>
      <c r="F60" t="s">
        <v>280</v>
      </c>
      <c r="I60" s="365"/>
      <c r="J60" s="365"/>
      <c r="M60"/>
      <c r="N60"/>
    </row>
    <row r="61" spans="2:18">
      <c r="B61">
        <f t="shared" si="7"/>
        <v>815</v>
      </c>
      <c r="C61">
        <v>0</v>
      </c>
      <c r="E61"/>
      <c r="F61" t="s">
        <v>281</v>
      </c>
      <c r="H61" s="212" t="s">
        <v>829</v>
      </c>
      <c r="I61" s="278" t="s">
        <v>830</v>
      </c>
      <c r="J61" s="278"/>
      <c r="K61" s="212" t="s">
        <v>831</v>
      </c>
      <c r="L61" s="212"/>
      <c r="M61" s="212" t="s">
        <v>832</v>
      </c>
      <c r="N61" s="212"/>
      <c r="O61" s="279" t="s">
        <v>833</v>
      </c>
    </row>
    <row r="62" spans="2:18">
      <c r="B62">
        <f t="shared" si="7"/>
        <v>1315</v>
      </c>
      <c r="C62">
        <v>0</v>
      </c>
      <c r="E62"/>
      <c r="F62" t="s">
        <v>282</v>
      </c>
      <c r="H62" s="258">
        <v>0.15</v>
      </c>
      <c r="I62" s="365">
        <f>H56*1.1</f>
        <v>170445</v>
      </c>
      <c r="J62" s="365"/>
      <c r="K62" s="38">
        <f>I62*0.2</f>
        <v>34089</v>
      </c>
      <c r="L62" s="38"/>
      <c r="M62" s="56">
        <v>113036</v>
      </c>
      <c r="N62" s="56"/>
      <c r="O62" s="280">
        <f>M62+K62</f>
        <v>147125</v>
      </c>
    </row>
    <row r="63" spans="2:18" ht="14.4">
      <c r="B63">
        <f t="shared" si="7"/>
        <v>1815</v>
      </c>
      <c r="C63">
        <v>0</v>
      </c>
      <c r="E63"/>
      <c r="F63" t="s">
        <v>284</v>
      </c>
    </row>
    <row r="64" spans="2:18">
      <c r="B64">
        <f t="shared" si="7"/>
        <v>15</v>
      </c>
      <c r="C64">
        <f>3000-D64</f>
        <v>2300</v>
      </c>
      <c r="D64">
        <f>150+150+200+200</f>
        <v>700</v>
      </c>
      <c r="E64" t="s">
        <v>797</v>
      </c>
      <c r="F64" t="s">
        <v>285</v>
      </c>
      <c r="H64" s="212" t="s">
        <v>820</v>
      </c>
      <c r="I64" s="278" t="s">
        <v>821</v>
      </c>
      <c r="J64" s="278"/>
      <c r="K64" s="212" t="s">
        <v>822</v>
      </c>
      <c r="L64" s="212"/>
      <c r="M64" s="212" t="s">
        <v>823</v>
      </c>
      <c r="N64" s="212"/>
    </row>
    <row r="65" spans="2:17">
      <c r="E65" s="365"/>
      <c r="H65" s="214">
        <v>154950</v>
      </c>
      <c r="I65" s="376">
        <v>123960</v>
      </c>
      <c r="J65" s="376"/>
      <c r="K65" s="214">
        <v>23240</v>
      </c>
      <c r="L65" s="214"/>
      <c r="M65" s="214">
        <v>7950</v>
      </c>
      <c r="N65" s="214"/>
    </row>
    <row r="66" spans="2:17" ht="16.5" customHeight="1">
      <c r="B66" s="726" t="s">
        <v>901</v>
      </c>
      <c r="C66" s="726"/>
      <c r="D66" s="726"/>
      <c r="E66" s="726"/>
      <c r="F66" s="726"/>
      <c r="I66" s="365"/>
      <c r="J66" s="365"/>
      <c r="M66"/>
      <c r="N66"/>
    </row>
    <row r="67" spans="2:17">
      <c r="B67">
        <v>1950</v>
      </c>
      <c r="C67" t="s">
        <v>889</v>
      </c>
      <c r="D67" t="s">
        <v>15</v>
      </c>
      <c r="E67">
        <v>1938.82</v>
      </c>
      <c r="F67" s="365" t="s">
        <v>887</v>
      </c>
      <c r="G67" t="s">
        <v>15</v>
      </c>
      <c r="H67" s="212" t="s">
        <v>825</v>
      </c>
      <c r="I67" s="278" t="s">
        <v>826</v>
      </c>
      <c r="J67" s="278"/>
      <c r="K67" s="212" t="s">
        <v>902</v>
      </c>
      <c r="L67" s="212"/>
      <c r="M67" s="212" t="s">
        <v>903</v>
      </c>
      <c r="N67" s="212"/>
    </row>
    <row r="68" spans="2:17">
      <c r="B68">
        <f>B67-C68</f>
        <v>1750</v>
      </c>
      <c r="C68">
        <v>200</v>
      </c>
      <c r="D68" t="s">
        <v>905</v>
      </c>
      <c r="E68" s="365">
        <f>E67-F68</f>
        <v>489.81999999999994</v>
      </c>
      <c r="F68" s="365">
        <v>1449</v>
      </c>
      <c r="G68" t="s">
        <v>904</v>
      </c>
      <c r="H68" s="56">
        <v>123960</v>
      </c>
      <c r="I68" s="365">
        <v>450</v>
      </c>
      <c r="J68" s="365"/>
      <c r="K68" s="56">
        <f>(11922/60)*18</f>
        <v>3576.6</v>
      </c>
      <c r="L68" s="56"/>
      <c r="M68" s="56">
        <f>(15697/60)*18</f>
        <v>4709.1000000000004</v>
      </c>
      <c r="N68" s="56"/>
    </row>
    <row r="69" spans="2:17">
      <c r="B69">
        <f>B68-C69</f>
        <v>1550</v>
      </c>
      <c r="C69">
        <v>200</v>
      </c>
      <c r="D69" t="s">
        <v>905</v>
      </c>
      <c r="E69" s="365"/>
      <c r="F69" s="365"/>
      <c r="I69" s="365"/>
      <c r="J69" s="365"/>
      <c r="M69"/>
      <c r="N69"/>
    </row>
    <row r="70" spans="2:17">
      <c r="B70">
        <f t="shared" ref="B70:B71" si="8">B69-C70</f>
        <v>1300</v>
      </c>
      <c r="C70">
        <v>250</v>
      </c>
      <c r="D70" t="s">
        <v>906</v>
      </c>
      <c r="E70" s="365"/>
      <c r="F70">
        <v>489.82</v>
      </c>
      <c r="G70" t="s">
        <v>277</v>
      </c>
      <c r="H70" s="212" t="s">
        <v>829</v>
      </c>
      <c r="I70" s="278" t="s">
        <v>830</v>
      </c>
      <c r="J70" s="278"/>
      <c r="K70" s="212" t="s">
        <v>831</v>
      </c>
      <c r="L70" s="212"/>
      <c r="M70" s="212" t="s">
        <v>832</v>
      </c>
      <c r="N70" s="212"/>
      <c r="O70" s="279" t="s">
        <v>833</v>
      </c>
    </row>
    <row r="71" spans="2:17">
      <c r="B71">
        <f t="shared" si="8"/>
        <v>1050</v>
      </c>
      <c r="C71">
        <v>250</v>
      </c>
      <c r="D71" t="s">
        <v>907</v>
      </c>
      <c r="E71" s="365"/>
      <c r="F71" s="11"/>
      <c r="H71" s="258">
        <v>0.15</v>
      </c>
      <c r="I71" s="365">
        <f>H65*1.1</f>
        <v>170445</v>
      </c>
      <c r="J71" s="365"/>
      <c r="K71" s="38">
        <f>K65+(I71-H65)*0.2</f>
        <v>26339</v>
      </c>
      <c r="L71" s="38"/>
      <c r="M71" s="56">
        <f>I65-K68</f>
        <v>120383.4</v>
      </c>
      <c r="N71" s="56"/>
      <c r="O71" s="280">
        <f>M71+K71</f>
        <v>146722.4</v>
      </c>
      <c r="P71" t="s">
        <v>908</v>
      </c>
    </row>
    <row r="72" spans="2:17">
      <c r="E72" s="365"/>
      <c r="O72">
        <v>153000</v>
      </c>
      <c r="P72" t="s">
        <v>909</v>
      </c>
    </row>
    <row r="73" spans="2:17">
      <c r="E73" s="365"/>
      <c r="O73" s="38">
        <f>O72-O71</f>
        <v>6277.6000000000058</v>
      </c>
    </row>
    <row r="74" spans="2:17">
      <c r="E74" s="365"/>
      <c r="O74" s="38">
        <f>O73-P74</f>
        <v>4277.6000000000058</v>
      </c>
      <c r="P74">
        <v>2000</v>
      </c>
      <c r="Q74" t="s">
        <v>814</v>
      </c>
    </row>
    <row r="75" spans="2:17">
      <c r="E75" s="365"/>
      <c r="G75">
        <v>357.09</v>
      </c>
      <c r="O75" s="38">
        <f>O74-P75</f>
        <v>2277.6000000000058</v>
      </c>
      <c r="P75">
        <v>2000</v>
      </c>
      <c r="Q75" t="s">
        <v>174</v>
      </c>
    </row>
    <row r="76" spans="2:17">
      <c r="E76" s="365"/>
      <c r="G76">
        <f>G75-105.8</f>
        <v>251.28999999999996</v>
      </c>
      <c r="H76" t="s">
        <v>918</v>
      </c>
      <c r="O76" s="38">
        <f>O75-P76</f>
        <v>2000.0000000000059</v>
      </c>
      <c r="P76">
        <v>277.60000000000002</v>
      </c>
      <c r="Q76" t="s">
        <v>129</v>
      </c>
    </row>
    <row r="77" spans="2:17">
      <c r="E77" s="365"/>
      <c r="O77" s="38">
        <f>O76-P77</f>
        <v>5.9117155615240335E-12</v>
      </c>
      <c r="P77">
        <v>2000</v>
      </c>
      <c r="Q77" t="s">
        <v>913</v>
      </c>
    </row>
  </sheetData>
  <mergeCells count="21">
    <mergeCell ref="B54:F54"/>
    <mergeCell ref="H54:M54"/>
    <mergeCell ref="B66:F66"/>
    <mergeCell ref="B44:E44"/>
    <mergeCell ref="B45:C45"/>
    <mergeCell ref="D45:E45"/>
    <mergeCell ref="B46:B50"/>
    <mergeCell ref="C46:C50"/>
    <mergeCell ref="B52:D52"/>
    <mergeCell ref="B39:C42"/>
    <mergeCell ref="B1:M1"/>
    <mergeCell ref="B4:E4"/>
    <mergeCell ref="B5:C5"/>
    <mergeCell ref="D5:E5"/>
    <mergeCell ref="B6:B32"/>
    <mergeCell ref="C6:C32"/>
    <mergeCell ref="B34:E34"/>
    <mergeCell ref="B35:C35"/>
    <mergeCell ref="D35:E35"/>
    <mergeCell ref="B36:B38"/>
    <mergeCell ref="C36:C38"/>
  </mergeCells>
  <pageMargins left="0.7" right="0.7" top="0.75" bottom="0.75" header="0.3" footer="0.3"/>
  <pageSetup orientation="portrait" r:id="rId1"/>
  <legacy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38D1-A034-CB46-863E-E646622618F9}">
  <sheetPr codeName="Sheet70"/>
  <dimension ref="A1:Q99"/>
  <sheetViews>
    <sheetView topLeftCell="B1" workbookViewId="0"/>
  </sheetViews>
  <sheetFormatPr defaultColWidth="10.33203125" defaultRowHeight="15.6" outlineLevelRow="1"/>
  <cols>
    <col min="1" max="1" width="15.44140625" hidden="1" customWidth="1"/>
    <col min="2" max="2" width="15.44140625" customWidth="1"/>
    <col min="3" max="3" width="21.109375" customWidth="1"/>
    <col min="4" max="4" width="36.44140625" customWidth="1"/>
    <col min="5" max="5" width="23" style="267" customWidth="1"/>
    <col min="6" max="8" width="22.44140625" customWidth="1"/>
    <col min="9" max="9" width="30.6640625" customWidth="1"/>
    <col min="10" max="10" width="26.109375" customWidth="1"/>
    <col min="11" max="11" width="28.109375" style="7" customWidth="1"/>
    <col min="12" max="12" width="39.109375" style="7" customWidth="1"/>
    <col min="13" max="13" width="20.44140625" customWidth="1"/>
    <col min="15" max="15" width="16" customWidth="1"/>
    <col min="16" max="16" width="17.44140625" customWidth="1"/>
    <col min="17" max="17" width="16.109375" customWidth="1"/>
  </cols>
  <sheetData>
    <row r="1" spans="1:17" ht="25.5" customHeight="1">
      <c r="A1" t="str">
        <f ca="1">UPPER(TEXT((1&amp;LEFT(B$1,3))-1,"MMM"))&amp;"-"&amp;UPPER(TEXT((1&amp;RIGHT(LEFT(B$1,7),3))-1,"MMM"))&amp;" "&amp;RIGHT(B$1,4)</f>
        <v>SEP-OCT 2019</v>
      </c>
      <c r="B1" s="730" t="str">
        <f ca="1">MID(CELL("filename",B1),FIND("]",CELL("filename",B1))+1,255)</f>
        <v>OCT-NOV 2019</v>
      </c>
      <c r="C1" s="731"/>
      <c r="D1" s="731"/>
      <c r="E1" s="731"/>
      <c r="F1" s="731"/>
      <c r="G1" s="731"/>
      <c r="H1" s="731"/>
      <c r="I1" s="731"/>
      <c r="J1" s="731"/>
      <c r="K1" s="731"/>
      <c r="L1" s="298"/>
      <c r="M1" s="281"/>
      <c r="N1" s="272"/>
      <c r="O1" s="272"/>
      <c r="P1" s="272"/>
    </row>
    <row r="2" spans="1:17">
      <c r="B2" s="118"/>
      <c r="C2" s="118"/>
      <c r="D2">
        <f>1810.29-650</f>
        <v>1160.29</v>
      </c>
      <c r="E2" s="365"/>
      <c r="F2" t="s">
        <v>798</v>
      </c>
      <c r="G2" t="s">
        <v>799</v>
      </c>
      <c r="H2" t="s">
        <v>800</v>
      </c>
      <c r="I2" t="s">
        <v>801</v>
      </c>
      <c r="J2" t="s">
        <v>802</v>
      </c>
      <c r="K2" s="273" t="s">
        <v>10</v>
      </c>
      <c r="L2" s="273"/>
      <c r="M2" s="283" t="s">
        <v>803</v>
      </c>
    </row>
    <row r="3" spans="1:17">
      <c r="B3" s="118"/>
      <c r="C3" s="118"/>
      <c r="E3" s="365"/>
      <c r="F3" s="42">
        <v>43763</v>
      </c>
      <c r="G3" s="42">
        <f>F3+7</f>
        <v>43770</v>
      </c>
      <c r="H3" s="42">
        <f t="shared" ref="H3:I3" si="0">G3+7</f>
        <v>43777</v>
      </c>
      <c r="I3" s="42">
        <f t="shared" si="0"/>
        <v>43784</v>
      </c>
      <c r="J3" s="243">
        <f>SUM(J4:J42)</f>
        <v>0</v>
      </c>
      <c r="K3" s="273"/>
      <c r="L3" s="273"/>
      <c r="M3" s="282"/>
    </row>
    <row r="4" spans="1:17" ht="15" customHeight="1">
      <c r="B4" s="727" t="s">
        <v>804</v>
      </c>
      <c r="C4" s="727"/>
      <c r="D4" s="727"/>
      <c r="E4" s="727"/>
      <c r="F4" s="11"/>
      <c r="K4" s="273"/>
      <c r="L4" s="273"/>
      <c r="M4" s="282"/>
    </row>
    <row r="5" spans="1:17" ht="15" customHeight="1">
      <c r="B5" s="733" t="str">
        <f>IF(D5&gt;E$44*0.5,ROUND(D5-E$44*0.5,2) &amp; " Over",ROUND(E$44*0.5-D5,2) &amp; " Under")</f>
        <v>232.55 Under</v>
      </c>
      <c r="C5" s="733"/>
      <c r="D5" s="761">
        <f>SUM(E6:E23)</f>
        <v>1947.1800000000003</v>
      </c>
      <c r="E5" s="761"/>
      <c r="F5" s="284" t="str">
        <f>E6/4 &amp; " / " &amp; E7/4</f>
        <v>76.91 / 71.4825</v>
      </c>
      <c r="G5" s="79"/>
      <c r="H5" s="79"/>
      <c r="I5" s="259"/>
      <c r="K5" s="285">
        <f>SUMIF(K6:K23,"&gt;0")</f>
        <v>27.77000000000001</v>
      </c>
      <c r="L5" s="285" t="s">
        <v>892</v>
      </c>
      <c r="M5" s="282">
        <f>SUM(M6:M23)</f>
        <v>14.759999999999991</v>
      </c>
    </row>
    <row r="6" spans="1:17" ht="15" customHeight="1">
      <c r="B6" s="734" t="str">
        <f>"50%: " &amp; E$44*0.5</f>
        <v>50%: 2179.73</v>
      </c>
      <c r="C6" s="734" t="str">
        <f>ROUND((D5/E$44)*100,2) &amp; "%: " &amp;D5</f>
        <v>44.67%: 1947.18</v>
      </c>
      <c r="D6" s="13" t="s">
        <v>805</v>
      </c>
      <c r="E6" s="374">
        <f>360-26.71-25.65</f>
        <v>307.64000000000004</v>
      </c>
      <c r="F6">
        <f>24.94+31.19+25.14</f>
        <v>81.27000000000001</v>
      </c>
      <c r="G6">
        <f>8.7+24.98+25.14</f>
        <v>58.82</v>
      </c>
      <c r="H6">
        <f>25.69+25.14+25.79+13.38</f>
        <v>90</v>
      </c>
      <c r="I6">
        <f>13.2+24.35+24.76+30</f>
        <v>92.31</v>
      </c>
      <c r="K6" s="274">
        <f t="shared" ref="K6:K23" si="1">E6-F6-G6-H6-I6-J6</f>
        <v>-14.759999999999962</v>
      </c>
      <c r="L6" s="274" t="str">
        <f t="shared" ref="L6:L23" si="2">D6</f>
        <v>Car Petrol / commuting</v>
      </c>
      <c r="M6" s="282">
        <f t="shared" ref="M6:M23" si="3">IF(K6&lt;0,K6*-1,0)</f>
        <v>14.759999999999962</v>
      </c>
    </row>
    <row r="7" spans="1:17" ht="15" customHeight="1">
      <c r="B7" s="734"/>
      <c r="C7" s="734"/>
      <c r="D7" s="13" t="s">
        <v>169</v>
      </c>
      <c r="E7" s="365">
        <f>260+26.71-0.78</f>
        <v>285.93</v>
      </c>
      <c r="F7">
        <f>6.28+25.03+28.26+3.25+3.44-1.26</f>
        <v>65</v>
      </c>
      <c r="G7">
        <f>12.48+15.12+38.65+3.25+1.26-5.76</f>
        <v>65</v>
      </c>
      <c r="H7">
        <f>6.79+1.19+23.66+46.99+7.75+5.76-27.14</f>
        <v>65</v>
      </c>
      <c r="I7">
        <f>92.14-65+17.63+4.4+15.92+25.84</f>
        <v>90.929999999999993</v>
      </c>
      <c r="K7" s="274">
        <f t="shared" si="1"/>
        <v>1.4210854715202004E-14</v>
      </c>
      <c r="L7" s="274" t="str">
        <f t="shared" si="2"/>
        <v>Food</v>
      </c>
      <c r="M7" s="282">
        <f t="shared" si="3"/>
        <v>0</v>
      </c>
    </row>
    <row r="8" spans="1:17" ht="15" customHeight="1">
      <c r="B8" s="734"/>
      <c r="C8" s="734"/>
      <c r="D8" s="13" t="s">
        <v>919</v>
      </c>
      <c r="E8" s="365">
        <f>40-4.55</f>
        <v>35.450000000000003</v>
      </c>
      <c r="F8">
        <f>17+8.98</f>
        <v>25.98</v>
      </c>
      <c r="H8">
        <f>9.47</f>
        <v>9.4700000000000006</v>
      </c>
      <c r="K8" s="274">
        <f t="shared" si="1"/>
        <v>1.7763568394002505E-15</v>
      </c>
      <c r="L8" s="274" t="s">
        <v>919</v>
      </c>
      <c r="M8" s="282">
        <f t="shared" si="3"/>
        <v>0</v>
      </c>
    </row>
    <row r="9" spans="1:17" ht="15" customHeight="1" outlineLevel="1">
      <c r="B9" s="734"/>
      <c r="C9" s="734"/>
      <c r="D9" s="13" t="s">
        <v>595</v>
      </c>
      <c r="E9" s="365">
        <v>452.64</v>
      </c>
      <c r="I9">
        <v>452.64</v>
      </c>
      <c r="K9" s="274">
        <f t="shared" si="1"/>
        <v>0</v>
      </c>
      <c r="L9" s="274" t="str">
        <f t="shared" si="2"/>
        <v>Mortgage</v>
      </c>
      <c r="M9" s="282">
        <f t="shared" si="3"/>
        <v>0</v>
      </c>
    </row>
    <row r="10" spans="1:17" ht="15" customHeight="1" outlineLevel="1">
      <c r="B10" s="734"/>
      <c r="C10" s="734"/>
      <c r="D10" s="13" t="s">
        <v>596</v>
      </c>
      <c r="E10" s="365">
        <v>123</v>
      </c>
      <c r="I10">
        <v>123</v>
      </c>
      <c r="K10" s="274">
        <f t="shared" si="1"/>
        <v>0</v>
      </c>
      <c r="L10" s="274" t="str">
        <f t="shared" si="2"/>
        <v>Council tax</v>
      </c>
      <c r="M10" s="282">
        <f t="shared" si="3"/>
        <v>0</v>
      </c>
    </row>
    <row r="11" spans="1:17" ht="15" customHeight="1" outlineLevel="1">
      <c r="B11" s="734"/>
      <c r="C11" s="734"/>
      <c r="D11" s="13" t="s">
        <v>785</v>
      </c>
      <c r="E11" s="365">
        <f>17+40+39.87</f>
        <v>96.87</v>
      </c>
      <c r="G11">
        <v>1</v>
      </c>
      <c r="I11">
        <f>39.87+40+16</f>
        <v>95.87</v>
      </c>
      <c r="K11" s="274">
        <f t="shared" si="1"/>
        <v>0</v>
      </c>
      <c r="L11" s="274" t="str">
        <f t="shared" si="2"/>
        <v>Utilities (G,W,E,TV)</v>
      </c>
      <c r="M11" s="282">
        <f t="shared" si="3"/>
        <v>0</v>
      </c>
    </row>
    <row r="12" spans="1:17" ht="15" customHeight="1" outlineLevel="1">
      <c r="B12" s="734"/>
      <c r="C12" s="734"/>
      <c r="D12" s="13" t="s">
        <v>894</v>
      </c>
      <c r="E12" s="365">
        <f>4.52+16.61+8.56+16.1+8-0.13</f>
        <v>53.66</v>
      </c>
      <c r="I12">
        <f>8+16.61+29.05</f>
        <v>53.66</v>
      </c>
      <c r="K12" s="274">
        <f t="shared" si="1"/>
        <v>0</v>
      </c>
      <c r="L12" s="274" t="str">
        <f t="shared" si="2"/>
        <v>Insurances</v>
      </c>
      <c r="M12" s="282">
        <f t="shared" si="3"/>
        <v>0</v>
      </c>
    </row>
    <row r="13" spans="1:17" ht="15" customHeight="1" outlineLevel="1">
      <c r="B13" s="734"/>
      <c r="C13" s="734"/>
      <c r="D13" s="13" t="s">
        <v>602</v>
      </c>
      <c r="E13" s="365">
        <v>80.760000000000005</v>
      </c>
      <c r="I13">
        <v>80.760000000000005</v>
      </c>
      <c r="K13" s="274">
        <f t="shared" si="1"/>
        <v>0</v>
      </c>
      <c r="L13" s="274" t="str">
        <f t="shared" si="2"/>
        <v>Broadband / TV</v>
      </c>
      <c r="M13" s="282">
        <f t="shared" si="3"/>
        <v>0</v>
      </c>
    </row>
    <row r="14" spans="1:17" ht="15" customHeight="1" outlineLevel="1">
      <c r="B14" s="734"/>
      <c r="C14" s="734"/>
      <c r="D14" s="13" t="s">
        <v>582</v>
      </c>
      <c r="E14" s="365">
        <v>7.99</v>
      </c>
      <c r="G14">
        <v>7.99</v>
      </c>
      <c r="K14" s="274">
        <f t="shared" si="1"/>
        <v>0</v>
      </c>
      <c r="L14" s="274" t="str">
        <f t="shared" si="2"/>
        <v>Onedrive (6th)</v>
      </c>
      <c r="M14" s="282">
        <f t="shared" si="3"/>
        <v>0</v>
      </c>
    </row>
    <row r="15" spans="1:17" ht="15" customHeight="1" outlineLevel="1">
      <c r="B15" s="734"/>
      <c r="C15" s="734"/>
      <c r="D15" s="13" t="s">
        <v>788</v>
      </c>
      <c r="E15" s="365">
        <v>10.01</v>
      </c>
      <c r="F15">
        <f>10.01</f>
        <v>10.01</v>
      </c>
      <c r="K15" s="274">
        <f t="shared" si="1"/>
        <v>0</v>
      </c>
      <c r="L15" s="274" t="str">
        <f t="shared" si="2"/>
        <v>Matt Phone</v>
      </c>
      <c r="M15" s="282">
        <f t="shared" si="3"/>
        <v>0</v>
      </c>
    </row>
    <row r="16" spans="1:17" ht="15" customHeight="1" outlineLevel="1">
      <c r="B16" s="734"/>
      <c r="C16" s="734"/>
      <c r="D16" s="13" t="s">
        <v>668</v>
      </c>
      <c r="E16" s="365">
        <v>0</v>
      </c>
      <c r="K16" s="274">
        <f t="shared" si="1"/>
        <v>0</v>
      </c>
      <c r="L16" s="274" t="str">
        <f t="shared" si="2"/>
        <v>M -Tax</v>
      </c>
      <c r="M16" s="282">
        <f t="shared" si="3"/>
        <v>0</v>
      </c>
    </row>
    <row r="17" spans="2:13" ht="15" customHeight="1" outlineLevel="1">
      <c r="B17" s="734"/>
      <c r="C17" s="734"/>
      <c r="D17" s="13" t="s">
        <v>669</v>
      </c>
      <c r="E17" s="365">
        <v>0</v>
      </c>
      <c r="K17" s="274">
        <f t="shared" si="1"/>
        <v>0</v>
      </c>
      <c r="L17" s="274" t="str">
        <f t="shared" si="2"/>
        <v>M - Service</v>
      </c>
      <c r="M17" s="282">
        <f t="shared" si="3"/>
        <v>0</v>
      </c>
    </row>
    <row r="18" spans="2:13" ht="15" customHeight="1" outlineLevel="1">
      <c r="B18" s="734"/>
      <c r="C18" s="734"/>
      <c r="D18" s="13" t="s">
        <v>670</v>
      </c>
      <c r="E18" s="365">
        <f>11.6+68.34</f>
        <v>79.94</v>
      </c>
      <c r="G18">
        <f>68.34</f>
        <v>68.34</v>
      </c>
      <c r="K18" s="274">
        <f t="shared" si="1"/>
        <v>11.599999999999994</v>
      </c>
      <c r="L18" s="274" t="str">
        <f t="shared" si="2"/>
        <v>M - Insurance</v>
      </c>
      <c r="M18" s="282">
        <f t="shared" si="3"/>
        <v>0</v>
      </c>
    </row>
    <row r="19" spans="2:13" ht="15" customHeight="1" outlineLevel="1">
      <c r="B19" s="734"/>
      <c r="C19" s="734"/>
      <c r="D19" s="276" t="s">
        <v>920</v>
      </c>
      <c r="E19" s="277">
        <f>179.07+129.97</f>
        <v>309.03999999999996</v>
      </c>
      <c r="H19">
        <f>129.97</f>
        <v>129.97</v>
      </c>
      <c r="I19">
        <v>179.07</v>
      </c>
      <c r="K19" s="274">
        <f t="shared" si="1"/>
        <v>-2.8421709430404007E-14</v>
      </c>
      <c r="L19" s="274" t="str">
        <f t="shared" si="2"/>
        <v>Finance</v>
      </c>
      <c r="M19" s="282">
        <f>IF(K19&lt;0,K19*-1,0)</f>
        <v>2.8421709430404007E-14</v>
      </c>
    </row>
    <row r="20" spans="2:13" ht="15" customHeight="1" outlineLevel="1">
      <c r="B20" s="734"/>
      <c r="C20" s="734"/>
      <c r="D20" s="13" t="s">
        <v>672</v>
      </c>
      <c r="E20" s="365">
        <v>12.25</v>
      </c>
      <c r="G20">
        <v>12.25</v>
      </c>
      <c r="K20" s="274">
        <f t="shared" si="1"/>
        <v>0</v>
      </c>
      <c r="L20" s="274" t="str">
        <f t="shared" si="2"/>
        <v>K - Tax</v>
      </c>
      <c r="M20" s="282">
        <f t="shared" si="3"/>
        <v>0</v>
      </c>
    </row>
    <row r="21" spans="2:13" ht="15" customHeight="1" outlineLevel="1">
      <c r="B21" s="734"/>
      <c r="C21" s="734"/>
      <c r="D21" s="13" t="s">
        <v>673</v>
      </c>
      <c r="E21" s="365">
        <v>0</v>
      </c>
      <c r="K21" s="274">
        <f t="shared" si="1"/>
        <v>0</v>
      </c>
      <c r="L21" s="274" t="str">
        <f t="shared" si="2"/>
        <v>K - Service</v>
      </c>
      <c r="M21" s="282">
        <f t="shared" si="3"/>
        <v>0</v>
      </c>
    </row>
    <row r="22" spans="2:13" ht="15" customHeight="1" outlineLevel="1">
      <c r="B22" s="734"/>
      <c r="C22" s="734"/>
      <c r="D22" s="13" t="s">
        <v>674</v>
      </c>
      <c r="E22" s="365">
        <v>92</v>
      </c>
      <c r="I22">
        <v>75.83</v>
      </c>
      <c r="K22" s="274">
        <f t="shared" si="1"/>
        <v>16.170000000000002</v>
      </c>
      <c r="L22" s="274" t="str">
        <f t="shared" si="2"/>
        <v>K - Insurance</v>
      </c>
      <c r="M22" s="282">
        <f t="shared" si="3"/>
        <v>0</v>
      </c>
    </row>
    <row r="23" spans="2:13" ht="15" customHeight="1" outlineLevel="1">
      <c r="B23" s="734"/>
      <c r="C23" s="734"/>
      <c r="D23" s="13" t="s">
        <v>675</v>
      </c>
      <c r="E23" s="365">
        <v>0</v>
      </c>
      <c r="K23" s="274">
        <f t="shared" si="1"/>
        <v>0</v>
      </c>
      <c r="L23" s="274" t="str">
        <f t="shared" si="2"/>
        <v>MOT's</v>
      </c>
      <c r="M23" s="282">
        <f t="shared" si="3"/>
        <v>0</v>
      </c>
    </row>
    <row r="24" spans="2:13" ht="15" customHeight="1">
      <c r="B24" s="118"/>
      <c r="C24" s="118"/>
      <c r="E24" s="365"/>
      <c r="K24" s="273"/>
      <c r="L24" s="273"/>
      <c r="M24" s="282"/>
    </row>
    <row r="25" spans="2:13" ht="15" customHeight="1">
      <c r="B25" s="736" t="s">
        <v>808</v>
      </c>
      <c r="C25" s="736"/>
      <c r="D25" s="736"/>
      <c r="E25" s="736"/>
      <c r="K25" s="274"/>
      <c r="L25" s="274"/>
      <c r="M25" s="282"/>
    </row>
    <row r="26" spans="2:13" ht="15" customHeight="1">
      <c r="B26" s="727" t="str">
        <f>IF(ISNUMBER((SEARCH("Over",C$5))),"Operating under budget","Operating over budget")</f>
        <v>Operating over budget</v>
      </c>
      <c r="C26" s="727"/>
      <c r="D26" s="759">
        <f>SUM(E27:E34)</f>
        <v>1400</v>
      </c>
      <c r="E26" s="759"/>
      <c r="K26" s="285">
        <f>SUMIF(K27:K35,"&gt;0")</f>
        <v>3.5527136788005009E-15</v>
      </c>
      <c r="L26" s="285" t="s">
        <v>895</v>
      </c>
      <c r="M26" s="282">
        <f>SUM(M27:M33)</f>
        <v>0</v>
      </c>
    </row>
    <row r="27" spans="2:13" ht="15" customHeight="1" outlineLevel="1">
      <c r="B27" s="734" t="str">
        <f>"20% : " &amp; E$44*0.2</f>
        <v>20% : 871.892</v>
      </c>
      <c r="C27" s="734" t="str">
        <f>"20% : " &amp; E$44*0.2</f>
        <v>20% : 871.892</v>
      </c>
      <c r="D27" s="300" t="s">
        <v>896</v>
      </c>
      <c r="E27" s="365">
        <v>50</v>
      </c>
      <c r="G27">
        <f>16.99</f>
        <v>16.989999999999998</v>
      </c>
      <c r="H27">
        <f>-16.99+4.35+6.85+7+10</f>
        <v>11.21</v>
      </c>
      <c r="I27">
        <f>4.05+17.75</f>
        <v>21.8</v>
      </c>
      <c r="K27" s="274">
        <f t="shared" ref="K27:K35" si="4">E27-F27-G27-H27-I27-J27</f>
        <v>3.5527136788005009E-15</v>
      </c>
      <c r="L27" s="274" t="str">
        <f t="shared" ref="L27:L33" si="5">D27</f>
        <v>Contingency 20%</v>
      </c>
      <c r="M27" s="282">
        <f t="shared" ref="M27:M33" si="6">IF(K27&lt;0,K27*-1,0)</f>
        <v>0</v>
      </c>
    </row>
    <row r="28" spans="2:13" ht="15" customHeight="1" outlineLevel="1">
      <c r="B28" s="734"/>
      <c r="C28" s="734"/>
      <c r="D28" s="300" t="s">
        <v>897</v>
      </c>
      <c r="E28" s="365">
        <v>0</v>
      </c>
      <c r="K28" s="274">
        <f t="shared" si="4"/>
        <v>0</v>
      </c>
      <c r="L28" s="274" t="str">
        <f t="shared" si="5"/>
        <v>Holiday Fund 60%</v>
      </c>
      <c r="M28" s="282">
        <f t="shared" si="6"/>
        <v>0</v>
      </c>
    </row>
    <row r="29" spans="2:13" ht="15" customHeight="1" outlineLevel="1">
      <c r="B29" s="734"/>
      <c r="C29" s="734"/>
      <c r="D29" s="300" t="s">
        <v>811</v>
      </c>
      <c r="E29" s="365">
        <f>600+300+200</f>
        <v>1100</v>
      </c>
      <c r="F29">
        <f>81.15</f>
        <v>81.150000000000006</v>
      </c>
      <c r="G29">
        <f>23.05+3.3+4.4</f>
        <v>30.75</v>
      </c>
      <c r="H29">
        <f>104.28+30</f>
        <v>134.28</v>
      </c>
      <c r="I29">
        <f>19.99+833.83</f>
        <v>853.82</v>
      </c>
      <c r="K29" s="274">
        <f t="shared" si="4"/>
        <v>0</v>
      </c>
      <c r="L29" s="274" t="str">
        <f t="shared" si="5"/>
        <v>Gift Fund 20%</v>
      </c>
      <c r="M29" s="282">
        <f t="shared" si="6"/>
        <v>0</v>
      </c>
    </row>
    <row r="30" spans="2:13" ht="15" customHeight="1" outlineLevel="1">
      <c r="B30" s="734" t="s">
        <v>130</v>
      </c>
      <c r="C30" s="734"/>
      <c r="D30" s="300" t="s">
        <v>812</v>
      </c>
      <c r="E30" s="365">
        <v>0</v>
      </c>
      <c r="K30" s="274">
        <f t="shared" si="4"/>
        <v>0</v>
      </c>
      <c r="L30" s="274" t="str">
        <f t="shared" si="5"/>
        <v>Wedding</v>
      </c>
      <c r="M30" s="282">
        <f t="shared" si="6"/>
        <v>0</v>
      </c>
    </row>
    <row r="31" spans="2:13" ht="15" customHeight="1" outlineLevel="1">
      <c r="B31" s="734"/>
      <c r="C31" s="734"/>
      <c r="D31" s="300" t="s">
        <v>813</v>
      </c>
      <c r="E31" s="365">
        <v>0</v>
      </c>
      <c r="K31" s="274">
        <f t="shared" si="4"/>
        <v>0</v>
      </c>
      <c r="L31" s="274" t="str">
        <f t="shared" si="5"/>
        <v>Driving Lessons</v>
      </c>
      <c r="M31" s="282">
        <f t="shared" si="6"/>
        <v>0</v>
      </c>
    </row>
    <row r="32" spans="2:13" ht="15" customHeight="1" outlineLevel="1">
      <c r="B32" s="734"/>
      <c r="C32" s="734"/>
      <c r="D32" s="300" t="s">
        <v>174</v>
      </c>
      <c r="E32" s="365">
        <v>0</v>
      </c>
      <c r="F32" s="11"/>
      <c r="K32" s="274">
        <f t="shared" si="4"/>
        <v>0</v>
      </c>
      <c r="L32" s="274" t="str">
        <f t="shared" si="5"/>
        <v>House</v>
      </c>
      <c r="M32" s="282">
        <f t="shared" si="6"/>
        <v>0</v>
      </c>
    </row>
    <row r="33" spans="2:13" ht="15" customHeight="1" outlineLevel="1">
      <c r="B33" s="734"/>
      <c r="C33" s="734"/>
      <c r="D33" s="300" t="s">
        <v>814</v>
      </c>
      <c r="E33" s="365">
        <v>0</v>
      </c>
      <c r="F33" s="11"/>
      <c r="K33" s="274">
        <f>E33-F33-G33-H33-I33-J33</f>
        <v>0</v>
      </c>
      <c r="L33" s="274" t="str">
        <f t="shared" si="5"/>
        <v>CC</v>
      </c>
      <c r="M33" s="282">
        <f t="shared" si="6"/>
        <v>0</v>
      </c>
    </row>
    <row r="34" spans="2:13" ht="15" customHeight="1" outlineLevel="1">
      <c r="B34" s="7"/>
      <c r="C34" s="7"/>
      <c r="D34" s="300" t="s">
        <v>183</v>
      </c>
      <c r="E34" s="365">
        <f>250</f>
        <v>250</v>
      </c>
      <c r="F34" s="11"/>
      <c r="H34">
        <f>35.2+106.96+70.97</f>
        <v>213.13</v>
      </c>
      <c r="I34">
        <f>11.48+2.68+22.71</f>
        <v>36.870000000000005</v>
      </c>
      <c r="K34" s="274">
        <f>E34-F34-G34-H34-I34-J34</f>
        <v>0</v>
      </c>
      <c r="L34" s="274" t="str">
        <f>D34</f>
        <v>Savings</v>
      </c>
      <c r="M34" s="282"/>
    </row>
    <row r="35" spans="2:13" ht="15" customHeight="1" outlineLevel="1">
      <c r="B35" s="7"/>
      <c r="C35" s="7"/>
      <c r="D35" s="300" t="s">
        <v>921</v>
      </c>
      <c r="E35" s="365">
        <f>113.4-1.46-11.94+191.89+137.88</f>
        <v>429.77</v>
      </c>
      <c r="F35" s="11">
        <v>100</v>
      </c>
      <c r="G35">
        <f>191.89</f>
        <v>191.89</v>
      </c>
      <c r="I35">
        <v>137.88</v>
      </c>
      <c r="K35" s="274">
        <f t="shared" si="4"/>
        <v>0</v>
      </c>
      <c r="L35" s="274"/>
      <c r="M35" s="282"/>
    </row>
    <row r="36" spans="2:13" ht="15" customHeight="1">
      <c r="B36" s="118"/>
      <c r="C36" s="118"/>
      <c r="E36" s="365"/>
      <c r="K36" s="273"/>
      <c r="L36" s="273"/>
      <c r="M36" s="282"/>
    </row>
    <row r="37" spans="2:13" ht="15" customHeight="1">
      <c r="B37" s="727"/>
      <c r="C37" s="727"/>
      <c r="D37" s="727"/>
      <c r="E37" s="727"/>
      <c r="K37" s="273"/>
      <c r="L37" s="273"/>
      <c r="M37" s="282"/>
    </row>
    <row r="38" spans="2:13" ht="15" customHeight="1">
      <c r="B38" s="727" t="str">
        <f>IF(ISNUMBER((SEARCH("Over",B$5))),"Operating under budget","Operating over budget")</f>
        <v>Operating over budget</v>
      </c>
      <c r="C38" s="727"/>
      <c r="D38" s="759">
        <f>(E$44-D5-D26)</f>
        <v>1012.2799999999997</v>
      </c>
      <c r="E38" s="727"/>
      <c r="K38" s="285">
        <f>SUM(K39:K41)</f>
        <v>0</v>
      </c>
      <c r="L38" s="285" t="s">
        <v>899</v>
      </c>
      <c r="M38" s="282">
        <f>SUM(M39:M41)</f>
        <v>0</v>
      </c>
    </row>
    <row r="39" spans="2:13" ht="18" outlineLevel="1">
      <c r="B39" s="734" t="str">
        <f>"30%: " &amp; (E$44*0.3)</f>
        <v>30%: 1307.838</v>
      </c>
      <c r="C39" s="760" t="str">
        <f>ROUND(((E$44-D5-(E$44*0.2))/E$44)*100,2) &amp; "%: " &amp; (E$44-D5-(E$44*0.2))</f>
        <v>35.33%: 1540.388</v>
      </c>
      <c r="D39" s="13" t="s">
        <v>589</v>
      </c>
      <c r="E39" s="365">
        <v>0</v>
      </c>
      <c r="K39" s="274">
        <f>E39-F39-G39-H39-I39-J39</f>
        <v>0</v>
      </c>
      <c r="L39" s="274" t="str">
        <f t="shared" ref="L39:L42" si="7">D39</f>
        <v>Music</v>
      </c>
      <c r="M39" s="282">
        <f>IF(K39&lt;0,K39*-1,0)</f>
        <v>0</v>
      </c>
    </row>
    <row r="40" spans="2:13" ht="15.75" customHeight="1" outlineLevel="1">
      <c r="B40" s="734"/>
      <c r="C40" s="760"/>
      <c r="D40" s="13" t="s">
        <v>781</v>
      </c>
      <c r="E40" s="365">
        <f>37.56+18</f>
        <v>55.56</v>
      </c>
      <c r="F40">
        <f>13</f>
        <v>13</v>
      </c>
      <c r="G40">
        <f>14.56</f>
        <v>14.56</v>
      </c>
      <c r="H40">
        <f>10</f>
        <v>10</v>
      </c>
      <c r="I40">
        <v>18</v>
      </c>
      <c r="K40" s="274">
        <f>E40-F40-G40-H40-I40-J40</f>
        <v>0</v>
      </c>
      <c r="L40" s="274" t="str">
        <f t="shared" si="7"/>
        <v>Subscriptions</v>
      </c>
      <c r="M40" s="282">
        <f>IF(K40&lt;0,K40*-1,0)</f>
        <v>0</v>
      </c>
    </row>
    <row r="41" spans="2:13" ht="18" outlineLevel="1">
      <c r="B41" s="734"/>
      <c r="C41" s="760"/>
      <c r="D41" s="13" t="s">
        <v>815</v>
      </c>
      <c r="E41" s="365">
        <f>100</f>
        <v>100</v>
      </c>
      <c r="F41">
        <f>(17.5+18.5)-11</f>
        <v>25</v>
      </c>
      <c r="G41">
        <v>25</v>
      </c>
      <c r="H41">
        <v>25</v>
      </c>
      <c r="I41">
        <f>11.2+13.8</f>
        <v>25</v>
      </c>
      <c r="K41" s="274">
        <f>E41-F41-G41-H41-I41-J41</f>
        <v>0</v>
      </c>
      <c r="L41" s="274" t="str">
        <f t="shared" si="7"/>
        <v>Shared 10%</v>
      </c>
      <c r="M41" s="282">
        <f>IF(K41&lt;0,K41*-1,0)</f>
        <v>0</v>
      </c>
    </row>
    <row r="42" spans="2:13" ht="18" outlineLevel="1">
      <c r="B42" s="734"/>
      <c r="C42" s="760"/>
      <c r="D42" s="13" t="s">
        <v>922</v>
      </c>
      <c r="E42" s="365">
        <f>(D38-E39-E40-E41)-E35-M44</f>
        <v>412.18999999999983</v>
      </c>
      <c r="F42">
        <f>20+9.99+44.15+37.91+50+11+8.24</f>
        <v>181.29000000000002</v>
      </c>
      <c r="G42">
        <f>23.7+30.45</f>
        <v>54.15</v>
      </c>
      <c r="H42">
        <f>6.1+8+8.36+26.4+11.56+14.99</f>
        <v>75.41</v>
      </c>
      <c r="I42">
        <f>-8+13.83+(21.6-17.75)+62.71+31.11+11</f>
        <v>114.5</v>
      </c>
      <c r="K42" s="274">
        <f>E42-F42-G42-H42-I42-J42</f>
        <v>-13.160000000000196</v>
      </c>
      <c r="L42" s="274" t="str">
        <f t="shared" si="7"/>
        <v>Matt Fun</v>
      </c>
      <c r="M42" s="271"/>
    </row>
    <row r="43" spans="2:13">
      <c r="B43" s="118"/>
      <c r="C43" s="118"/>
      <c r="E43" s="365"/>
      <c r="K43" s="273"/>
      <c r="L43" s="273"/>
      <c r="M43" s="282"/>
    </row>
    <row r="44" spans="2:13" ht="18">
      <c r="B44" s="728" t="s">
        <v>817</v>
      </c>
      <c r="C44" s="728"/>
      <c r="D44" s="728"/>
      <c r="E44" s="375">
        <f>F44+G44+H44+I44+J44</f>
        <v>4359.46</v>
      </c>
      <c r="F44" s="271">
        <f>1716.63+1373+42+48+3.7</f>
        <v>3183.33</v>
      </c>
      <c r="G44" s="271">
        <f>15+4+191.89</f>
        <v>210.89</v>
      </c>
      <c r="H44" s="271">
        <f>40.14</f>
        <v>40.14</v>
      </c>
      <c r="I44" s="271">
        <f>913.5+11.6</f>
        <v>925.1</v>
      </c>
      <c r="J44" s="271"/>
      <c r="K44" s="285" t="str">
        <f>"£" &amp; K5+K38+K26+J3+K42 &amp; " / " &amp; "£" &amp; E44</f>
        <v>£14.6099999999998 / £4359.46</v>
      </c>
      <c r="L44" s="274"/>
      <c r="M44" s="282">
        <f>SUM(M38,M26,M5)</f>
        <v>14.759999999999991</v>
      </c>
    </row>
    <row r="45" spans="2:13">
      <c r="B45" s="118"/>
      <c r="C45" s="7"/>
      <c r="E45" s="365"/>
      <c r="K45" s="284"/>
    </row>
    <row r="46" spans="2:13" ht="14.4">
      <c r="B46" s="729" t="s">
        <v>678</v>
      </c>
      <c r="C46" s="729"/>
      <c r="D46" s="729"/>
      <c r="E46" s="729"/>
      <c r="F46" s="729"/>
      <c r="H46" s="729"/>
      <c r="I46" s="729"/>
      <c r="J46" s="729"/>
      <c r="K46" s="729"/>
      <c r="L46" s="297"/>
    </row>
    <row r="47" spans="2:13">
      <c r="E47"/>
      <c r="H47" s="212"/>
      <c r="I47" s="278"/>
      <c r="J47" s="212">
        <f>200.59-124.76</f>
        <v>75.83</v>
      </c>
      <c r="K47" s="212"/>
      <c r="L47" s="212"/>
    </row>
    <row r="48" spans="2:13">
      <c r="E48"/>
      <c r="H48" s="214"/>
      <c r="I48" s="376"/>
      <c r="J48" s="214">
        <v>100</v>
      </c>
      <c r="K48" s="214"/>
      <c r="L48" s="214"/>
    </row>
    <row r="49" spans="2:17">
      <c r="E49"/>
      <c r="F49">
        <v>913.5</v>
      </c>
      <c r="I49" s="365">
        <f>833+250+25+13.8+62.7+22.71</f>
        <v>1207.21</v>
      </c>
      <c r="J49">
        <v>250</v>
      </c>
      <c r="K49"/>
      <c r="L49"/>
    </row>
    <row r="50" spans="2:17">
      <c r="E50"/>
      <c r="F50">
        <f>24.04+3.75+105.8+4.29</f>
        <v>137.88</v>
      </c>
      <c r="H50" s="212"/>
      <c r="I50" s="278"/>
      <c r="J50" s="212">
        <v>850</v>
      </c>
      <c r="K50" s="212"/>
      <c r="L50" s="212"/>
    </row>
    <row r="51" spans="2:17">
      <c r="E51"/>
      <c r="F51">
        <f>F49-F50</f>
        <v>775.62</v>
      </c>
      <c r="H51" s="56">
        <f>1309.9-260</f>
        <v>1049.9000000000001</v>
      </c>
      <c r="I51" s="365">
        <f>539*2</f>
        <v>1078</v>
      </c>
      <c r="J51" s="56">
        <v>35</v>
      </c>
      <c r="K51" s="56"/>
      <c r="L51" s="56"/>
    </row>
    <row r="52" spans="2:17">
      <c r="E52"/>
      <c r="H52">
        <v>1270</v>
      </c>
      <c r="I52" s="365">
        <f>621.99*2+70</f>
        <v>1313.98</v>
      </c>
      <c r="J52">
        <v>25</v>
      </c>
      <c r="K52"/>
      <c r="L52"/>
    </row>
    <row r="53" spans="2:17">
      <c r="E53"/>
      <c r="H53" s="212"/>
      <c r="I53" s="278">
        <f>I52-I51</f>
        <v>235.98000000000002</v>
      </c>
      <c r="J53" s="212">
        <v>20</v>
      </c>
      <c r="K53" s="212"/>
      <c r="L53" s="212"/>
      <c r="M53" s="279"/>
    </row>
    <row r="54" spans="2:17">
      <c r="E54"/>
      <c r="F54">
        <f>107.23</f>
        <v>107.23</v>
      </c>
      <c r="G54" t="s">
        <v>923</v>
      </c>
      <c r="H54" s="258"/>
      <c r="I54" s="365"/>
      <c r="J54" s="38">
        <v>50</v>
      </c>
      <c r="K54" s="56"/>
      <c r="L54" s="56"/>
      <c r="M54" s="280"/>
    </row>
    <row r="55" spans="2:17" ht="14.4">
      <c r="E55"/>
      <c r="F55">
        <v>65</v>
      </c>
      <c r="G55" t="s">
        <v>924</v>
      </c>
      <c r="J55" s="214">
        <v>1300</v>
      </c>
    </row>
    <row r="56" spans="2:17" ht="14.4">
      <c r="E56"/>
      <c r="F56">
        <f>SUM(F54:F55)</f>
        <v>172.23000000000002</v>
      </c>
    </row>
    <row r="57" spans="2:17">
      <c r="E57" s="365"/>
      <c r="I57" s="378"/>
      <c r="K57" s="7">
        <v>400</v>
      </c>
      <c r="L57" s="7">
        <v>400</v>
      </c>
      <c r="M57" s="7">
        <v>400</v>
      </c>
      <c r="O57" s="7">
        <v>400</v>
      </c>
      <c r="P57" s="7">
        <v>400</v>
      </c>
      <c r="Q57" s="7">
        <v>400</v>
      </c>
    </row>
    <row r="58" spans="2:17">
      <c r="E58" s="365"/>
      <c r="K58" s="7">
        <v>40</v>
      </c>
      <c r="L58" s="7">
        <v>50</v>
      </c>
      <c r="M58" s="7">
        <v>60</v>
      </c>
      <c r="O58" s="7">
        <v>40</v>
      </c>
      <c r="P58" s="7">
        <v>50</v>
      </c>
      <c r="Q58" s="7">
        <v>60</v>
      </c>
    </row>
    <row r="59" spans="2:17">
      <c r="B59" t="s">
        <v>129</v>
      </c>
      <c r="E59" s="365"/>
      <c r="K59" s="7">
        <v>125</v>
      </c>
      <c r="L59" s="7">
        <v>125</v>
      </c>
      <c r="M59" s="7">
        <v>125</v>
      </c>
      <c r="O59" s="7">
        <v>125</v>
      </c>
      <c r="P59" s="7">
        <v>125</v>
      </c>
      <c r="Q59" s="7">
        <v>125</v>
      </c>
    </row>
    <row r="60" spans="2:17">
      <c r="E60" s="365"/>
      <c r="K60" s="7">
        <v>56.83</v>
      </c>
      <c r="L60" s="7">
        <v>45.46</v>
      </c>
      <c r="M60" s="7">
        <v>37.880000000000003</v>
      </c>
      <c r="O60" s="7">
        <v>56.83</v>
      </c>
      <c r="P60" s="7">
        <v>45.46</v>
      </c>
      <c r="Q60" s="7">
        <v>37.880000000000003</v>
      </c>
    </row>
    <row r="61" spans="2:17">
      <c r="B61" s="212" t="s">
        <v>925</v>
      </c>
      <c r="C61" s="212" t="s">
        <v>926</v>
      </c>
      <c r="D61" s="212" t="s">
        <v>927</v>
      </c>
      <c r="E61" s="278" t="s">
        <v>10</v>
      </c>
      <c r="K61" s="290" t="str">
        <f>(K60-K65)*4 &amp; " / " &amp; ((K60-K65)*4)*12</f>
        <v>45.48 / 545.76</v>
      </c>
      <c r="L61" s="290" t="str">
        <f>(L60-L65)*4 &amp; " / " &amp; ((L60-L65)*4)*12</f>
        <v>36.36 / 436.32</v>
      </c>
      <c r="M61" s="290" t="str">
        <f>(M60-M65)*4 &amp; " / " &amp; ((M60-M65)*4)*12</f>
        <v>30.28 / 363.36</v>
      </c>
      <c r="O61" s="290" t="str">
        <f>(O60-O65)*4 &amp; " / " &amp; ((O60-O65)*4)*12</f>
        <v>90.92 / 1091.04</v>
      </c>
      <c r="P61" s="290" t="str">
        <f>(P60-P65)*4 &amp; " / " &amp; ((P60-P65)*4)*12</f>
        <v>72.72 / 872.64</v>
      </c>
      <c r="Q61" s="290" t="str">
        <f>(Q60-Q65)*4 &amp; " / " &amp; ((Q60-Q65)*4)*12</f>
        <v>60.6 / 727.2</v>
      </c>
    </row>
    <row r="62" spans="2:17">
      <c r="B62">
        <v>0</v>
      </c>
      <c r="C62" s="56">
        <v>123960</v>
      </c>
      <c r="D62" s="56">
        <v>123960</v>
      </c>
      <c r="E62" s="365"/>
      <c r="K62" s="7">
        <v>320</v>
      </c>
      <c r="L62" s="7">
        <v>320</v>
      </c>
      <c r="M62" s="7">
        <v>320</v>
      </c>
      <c r="O62" s="7">
        <v>240</v>
      </c>
      <c r="P62" s="7">
        <v>240</v>
      </c>
      <c r="Q62" s="7">
        <v>240</v>
      </c>
    </row>
    <row r="63" spans="2:17">
      <c r="B63">
        <v>6</v>
      </c>
      <c r="C63" s="56">
        <f>C62-($D$75/2)</f>
        <v>122866</v>
      </c>
      <c r="D63" s="288"/>
      <c r="E63" s="365"/>
      <c r="F63" s="11"/>
      <c r="K63" s="7">
        <v>40</v>
      </c>
      <c r="L63" s="7">
        <v>50</v>
      </c>
      <c r="M63" s="7">
        <v>60</v>
      </c>
      <c r="O63" s="7">
        <v>40</v>
      </c>
      <c r="P63" s="7">
        <v>50</v>
      </c>
      <c r="Q63" s="7">
        <v>60</v>
      </c>
    </row>
    <row r="64" spans="2:17">
      <c r="B64">
        <v>12</v>
      </c>
      <c r="C64" s="56">
        <f>C63-($D$75/2)</f>
        <v>121772</v>
      </c>
      <c r="E64" s="365"/>
      <c r="K64" s="7">
        <v>125</v>
      </c>
      <c r="L64" s="7">
        <v>125</v>
      </c>
      <c r="M64" s="7">
        <v>125</v>
      </c>
      <c r="O64" s="7">
        <v>125</v>
      </c>
      <c r="P64" s="7">
        <v>125</v>
      </c>
      <c r="Q64" s="7">
        <v>125</v>
      </c>
    </row>
    <row r="65" spans="2:17">
      <c r="B65">
        <v>18</v>
      </c>
      <c r="C65" s="56">
        <f>C64-($D$76/2)</f>
        <v>120648.5</v>
      </c>
      <c r="D65" s="212">
        <v>150</v>
      </c>
      <c r="E65" s="278">
        <v>200</v>
      </c>
      <c r="F65" s="212">
        <v>500</v>
      </c>
      <c r="K65" s="7">
        <v>45.46</v>
      </c>
      <c r="L65" s="7">
        <v>36.369999999999997</v>
      </c>
      <c r="M65" s="7">
        <v>30.31</v>
      </c>
      <c r="O65" s="7">
        <v>34.1</v>
      </c>
      <c r="P65" s="7">
        <v>27.28</v>
      </c>
      <c r="Q65" s="7">
        <v>22.73</v>
      </c>
    </row>
    <row r="66" spans="2:17" ht="14.4">
      <c r="B66">
        <v>24</v>
      </c>
      <c r="C66" s="56">
        <f>C65-($D$76/2)</f>
        <v>119525</v>
      </c>
      <c r="D66">
        <f>$C$65-($F$76/2)</f>
        <v>118590</v>
      </c>
      <c r="E66">
        <f>$C$65-($F$84/2)</f>
        <v>118278</v>
      </c>
      <c r="F66">
        <f>$C$65-($F$92/2)</f>
        <v>116407.5</v>
      </c>
    </row>
    <row r="67" spans="2:17" ht="14.4">
      <c r="B67">
        <v>30</v>
      </c>
      <c r="C67" s="56">
        <f>C66-($D$77/2)</f>
        <v>118372</v>
      </c>
      <c r="D67">
        <f>$D$66-($F$77/2)</f>
        <v>116476.5</v>
      </c>
      <c r="E67">
        <f>$D$66-($F$85/2)</f>
        <v>116156.5</v>
      </c>
      <c r="F67">
        <f>$D$66-($F$93/2)</f>
        <v>114236</v>
      </c>
    </row>
    <row r="68" spans="2:17" ht="14.4">
      <c r="B68">
        <v>36</v>
      </c>
      <c r="C68" s="56">
        <f>C67-($D$77/2)</f>
        <v>117219</v>
      </c>
      <c r="D68">
        <f>$D$67-($F$77/2)</f>
        <v>114363</v>
      </c>
      <c r="E68">
        <f>$D$67-($F$85/2)</f>
        <v>114043</v>
      </c>
      <c r="F68">
        <f>$D$67-($F$93/2)</f>
        <v>112122.5</v>
      </c>
      <c r="H68" s="726"/>
      <c r="I68" s="726"/>
      <c r="J68" s="726"/>
      <c r="K68" s="726"/>
    </row>
    <row r="69" spans="2:17" ht="14.4">
      <c r="B69">
        <v>42</v>
      </c>
      <c r="C69" s="56">
        <f>C68-($D$78/2)</f>
        <v>116035</v>
      </c>
      <c r="D69">
        <f>$D$68-($F$78/2)</f>
        <v>112193</v>
      </c>
      <c r="E69">
        <f>$D$68-($F$86/2)</f>
        <v>111864.5</v>
      </c>
      <c r="F69">
        <f>$D$68-($F$94/2)</f>
        <v>109892.5</v>
      </c>
    </row>
    <row r="70" spans="2:17" ht="14.4">
      <c r="B70">
        <v>48</v>
      </c>
      <c r="C70" s="56">
        <f>C69-($D$78/2)</f>
        <v>114851</v>
      </c>
      <c r="D70">
        <f>$D$69-($F$78/2)</f>
        <v>110023</v>
      </c>
      <c r="E70">
        <f>$D$69-($F$86/2)</f>
        <v>109694.5</v>
      </c>
      <c r="F70">
        <f>$D$69-($F$94/2)</f>
        <v>107722.5</v>
      </c>
    </row>
    <row r="71" spans="2:17" ht="14.4">
      <c r="B71">
        <v>54</v>
      </c>
      <c r="C71" s="56">
        <f>C70-($D$79/2)</f>
        <v>113635</v>
      </c>
      <c r="D71">
        <f>$D$70-($F$79/2)</f>
        <v>107795</v>
      </c>
      <c r="E71">
        <f>$D$70-($F$87/2)</f>
        <v>107457.5</v>
      </c>
      <c r="F71">
        <f>$D$70-($F$95/2)</f>
        <v>105433.5</v>
      </c>
    </row>
    <row r="72" spans="2:17" ht="14.4">
      <c r="B72">
        <v>60</v>
      </c>
      <c r="C72" s="56">
        <f>C71-($D$79/2)</f>
        <v>112419</v>
      </c>
      <c r="D72">
        <f>$D$71-($F$79/2)</f>
        <v>105567</v>
      </c>
      <c r="E72">
        <f>$D$71-($F$87/2)</f>
        <v>105229.5</v>
      </c>
      <c r="F72">
        <f>$D$71-($F$95/2)</f>
        <v>103205.5</v>
      </c>
    </row>
    <row r="74" spans="2:17" ht="14.4">
      <c r="B74" s="212" t="s">
        <v>928</v>
      </c>
      <c r="C74" s="212" t="s">
        <v>929</v>
      </c>
      <c r="D74" s="212"/>
      <c r="E74" s="212" t="s">
        <v>930</v>
      </c>
      <c r="F74" s="212"/>
    </row>
    <row r="75" spans="2:17" ht="14.4">
      <c r="B75">
        <v>0</v>
      </c>
      <c r="C75" s="56">
        <v>123960</v>
      </c>
      <c r="D75" s="56">
        <f>C75-C76</f>
        <v>2188</v>
      </c>
      <c r="E75" s="56">
        <v>123960</v>
      </c>
      <c r="F75" s="56">
        <f>E75-E76</f>
        <v>4010</v>
      </c>
    </row>
    <row r="76" spans="2:17" ht="14.4">
      <c r="B76">
        <v>1</v>
      </c>
      <c r="C76" s="56">
        <v>121772</v>
      </c>
      <c r="D76" s="56">
        <f t="shared" ref="D76:D79" si="8">C76-C77</f>
        <v>2247</v>
      </c>
      <c r="E76" s="56">
        <v>119950</v>
      </c>
      <c r="F76" s="56">
        <f t="shared" ref="F76:F79" si="9">E76-E77</f>
        <v>4117</v>
      </c>
    </row>
    <row r="77" spans="2:17" ht="14.4">
      <c r="B77">
        <v>2</v>
      </c>
      <c r="C77" s="56">
        <v>119525</v>
      </c>
      <c r="D77" s="56">
        <f t="shared" si="8"/>
        <v>2306</v>
      </c>
      <c r="E77" s="56">
        <v>115833</v>
      </c>
      <c r="F77" s="56">
        <f t="shared" si="9"/>
        <v>4227</v>
      </c>
    </row>
    <row r="78" spans="2:17" ht="14.4">
      <c r="B78">
        <v>3</v>
      </c>
      <c r="C78" s="56">
        <v>117219</v>
      </c>
      <c r="D78" s="56">
        <f t="shared" si="8"/>
        <v>2368</v>
      </c>
      <c r="E78" s="56">
        <v>111606</v>
      </c>
      <c r="F78" s="56">
        <f t="shared" si="9"/>
        <v>4340</v>
      </c>
      <c r="I78" s="212" t="s">
        <v>931</v>
      </c>
      <c r="J78" s="212" t="s">
        <v>932</v>
      </c>
      <c r="K78" s="212" t="s">
        <v>933</v>
      </c>
      <c r="L78" s="7" t="s">
        <v>934</v>
      </c>
    </row>
    <row r="79" spans="2:17" ht="14.4">
      <c r="B79">
        <v>4</v>
      </c>
      <c r="C79" s="56">
        <v>114851</v>
      </c>
      <c r="D79" s="56">
        <f t="shared" si="8"/>
        <v>2432</v>
      </c>
      <c r="E79" s="56">
        <v>107266</v>
      </c>
      <c r="F79" s="56">
        <f t="shared" si="9"/>
        <v>4456</v>
      </c>
      <c r="H79" t="s">
        <v>600</v>
      </c>
      <c r="I79">
        <v>77.27</v>
      </c>
      <c r="J79">
        <v>100</v>
      </c>
      <c r="K79">
        <v>95</v>
      </c>
      <c r="L79" s="7">
        <v>130</v>
      </c>
    </row>
    <row r="80" spans="2:17" ht="14.4">
      <c r="B80">
        <v>5</v>
      </c>
      <c r="C80" s="56">
        <v>112419</v>
      </c>
      <c r="E80" s="56">
        <v>102810</v>
      </c>
      <c r="H80" t="s">
        <v>935</v>
      </c>
      <c r="I80">
        <v>27.56</v>
      </c>
      <c r="J80">
        <v>0</v>
      </c>
      <c r="K80">
        <v>0</v>
      </c>
      <c r="L80" s="7">
        <v>3</v>
      </c>
    </row>
    <row r="81" spans="5:12">
      <c r="E81" s="365"/>
      <c r="H81" t="s">
        <v>936</v>
      </c>
      <c r="I81">
        <v>76.37</v>
      </c>
      <c r="J81">
        <v>28.41</v>
      </c>
      <c r="K81">
        <v>24.86</v>
      </c>
      <c r="L81" s="7">
        <v>37.880000000000003</v>
      </c>
    </row>
    <row r="82" spans="5:12" ht="14.4">
      <c r="E82" s="212" t="s">
        <v>937</v>
      </c>
      <c r="F82" s="212"/>
      <c r="H82" t="s">
        <v>938</v>
      </c>
      <c r="I82">
        <v>60</v>
      </c>
      <c r="J82">
        <v>22.32</v>
      </c>
      <c r="K82" s="295">
        <v>19.53</v>
      </c>
      <c r="L82" s="7">
        <v>30</v>
      </c>
    </row>
    <row r="83" spans="5:12" ht="14.4">
      <c r="E83" s="56">
        <v>123960</v>
      </c>
      <c r="F83" s="56">
        <f>E83-E84</f>
        <v>4617</v>
      </c>
      <c r="H83" t="s">
        <v>920</v>
      </c>
      <c r="I83">
        <v>0</v>
      </c>
      <c r="J83">
        <v>100</v>
      </c>
      <c r="K83">
        <v>128</v>
      </c>
      <c r="L83" s="7">
        <v>190</v>
      </c>
    </row>
    <row r="84" spans="5:12" ht="14.4">
      <c r="E84" s="56">
        <v>119343</v>
      </c>
      <c r="F84" s="56">
        <f t="shared" ref="F84:F87" si="10">E84-E85</f>
        <v>4741</v>
      </c>
      <c r="H84" t="s">
        <v>939</v>
      </c>
      <c r="I84">
        <v>113.64</v>
      </c>
      <c r="J84">
        <v>64.959999999999994</v>
      </c>
      <c r="K84" s="7">
        <v>56.84</v>
      </c>
      <c r="L84" s="7">
        <f>20*4</f>
        <v>80</v>
      </c>
    </row>
    <row r="85" spans="5:12" ht="14.4">
      <c r="E85" s="56">
        <v>114602</v>
      </c>
      <c r="F85" s="56">
        <f t="shared" si="10"/>
        <v>4867</v>
      </c>
      <c r="I85" t="str">
        <f>"5 day: " &amp; SUM(I79:I84)-I82 &amp; " / 4 day: " &amp; SUM(I79:I84)-I81</f>
        <v>5 day: 294.84 / 4 day: 278.47</v>
      </c>
      <c r="J85" t="str">
        <f>"5 day: " &amp; SUM(J79:J84)-J82 &amp; " / 4 day: " &amp; SUM(J79:J84)-J81</f>
        <v>5 day: 293.37 / 4 day: 287.28</v>
      </c>
      <c r="K85" t="str">
        <f>"5 day: " &amp; SUM(K79:K84)-K82 &amp; " / 4 day: " &amp; SUM(K79:K84)-K81</f>
        <v>5 day: 304.7 / 4 day: 299.37</v>
      </c>
      <c r="L85" t="str">
        <f>"5 day: " &amp; SUM(L79:L84)-L82 &amp; " / 4 day: " &amp; SUM(L79:L84)-L81</f>
        <v>5 day: 440.88 / 4 day: 433</v>
      </c>
    </row>
    <row r="86" spans="5:12" ht="14.4">
      <c r="E86" s="56">
        <v>109735</v>
      </c>
      <c r="F86" s="56">
        <f t="shared" si="10"/>
        <v>4997</v>
      </c>
      <c r="H86" t="s">
        <v>940</v>
      </c>
      <c r="I86">
        <v>294.83999999999997</v>
      </c>
      <c r="J86">
        <v>293.37</v>
      </c>
      <c r="K86" s="7">
        <v>304.7</v>
      </c>
    </row>
    <row r="87" spans="5:12" ht="14.4">
      <c r="E87" s="56">
        <v>104738</v>
      </c>
      <c r="F87" s="56">
        <f t="shared" si="10"/>
        <v>5131</v>
      </c>
      <c r="H87" t="s">
        <v>941</v>
      </c>
      <c r="I87">
        <v>278.47000000000003</v>
      </c>
      <c r="J87">
        <v>315.27999999999997</v>
      </c>
      <c r="K87" s="7">
        <v>299.37</v>
      </c>
    </row>
    <row r="88" spans="5:12" ht="14.4">
      <c r="E88" s="56">
        <v>99607</v>
      </c>
    </row>
    <row r="90" spans="5:12" ht="14.4">
      <c r="E90" s="212" t="s">
        <v>942</v>
      </c>
      <c r="F90" s="212"/>
    </row>
    <row r="91" spans="5:12" ht="14.4">
      <c r="E91" s="56">
        <v>123960</v>
      </c>
      <c r="F91" s="56">
        <f>E91-E92</f>
        <v>8261</v>
      </c>
    </row>
    <row r="92" spans="5:12" ht="14.4">
      <c r="E92" s="56">
        <v>115699</v>
      </c>
      <c r="F92" s="56">
        <f t="shared" ref="F92:F95" si="11">E92-E93</f>
        <v>8482</v>
      </c>
    </row>
    <row r="93" spans="5:12" ht="14.4">
      <c r="E93" s="56">
        <v>107217</v>
      </c>
      <c r="F93" s="56">
        <f t="shared" si="11"/>
        <v>8708</v>
      </c>
    </row>
    <row r="94" spans="5:12" ht="14.4">
      <c r="E94" s="56">
        <v>98509</v>
      </c>
      <c r="F94" s="56">
        <f t="shared" si="11"/>
        <v>8941</v>
      </c>
    </row>
    <row r="95" spans="5:12" ht="14.4">
      <c r="E95" s="56">
        <v>89568</v>
      </c>
      <c r="F95" s="56">
        <f t="shared" si="11"/>
        <v>9179</v>
      </c>
    </row>
    <row r="96" spans="5:12" ht="14.4">
      <c r="E96" s="56">
        <v>80389</v>
      </c>
    </row>
    <row r="99" spans="10:10">
      <c r="J99" s="291"/>
    </row>
  </sheetData>
  <mergeCells count="21">
    <mergeCell ref="H68:K68"/>
    <mergeCell ref="B30:C33"/>
    <mergeCell ref="B1:K1"/>
    <mergeCell ref="B4:E4"/>
    <mergeCell ref="B5:C5"/>
    <mergeCell ref="D5:E5"/>
    <mergeCell ref="B6:B23"/>
    <mergeCell ref="C6:C23"/>
    <mergeCell ref="B25:E25"/>
    <mergeCell ref="B26:C26"/>
    <mergeCell ref="D26:E26"/>
    <mergeCell ref="B27:B29"/>
    <mergeCell ref="C27:C29"/>
    <mergeCell ref="B46:F46"/>
    <mergeCell ref="H46:K46"/>
    <mergeCell ref="B44:D44"/>
    <mergeCell ref="B37:E37"/>
    <mergeCell ref="B38:C38"/>
    <mergeCell ref="D38:E38"/>
    <mergeCell ref="B39:B42"/>
    <mergeCell ref="C39:C42"/>
  </mergeCells>
  <pageMargins left="0.7" right="0.7" top="0.75" bottom="0.75" header="0.3" footer="0.3"/>
  <pageSetup orientation="portrait" r:id="rId1"/>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6F6-BC6D-994F-B3C8-7B38F30BAFDE}">
  <sheetPr codeName="Sheet71"/>
  <dimension ref="A1:P97"/>
  <sheetViews>
    <sheetView topLeftCell="B1" workbookViewId="0"/>
  </sheetViews>
  <sheetFormatPr defaultColWidth="10.33203125" defaultRowHeight="15.6" outlineLevelRow="1"/>
  <cols>
    <col min="1" max="1" width="15.44140625" hidden="1" customWidth="1"/>
    <col min="2" max="2" width="15.44140625" customWidth="1"/>
    <col min="3" max="3" width="21.109375" customWidth="1"/>
    <col min="4" max="4" width="36.44140625" customWidth="1"/>
    <col min="5" max="5" width="23" style="267" customWidth="1"/>
    <col min="6" max="9" width="22.44140625" customWidth="1"/>
    <col min="10" max="10" width="21.6640625" customWidth="1"/>
    <col min="11" max="12" width="22.44140625" style="7" customWidth="1"/>
    <col min="13" max="13" width="19.44140625" customWidth="1"/>
    <col min="17" max="17" width="16.109375" customWidth="1"/>
  </cols>
  <sheetData>
    <row r="1" spans="1:16" ht="25.5" customHeight="1">
      <c r="A1" t="str">
        <f ca="1">UPPER(TEXT((1&amp;LEFT(B$1,3))-1,"MMM"))&amp;"-"&amp;UPPER(TEXT((1&amp;RIGHT(LEFT(B$1,7),3))-1,"MMM"))&amp;" "&amp;RIGHT(B$1,4)</f>
        <v>OCT-NOV 2019</v>
      </c>
      <c r="B1" s="730" t="str">
        <f ca="1">MID(CELL("filename",B1),FIND("]",CELL("filename",B1))+1,255)</f>
        <v>NOV-DEC 2019</v>
      </c>
      <c r="C1" s="731"/>
      <c r="D1" s="731"/>
      <c r="E1" s="731"/>
      <c r="F1" s="731"/>
      <c r="G1" s="731"/>
      <c r="H1" s="731"/>
      <c r="I1" s="731"/>
      <c r="J1" s="731"/>
      <c r="K1" s="731"/>
      <c r="L1" s="298"/>
      <c r="M1" s="281"/>
      <c r="N1" s="272"/>
      <c r="O1" s="272"/>
      <c r="P1" s="272"/>
    </row>
    <row r="2" spans="1:16">
      <c r="B2" s="118"/>
      <c r="C2" s="118"/>
      <c r="D2">
        <f>1810.29-650</f>
        <v>1160.29</v>
      </c>
      <c r="E2" s="365"/>
      <c r="F2" t="s">
        <v>798</v>
      </c>
      <c r="G2" t="s">
        <v>799</v>
      </c>
      <c r="H2" t="s">
        <v>800</v>
      </c>
      <c r="I2" t="s">
        <v>801</v>
      </c>
      <c r="J2" t="s">
        <v>802</v>
      </c>
      <c r="K2" s="273" t="s">
        <v>10</v>
      </c>
      <c r="L2" s="273"/>
      <c r="M2" s="283" t="s">
        <v>803</v>
      </c>
    </row>
    <row r="3" spans="1:16">
      <c r="B3" s="118"/>
      <c r="C3" s="118"/>
      <c r="E3" s="365"/>
      <c r="F3" s="42">
        <v>43794</v>
      </c>
      <c r="G3" s="42">
        <f>F3+7</f>
        <v>43801</v>
      </c>
      <c r="H3" s="42">
        <f t="shared" ref="H3:I3" si="0">G3+7</f>
        <v>43808</v>
      </c>
      <c r="I3" s="42">
        <f t="shared" si="0"/>
        <v>43815</v>
      </c>
      <c r="J3" s="243">
        <f>SUM(J4:J44)</f>
        <v>654.48</v>
      </c>
      <c r="K3" s="273"/>
      <c r="L3" s="273"/>
      <c r="M3" s="282"/>
    </row>
    <row r="4" spans="1:16" ht="15" customHeight="1">
      <c r="B4" s="727" t="s">
        <v>804</v>
      </c>
      <c r="C4" s="727"/>
      <c r="D4" s="727"/>
      <c r="E4" s="727"/>
      <c r="K4" s="273"/>
      <c r="L4" s="273"/>
      <c r="M4" s="282"/>
    </row>
    <row r="5" spans="1:16" ht="15" customHeight="1">
      <c r="B5" s="733" t="str">
        <f>IF(D5&gt;E$45*0.5,ROUND(D5-E$45*0.5,2) &amp; " Over",ROUND(E$45*0.5-D5,2) &amp; " Under")</f>
        <v>1017.25 Under</v>
      </c>
      <c r="C5" s="733"/>
      <c r="D5" s="761">
        <f>SUM(E6:E25)</f>
        <v>1701.23</v>
      </c>
      <c r="E5" s="761"/>
      <c r="F5" s="284"/>
      <c r="G5" s="79"/>
      <c r="H5" s="79"/>
      <c r="I5" s="79"/>
      <c r="K5" s="285">
        <f>SUMIF(K6:K25,"&gt;0")</f>
        <v>10.02</v>
      </c>
      <c r="L5" s="285" t="s">
        <v>892</v>
      </c>
      <c r="M5" s="282">
        <f>SUM(M6:M25)</f>
        <v>176.20999999999998</v>
      </c>
    </row>
    <row r="6" spans="1:16" ht="15" customHeight="1">
      <c r="B6" s="734" t="str">
        <f>"50%: " &amp; E$45*0.5</f>
        <v>50%: 2718.48</v>
      </c>
      <c r="C6" s="734" t="str">
        <f>ROUND((D5/E$45)*100,2) &amp; "%: " &amp;D5</f>
        <v>31.29%: 1701.23</v>
      </c>
      <c r="D6" s="13" t="s">
        <v>805</v>
      </c>
      <c r="E6" s="374">
        <f>200+15.42+28</f>
        <v>243.42</v>
      </c>
      <c r="F6">
        <f>24.74+20.02+8.7+20+5.3</f>
        <v>78.759999999999991</v>
      </c>
      <c r="G6">
        <f>21.01+20+8.7+8.7+8.7</f>
        <v>67.110000000000014</v>
      </c>
      <c r="H6">
        <f>8.7+8.7+8.7+8.7</f>
        <v>34.799999999999997</v>
      </c>
      <c r="I6">
        <f>8.7</f>
        <v>8.6999999999999993</v>
      </c>
      <c r="J6">
        <f>20+20.01+20.01+20+20+40</f>
        <v>140.02000000000001</v>
      </c>
      <c r="K6" s="274">
        <f t="shared" ref="K6:K25" si="1">E6-F6-G6-H6-I6-J6</f>
        <v>-85.970000000000027</v>
      </c>
      <c r="L6" s="274" t="str">
        <f t="shared" ref="L6:L25" si="2">D6</f>
        <v>Car Petrol / commuting</v>
      </c>
      <c r="M6" s="282">
        <f t="shared" ref="M6:M25" si="3">IF(K6&lt;0,K6*-1,0)</f>
        <v>85.970000000000027</v>
      </c>
    </row>
    <row r="7" spans="1:16" ht="15" customHeight="1">
      <c r="B7" s="734"/>
      <c r="C7" s="734"/>
      <c r="D7" s="13" t="s">
        <v>943</v>
      </c>
      <c r="E7" s="377">
        <v>12</v>
      </c>
      <c r="G7">
        <v>12</v>
      </c>
      <c r="K7" s="274">
        <f t="shared" si="1"/>
        <v>0</v>
      </c>
      <c r="L7" s="274" t="str">
        <f t="shared" si="2"/>
        <v>Car wash</v>
      </c>
      <c r="M7" s="282">
        <f t="shared" si="3"/>
        <v>0</v>
      </c>
    </row>
    <row r="8" spans="1:16" ht="15" customHeight="1">
      <c r="B8" s="734"/>
      <c r="C8" s="734"/>
      <c r="D8" s="13" t="s">
        <v>944</v>
      </c>
      <c r="E8" s="377">
        <v>15</v>
      </c>
      <c r="G8">
        <f>15</f>
        <v>15</v>
      </c>
      <c r="K8" s="274">
        <f t="shared" si="1"/>
        <v>0</v>
      </c>
      <c r="L8" s="274" t="str">
        <f t="shared" si="2"/>
        <v>Windows</v>
      </c>
      <c r="M8" s="282">
        <f t="shared" si="3"/>
        <v>0</v>
      </c>
    </row>
    <row r="9" spans="1:16" ht="15" customHeight="1">
      <c r="B9" s="734"/>
      <c r="C9" s="734"/>
      <c r="D9" s="13" t="s">
        <v>169</v>
      </c>
      <c r="E9" s="365">
        <f>260+11.99+14.76</f>
        <v>286.75</v>
      </c>
      <c r="F9">
        <f>5.15+11.34+1.2+1.5</f>
        <v>19.190000000000001</v>
      </c>
      <c r="G9">
        <f>9.46+13.5+15.17+19.98+14.1+3.99+5.56</f>
        <v>81.759999999999991</v>
      </c>
      <c r="H9">
        <f>17.15+12.96+23.99+31+17.5</f>
        <v>102.6</v>
      </c>
      <c r="J9">
        <f>15.74+2.5+4.8+70.84+19.5+7+2.1+43.01+2</f>
        <v>167.49</v>
      </c>
      <c r="K9" s="274">
        <f t="shared" si="1"/>
        <v>-84.289999999999992</v>
      </c>
      <c r="L9" s="274" t="str">
        <f t="shared" si="2"/>
        <v>Food</v>
      </c>
      <c r="M9" s="282">
        <f t="shared" si="3"/>
        <v>84.289999999999992</v>
      </c>
    </row>
    <row r="10" spans="1:16" ht="15" customHeight="1">
      <c r="B10" s="734"/>
      <c r="C10" s="734"/>
      <c r="D10" s="13" t="s">
        <v>919</v>
      </c>
      <c r="E10" s="365">
        <v>50</v>
      </c>
      <c r="G10">
        <f>17</f>
        <v>17</v>
      </c>
      <c r="J10">
        <f>15+8.98</f>
        <v>23.98</v>
      </c>
      <c r="K10" s="274">
        <f t="shared" si="1"/>
        <v>9.02</v>
      </c>
      <c r="L10" s="274" t="str">
        <f t="shared" si="2"/>
        <v>Bun</v>
      </c>
      <c r="M10" s="282">
        <f t="shared" si="3"/>
        <v>0</v>
      </c>
    </row>
    <row r="11" spans="1:16" ht="15" customHeight="1" outlineLevel="1">
      <c r="B11" s="734"/>
      <c r="C11" s="734"/>
      <c r="D11" s="13" t="s">
        <v>595</v>
      </c>
      <c r="E11" s="365">
        <v>452.64</v>
      </c>
      <c r="I11">
        <v>452.64</v>
      </c>
      <c r="K11" s="274">
        <f t="shared" si="1"/>
        <v>0</v>
      </c>
      <c r="L11" s="274" t="str">
        <f t="shared" si="2"/>
        <v>Mortgage</v>
      </c>
      <c r="M11" s="282">
        <f t="shared" si="3"/>
        <v>0</v>
      </c>
    </row>
    <row r="12" spans="1:16" ht="15" customHeight="1" outlineLevel="1">
      <c r="B12" s="734"/>
      <c r="C12" s="734"/>
      <c r="D12" s="13" t="s">
        <v>596</v>
      </c>
      <c r="E12" s="365">
        <v>123</v>
      </c>
      <c r="I12">
        <v>123</v>
      </c>
      <c r="K12" s="274">
        <f t="shared" si="1"/>
        <v>0</v>
      </c>
      <c r="L12" s="274" t="str">
        <f t="shared" si="2"/>
        <v>Council tax</v>
      </c>
      <c r="M12" s="282">
        <f t="shared" si="3"/>
        <v>0</v>
      </c>
    </row>
    <row r="13" spans="1:16" ht="15" customHeight="1" outlineLevel="1">
      <c r="B13" s="734"/>
      <c r="C13" s="734"/>
      <c r="D13" s="13" t="s">
        <v>785</v>
      </c>
      <c r="E13" s="365">
        <f>17+40+1</f>
        <v>58</v>
      </c>
      <c r="G13">
        <v>1</v>
      </c>
      <c r="I13">
        <f>16+40</f>
        <v>56</v>
      </c>
      <c r="K13" s="274">
        <f t="shared" si="1"/>
        <v>1</v>
      </c>
      <c r="L13" s="274" t="str">
        <f t="shared" si="2"/>
        <v>Utilities (G,W,E,TV)</v>
      </c>
      <c r="M13" s="282">
        <f t="shared" si="3"/>
        <v>0</v>
      </c>
    </row>
    <row r="14" spans="1:16" ht="15" customHeight="1" outlineLevel="1">
      <c r="B14" s="734"/>
      <c r="C14" s="734"/>
      <c r="D14" s="13" t="s">
        <v>894</v>
      </c>
      <c r="E14" s="365">
        <f>4.52+16.61+8.56+16.1+8-0.13</f>
        <v>53.66</v>
      </c>
      <c r="I14">
        <f>8+16.61+29.05</f>
        <v>53.66</v>
      </c>
      <c r="K14" s="274">
        <f t="shared" si="1"/>
        <v>0</v>
      </c>
      <c r="L14" s="274" t="str">
        <f t="shared" si="2"/>
        <v>Insurances</v>
      </c>
      <c r="M14" s="282">
        <f t="shared" si="3"/>
        <v>0</v>
      </c>
    </row>
    <row r="15" spans="1:16" ht="15" customHeight="1" outlineLevel="1">
      <c r="B15" s="734"/>
      <c r="C15" s="734"/>
      <c r="D15" s="13" t="s">
        <v>602</v>
      </c>
      <c r="E15" s="365">
        <v>39.99</v>
      </c>
      <c r="I15">
        <v>39.99</v>
      </c>
      <c r="K15" s="274">
        <f t="shared" si="1"/>
        <v>0</v>
      </c>
      <c r="L15" s="274" t="str">
        <f t="shared" si="2"/>
        <v>Broadband / TV</v>
      </c>
      <c r="M15" s="282">
        <f t="shared" si="3"/>
        <v>0</v>
      </c>
    </row>
    <row r="16" spans="1:16" ht="15" customHeight="1" outlineLevel="1">
      <c r="B16" s="734"/>
      <c r="C16" s="734"/>
      <c r="D16" s="13" t="s">
        <v>582</v>
      </c>
      <c r="E16" s="365">
        <v>7.99</v>
      </c>
      <c r="G16">
        <v>7.99</v>
      </c>
      <c r="K16" s="274">
        <f t="shared" si="1"/>
        <v>0</v>
      </c>
      <c r="L16" s="274" t="str">
        <f t="shared" si="2"/>
        <v>Onedrive (6th)</v>
      </c>
      <c r="M16" s="282">
        <f t="shared" si="3"/>
        <v>0</v>
      </c>
    </row>
    <row r="17" spans="2:15" ht="15" customHeight="1" outlineLevel="1">
      <c r="B17" s="734"/>
      <c r="C17" s="734"/>
      <c r="D17" s="13" t="s">
        <v>788</v>
      </c>
      <c r="E17" s="365">
        <v>10.01</v>
      </c>
      <c r="G17">
        <v>10.01</v>
      </c>
      <c r="K17" s="274">
        <f t="shared" si="1"/>
        <v>0</v>
      </c>
      <c r="L17" s="274" t="str">
        <f t="shared" si="2"/>
        <v>Matt Phone</v>
      </c>
      <c r="M17" s="282">
        <f t="shared" si="3"/>
        <v>0</v>
      </c>
    </row>
    <row r="18" spans="2:15" ht="15" customHeight="1" outlineLevel="1">
      <c r="B18" s="734"/>
      <c r="C18" s="734"/>
      <c r="D18" s="13" t="s">
        <v>668</v>
      </c>
      <c r="E18" s="365">
        <v>28.43</v>
      </c>
      <c r="G18">
        <v>28.43</v>
      </c>
      <c r="K18" s="274">
        <f t="shared" si="1"/>
        <v>0</v>
      </c>
      <c r="L18" s="274" t="str">
        <f t="shared" si="2"/>
        <v>M -Tax</v>
      </c>
      <c r="M18" s="282">
        <f t="shared" si="3"/>
        <v>0</v>
      </c>
    </row>
    <row r="19" spans="2:15" ht="15" customHeight="1" outlineLevel="1">
      <c r="B19" s="734"/>
      <c r="C19" s="734"/>
      <c r="D19" s="13" t="s">
        <v>669</v>
      </c>
      <c r="E19" s="365">
        <v>0</v>
      </c>
      <c r="K19" s="274">
        <f t="shared" si="1"/>
        <v>0</v>
      </c>
      <c r="L19" s="274" t="str">
        <f t="shared" si="2"/>
        <v>M - Service</v>
      </c>
      <c r="M19" s="282">
        <f t="shared" si="3"/>
        <v>0</v>
      </c>
    </row>
    <row r="20" spans="2:15" ht="15" customHeight="1" outlineLevel="1">
      <c r="B20" s="734"/>
      <c r="C20" s="734"/>
      <c r="D20" s="13" t="s">
        <v>670</v>
      </c>
      <c r="E20" s="365">
        <v>0</v>
      </c>
      <c r="K20" s="274">
        <f t="shared" si="1"/>
        <v>0</v>
      </c>
      <c r="L20" s="274" t="str">
        <f t="shared" si="2"/>
        <v>M - Insurance</v>
      </c>
      <c r="M20" s="282">
        <f t="shared" si="3"/>
        <v>0</v>
      </c>
    </row>
    <row r="21" spans="2:15" ht="15" customHeight="1" outlineLevel="1">
      <c r="B21" s="734"/>
      <c r="C21" s="734"/>
      <c r="D21" s="276" t="s">
        <v>920</v>
      </c>
      <c r="E21" s="277">
        <f>179.09+129</f>
        <v>308.09000000000003</v>
      </c>
      <c r="H21">
        <v>134.97</v>
      </c>
      <c r="I21">
        <v>179.07</v>
      </c>
      <c r="K21" s="274">
        <f t="shared" si="1"/>
        <v>-5.9499999999999602</v>
      </c>
      <c r="L21" s="274" t="str">
        <f t="shared" si="2"/>
        <v>Finance</v>
      </c>
      <c r="M21" s="282">
        <f t="shared" si="3"/>
        <v>5.9499999999999602</v>
      </c>
    </row>
    <row r="22" spans="2:15" ht="15" customHeight="1" outlineLevel="1">
      <c r="B22" s="734"/>
      <c r="C22" s="734"/>
      <c r="D22" s="13" t="s">
        <v>672</v>
      </c>
      <c r="E22" s="365">
        <v>12.25</v>
      </c>
      <c r="G22">
        <v>12.25</v>
      </c>
      <c r="K22" s="274">
        <f t="shared" si="1"/>
        <v>0</v>
      </c>
      <c r="L22" s="274" t="str">
        <f t="shared" si="2"/>
        <v>K - Tax</v>
      </c>
      <c r="M22" s="282">
        <f t="shared" si="3"/>
        <v>0</v>
      </c>
    </row>
    <row r="23" spans="2:15" ht="15" customHeight="1" outlineLevel="1">
      <c r="B23" s="734"/>
      <c r="C23" s="734"/>
      <c r="D23" s="13" t="s">
        <v>673</v>
      </c>
      <c r="E23" s="365">
        <v>0</v>
      </c>
      <c r="K23" s="274">
        <f t="shared" si="1"/>
        <v>0</v>
      </c>
      <c r="L23" s="274" t="str">
        <f t="shared" si="2"/>
        <v>K - Service</v>
      </c>
      <c r="M23" s="282">
        <f t="shared" si="3"/>
        <v>0</v>
      </c>
    </row>
    <row r="24" spans="2:15" ht="15" customHeight="1" outlineLevel="1">
      <c r="B24" s="734"/>
      <c r="C24" s="734"/>
      <c r="D24" s="13" t="s">
        <v>674</v>
      </c>
      <c r="E24" s="365">
        <v>0</v>
      </c>
      <c r="K24" s="274">
        <f t="shared" si="1"/>
        <v>0</v>
      </c>
      <c r="L24" s="274" t="str">
        <f t="shared" si="2"/>
        <v>K - Insurance</v>
      </c>
      <c r="M24" s="282">
        <f t="shared" si="3"/>
        <v>0</v>
      </c>
    </row>
    <row r="25" spans="2:15" ht="15" customHeight="1" outlineLevel="1">
      <c r="B25" s="734"/>
      <c r="C25" s="734"/>
      <c r="D25" s="13" t="s">
        <v>675</v>
      </c>
      <c r="E25" s="365">
        <v>0</v>
      </c>
      <c r="K25" s="274">
        <f t="shared" si="1"/>
        <v>0</v>
      </c>
      <c r="L25" s="274" t="str">
        <f t="shared" si="2"/>
        <v>MOT's</v>
      </c>
      <c r="M25" s="282">
        <f t="shared" si="3"/>
        <v>0</v>
      </c>
    </row>
    <row r="26" spans="2:15" ht="15" customHeight="1">
      <c r="B26" s="118"/>
      <c r="C26" s="118"/>
      <c r="E26" s="365"/>
      <c r="K26" s="273"/>
      <c r="L26" s="273"/>
      <c r="M26" s="282"/>
    </row>
    <row r="27" spans="2:15" ht="15" customHeight="1">
      <c r="B27" s="736" t="s">
        <v>808</v>
      </c>
      <c r="C27" s="736"/>
      <c r="D27" s="736"/>
      <c r="E27" s="736"/>
      <c r="K27" s="274"/>
      <c r="L27" s="274"/>
      <c r="M27" s="282"/>
    </row>
    <row r="28" spans="2:15" ht="15" customHeight="1">
      <c r="B28" s="727" t="str">
        <f>IF(ISNUMBER((SEARCH("Over",C$5))),"Operating under budget","Operating over budget")</f>
        <v>Operating over budget</v>
      </c>
      <c r="C28" s="727"/>
      <c r="D28" s="759">
        <f>SUM(E29:E35)</f>
        <v>923.25</v>
      </c>
      <c r="E28" s="759"/>
      <c r="K28" s="285">
        <f>SUMIF(K29:K36,"&gt;0")</f>
        <v>217.47000000000003</v>
      </c>
      <c r="L28" s="285" t="s">
        <v>895</v>
      </c>
      <c r="M28" s="282">
        <f>SUM(M29:M35)</f>
        <v>0</v>
      </c>
    </row>
    <row r="29" spans="2:15" ht="15" customHeight="1" outlineLevel="1">
      <c r="B29" s="734" t="str">
        <f>"20% : " &amp; E$45*0.2</f>
        <v>20% : 1087.392</v>
      </c>
      <c r="C29" s="734" t="str">
        <f>"20% : " &amp; E$45*0.2</f>
        <v>20% : 1087.392</v>
      </c>
      <c r="D29" s="300" t="s">
        <v>896</v>
      </c>
      <c r="E29" s="365">
        <f>50-11.99</f>
        <v>38.01</v>
      </c>
      <c r="G29">
        <f>9.11+1.9+27</f>
        <v>38.01</v>
      </c>
      <c r="K29" s="274">
        <f t="shared" ref="K29:K36" si="4">E29-F29-G29-H29-I29-J29</f>
        <v>0</v>
      </c>
      <c r="L29" s="274" t="str">
        <f t="shared" ref="L29:L35" si="5">D29</f>
        <v>Contingency 20%</v>
      </c>
      <c r="M29" s="282">
        <f t="shared" ref="M29:M35" si="6">IF(K29&lt;0,K29*-1,0)</f>
        <v>0</v>
      </c>
    </row>
    <row r="30" spans="2:15" ht="15" customHeight="1" outlineLevel="1">
      <c r="B30" s="734"/>
      <c r="C30" s="734"/>
      <c r="D30" s="300" t="s">
        <v>897</v>
      </c>
      <c r="E30" s="365">
        <v>0</v>
      </c>
      <c r="K30" s="274">
        <f t="shared" si="4"/>
        <v>0</v>
      </c>
      <c r="L30" s="274" t="str">
        <f t="shared" si="5"/>
        <v>Holiday Fund 60%</v>
      </c>
      <c r="M30" s="282">
        <f t="shared" si="6"/>
        <v>0</v>
      </c>
    </row>
    <row r="31" spans="2:15" ht="15" customHeight="1" outlineLevel="1">
      <c r="B31" s="734"/>
      <c r="C31" s="734"/>
      <c r="D31" s="300" t="s">
        <v>811</v>
      </c>
      <c r="E31" s="365">
        <v>800</v>
      </c>
      <c r="H31">
        <f>10</f>
        <v>10</v>
      </c>
      <c r="I31">
        <f>5.02+70.03+50+210</f>
        <v>335.05</v>
      </c>
      <c r="J31">
        <f>115.26+8.99+61.48+(-43.99)+40.65+21.45+93.75+15+32.8+3.65+(-50)+(-36.56)</f>
        <v>262.47999999999996</v>
      </c>
      <c r="K31" s="274">
        <f t="shared" si="4"/>
        <v>192.47000000000003</v>
      </c>
      <c r="L31" s="274" t="str">
        <f t="shared" si="5"/>
        <v>Gift Fund 20%</v>
      </c>
      <c r="M31" s="282">
        <f t="shared" si="6"/>
        <v>0</v>
      </c>
    </row>
    <row r="32" spans="2:15" ht="15" customHeight="1" outlineLevel="1">
      <c r="B32" s="734" t="s">
        <v>130</v>
      </c>
      <c r="C32" s="734"/>
      <c r="D32" s="300" t="s">
        <v>812</v>
      </c>
      <c r="E32" s="365">
        <v>0</v>
      </c>
      <c r="K32" s="274">
        <f t="shared" si="4"/>
        <v>0</v>
      </c>
      <c r="L32" s="274" t="str">
        <f t="shared" si="5"/>
        <v>Wedding</v>
      </c>
      <c r="M32" s="282">
        <f t="shared" si="6"/>
        <v>0</v>
      </c>
      <c r="O32" s="11"/>
    </row>
    <row r="33" spans="2:13" ht="15" customHeight="1" outlineLevel="1">
      <c r="B33" s="734"/>
      <c r="C33" s="734"/>
      <c r="D33" s="300" t="s">
        <v>945</v>
      </c>
      <c r="E33" s="365">
        <f>100-14.76</f>
        <v>85.24</v>
      </c>
      <c r="F33">
        <f>1.99+7.59+29.97</f>
        <v>39.549999999999997</v>
      </c>
      <c r="G33">
        <f>5.99+6.75</f>
        <v>12.74</v>
      </c>
      <c r="J33">
        <f>32.95-25</f>
        <v>7.9500000000000028</v>
      </c>
      <c r="K33" s="274">
        <f t="shared" si="4"/>
        <v>24.999999999999993</v>
      </c>
      <c r="L33" s="274" t="str">
        <f t="shared" si="5"/>
        <v>Christmas Décor</v>
      </c>
      <c r="M33" s="282">
        <f t="shared" si="6"/>
        <v>0</v>
      </c>
    </row>
    <row r="34" spans="2:13" ht="15" customHeight="1" outlineLevel="1">
      <c r="B34" s="734"/>
      <c r="C34" s="734"/>
      <c r="D34" s="300" t="s">
        <v>174</v>
      </c>
      <c r="E34" s="365">
        <v>0</v>
      </c>
      <c r="F34" s="11"/>
      <c r="K34" s="274">
        <f t="shared" si="4"/>
        <v>0</v>
      </c>
      <c r="L34" s="274" t="str">
        <f t="shared" si="5"/>
        <v>House</v>
      </c>
      <c r="M34" s="282">
        <f t="shared" si="6"/>
        <v>0</v>
      </c>
    </row>
    <row r="35" spans="2:13" ht="15" customHeight="1" outlineLevel="1">
      <c r="B35" s="734"/>
      <c r="C35" s="734"/>
      <c r="D35" s="300" t="s">
        <v>814</v>
      </c>
      <c r="E35" s="365">
        <v>0</v>
      </c>
      <c r="F35" s="11"/>
      <c r="K35" s="274">
        <f t="shared" si="4"/>
        <v>0</v>
      </c>
      <c r="L35" s="274" t="str">
        <f t="shared" si="5"/>
        <v>CC</v>
      </c>
      <c r="M35" s="282">
        <f t="shared" si="6"/>
        <v>0</v>
      </c>
    </row>
    <row r="36" spans="2:13" ht="15" customHeight="1" outlineLevel="1">
      <c r="B36" s="7"/>
      <c r="C36" s="7"/>
      <c r="D36" s="300" t="s">
        <v>921</v>
      </c>
      <c r="E36" s="365">
        <f>55+1449</f>
        <v>1504</v>
      </c>
      <c r="F36" s="11"/>
      <c r="G36">
        <f>1449</f>
        <v>1449</v>
      </c>
      <c r="I36">
        <v>55</v>
      </c>
      <c r="K36" s="274">
        <f t="shared" si="4"/>
        <v>0</v>
      </c>
      <c r="L36" s="274"/>
      <c r="M36" s="282"/>
    </row>
    <row r="37" spans="2:13" ht="15" customHeight="1">
      <c r="B37" s="118"/>
      <c r="C37" s="118"/>
      <c r="E37" s="365"/>
      <c r="K37" s="273"/>
      <c r="L37" s="273"/>
      <c r="M37" s="282"/>
    </row>
    <row r="38" spans="2:13" ht="15" customHeight="1">
      <c r="B38" s="727"/>
      <c r="C38" s="727"/>
      <c r="D38" s="727"/>
      <c r="E38" s="727"/>
      <c r="K38" s="273"/>
      <c r="L38" s="273"/>
      <c r="M38" s="282"/>
    </row>
    <row r="39" spans="2:13" ht="15" customHeight="1">
      <c r="B39" s="727" t="str">
        <f>IF(ISNUMBER((SEARCH("Over",B$5))),"Operating under budget","Operating over budget")</f>
        <v>Operating over budget</v>
      </c>
      <c r="C39" s="727"/>
      <c r="D39" s="759">
        <f>(E$45-D5-D28)</f>
        <v>2812.4799999999991</v>
      </c>
      <c r="E39" s="727"/>
      <c r="K39" s="285">
        <f>SUMIF(K40:K42,"&gt;0")</f>
        <v>1.7763568394002505E-15</v>
      </c>
      <c r="L39" s="285" t="s">
        <v>899</v>
      </c>
      <c r="M39" s="282">
        <f>SUM(M40:M42)</f>
        <v>1.2800000000000082</v>
      </c>
    </row>
    <row r="40" spans="2:13" ht="18" outlineLevel="1">
      <c r="B40" s="734" t="str">
        <f>"30%: " &amp; (E$45*0.3)</f>
        <v>30%: 1631.088</v>
      </c>
      <c r="C40" s="760" t="str">
        <f>ROUND(((E$45-D5-(E$45*0.2))/E$45)*100,2) &amp; "%: " &amp; (E$45-D5-(E$45*0.2))</f>
        <v>48.71%: 2648.338</v>
      </c>
      <c r="D40" s="13" t="s">
        <v>589</v>
      </c>
      <c r="E40" s="365">
        <v>0</v>
      </c>
      <c r="K40" s="274">
        <f>E40-F40-G40-H40-I40-J40</f>
        <v>0</v>
      </c>
      <c r="L40" s="274" t="str">
        <f t="shared" ref="L40:L44" si="7">D40</f>
        <v>Music</v>
      </c>
      <c r="M40" s="282">
        <f>IF(K40&lt;0,K40*-1,0)</f>
        <v>0</v>
      </c>
    </row>
    <row r="41" spans="2:13" ht="15.75" customHeight="1" outlineLevel="1">
      <c r="B41" s="734"/>
      <c r="C41" s="760"/>
      <c r="D41" s="13" t="s">
        <v>781</v>
      </c>
      <c r="E41" s="365">
        <f>37.56</f>
        <v>37.56</v>
      </c>
      <c r="F41">
        <f>13</f>
        <v>13</v>
      </c>
      <c r="G41">
        <f>14.56</f>
        <v>14.56</v>
      </c>
      <c r="H41">
        <f>10</f>
        <v>10</v>
      </c>
      <c r="K41" s="274">
        <f>E41-F41-G41-H41-I41-J41</f>
        <v>1.7763568394002505E-15</v>
      </c>
      <c r="L41" s="274" t="str">
        <f t="shared" si="7"/>
        <v>Subscriptions</v>
      </c>
      <c r="M41" s="282">
        <f>IF(K41&lt;0,K41*-1,0)</f>
        <v>0</v>
      </c>
    </row>
    <row r="42" spans="2:13" ht="18" outlineLevel="1">
      <c r="B42" s="734"/>
      <c r="C42" s="760"/>
      <c r="D42" s="13" t="s">
        <v>815</v>
      </c>
      <c r="E42" s="365">
        <f>200-0.28</f>
        <v>199.72</v>
      </c>
      <c r="F42">
        <f>20+27.5</f>
        <v>47.5</v>
      </c>
      <c r="G42">
        <f>8.99+23+1+13</f>
        <v>45.99</v>
      </c>
      <c r="H42">
        <f>20+2.18+3.25+20</f>
        <v>45.43</v>
      </c>
      <c r="I42">
        <f>50.8+10</f>
        <v>60.8</v>
      </c>
      <c r="J42">
        <f>37.28+(-36)</f>
        <v>1.2800000000000011</v>
      </c>
      <c r="K42" s="274">
        <f>E42-F42-G42-H42-I42-J42</f>
        <v>-1.2800000000000082</v>
      </c>
      <c r="L42" s="274" t="str">
        <f t="shared" si="7"/>
        <v>Shared 10%</v>
      </c>
      <c r="M42" s="282">
        <f>IF(K42&lt;0,K42*-1,0)</f>
        <v>1.2800000000000082</v>
      </c>
    </row>
    <row r="43" spans="2:13" ht="18" outlineLevel="1">
      <c r="B43" s="734"/>
      <c r="C43" s="760"/>
      <c r="D43" s="13" t="s">
        <v>922</v>
      </c>
      <c r="E43" s="365">
        <f>(D39-E40-E41-E42)-E36-E44-M45</f>
        <v>348.70999999999935</v>
      </c>
      <c r="F43">
        <f>30.6+10+3.08+13.8</f>
        <v>57.480000000000004</v>
      </c>
      <c r="G43">
        <f>10+4.98+9+3.15+20+12.52</f>
        <v>59.649999999999991</v>
      </c>
      <c r="H43">
        <f>30+12.7+8.99+10.92+11+14</f>
        <v>87.610000000000014</v>
      </c>
      <c r="I43">
        <f>12+1+14+50+1.3+4.65</f>
        <v>82.95</v>
      </c>
      <c r="J43">
        <f>30.25</f>
        <v>30.25</v>
      </c>
      <c r="K43" s="274">
        <f>E43-F43-G43-H43-I43-J43</f>
        <v>30.769999999999342</v>
      </c>
      <c r="L43" s="274" t="str">
        <f t="shared" si="7"/>
        <v>Matt Fun</v>
      </c>
      <c r="M43" s="271"/>
    </row>
    <row r="44" spans="2:13" ht="18" outlineLevel="1">
      <c r="B44" s="7"/>
      <c r="C44" s="284"/>
      <c r="D44" s="13" t="s">
        <v>946</v>
      </c>
      <c r="E44" s="365">
        <v>545</v>
      </c>
      <c r="F44">
        <f>405+140</f>
        <v>545</v>
      </c>
      <c r="I44">
        <v>5</v>
      </c>
      <c r="J44">
        <f>11.98+9.05</f>
        <v>21.03</v>
      </c>
      <c r="K44" s="274">
        <f>E44-F44-G44-H44-I44-J44</f>
        <v>-26.03</v>
      </c>
      <c r="L44" s="274" t="str">
        <f t="shared" si="7"/>
        <v>Kris stuff</v>
      </c>
      <c r="M44" s="271"/>
    </row>
    <row r="45" spans="2:13" ht="18">
      <c r="B45" s="728" t="s">
        <v>817</v>
      </c>
      <c r="C45" s="728"/>
      <c r="D45" s="728"/>
      <c r="E45" s="375">
        <f>F45+G45+H45+I45+J45</f>
        <v>5436.9599999999991</v>
      </c>
      <c r="F45" s="271">
        <f>2305.89</f>
        <v>2305.89</v>
      </c>
      <c r="G45" s="271">
        <f>1449+1470+59.99</f>
        <v>2978.99</v>
      </c>
      <c r="H45" s="271">
        <f>8.99</f>
        <v>8.99</v>
      </c>
      <c r="I45" s="271">
        <f>78.09+65</f>
        <v>143.09</v>
      </c>
      <c r="J45" s="271"/>
      <c r="K45" s="285" t="str">
        <f>"£" &amp; K5+K39+K28+J3+K43+K44 &amp; " / " &amp; "£" &amp; E45</f>
        <v>£886.709999999999 / £5436.96</v>
      </c>
      <c r="L45" s="274"/>
      <c r="M45" s="282">
        <f>SUM(M39,M28,M5)</f>
        <v>177.48999999999998</v>
      </c>
    </row>
    <row r="46" spans="2:13">
      <c r="B46" s="118"/>
      <c r="C46" s="7"/>
      <c r="E46" s="365"/>
    </row>
    <row r="47" spans="2:13">
      <c r="E47" s="365"/>
      <c r="K47"/>
      <c r="L47" s="79"/>
    </row>
    <row r="48" spans="2:13">
      <c r="E48" s="365"/>
      <c r="H48" s="212"/>
      <c r="I48" s="278"/>
      <c r="J48" s="292"/>
      <c r="K48" s="212"/>
      <c r="L48" s="212"/>
    </row>
    <row r="49" spans="2:13">
      <c r="E49" s="365"/>
      <c r="H49" s="214"/>
      <c r="I49" s="376"/>
      <c r="J49" s="214"/>
      <c r="K49" s="214"/>
      <c r="L49" s="214"/>
    </row>
    <row r="50" spans="2:13">
      <c r="E50" s="365"/>
      <c r="I50" s="365"/>
      <c r="J50" s="243"/>
      <c r="K50"/>
      <c r="L50"/>
    </row>
    <row r="51" spans="2:13">
      <c r="E51" s="365"/>
      <c r="H51" s="212"/>
      <c r="I51" s="278"/>
      <c r="J51" s="212"/>
      <c r="K51" s="212"/>
      <c r="L51" s="212"/>
    </row>
    <row r="52" spans="2:13">
      <c r="E52" s="365"/>
      <c r="H52" s="56"/>
      <c r="I52" s="66"/>
      <c r="J52" s="56"/>
      <c r="K52" s="56"/>
      <c r="L52" s="56"/>
    </row>
    <row r="53" spans="2:13">
      <c r="C53" s="231"/>
      <c r="E53" s="365"/>
      <c r="I53" s="365"/>
      <c r="J53" s="243"/>
      <c r="K53"/>
      <c r="L53"/>
    </row>
    <row r="54" spans="2:13">
      <c r="E54" s="365"/>
      <c r="H54" s="212"/>
      <c r="I54" s="278"/>
      <c r="J54" s="212"/>
      <c r="K54" s="212"/>
      <c r="L54" s="212"/>
      <c r="M54" s="212"/>
    </row>
    <row r="55" spans="2:13">
      <c r="E55" s="365"/>
      <c r="H55" s="258"/>
      <c r="K55" s="56"/>
      <c r="L55" s="56"/>
      <c r="M55" s="38"/>
    </row>
    <row r="56" spans="2:13" ht="14.4">
      <c r="E56"/>
    </row>
    <row r="57" spans="2:13" ht="14.4">
      <c r="E57"/>
    </row>
    <row r="58" spans="2:13">
      <c r="E58" s="365"/>
      <c r="K58" s="275"/>
      <c r="L58" s="275"/>
    </row>
    <row r="62" spans="2:13">
      <c r="B62" s="212"/>
      <c r="C62" s="212"/>
      <c r="D62" s="212"/>
      <c r="E62" s="278"/>
    </row>
    <row r="63" spans="2:13">
      <c r="C63" s="56"/>
      <c r="D63" s="56"/>
      <c r="E63" s="365"/>
    </row>
    <row r="64" spans="2:13">
      <c r="C64" s="56"/>
      <c r="D64" s="288"/>
      <c r="E64" s="365"/>
      <c r="F64" s="11"/>
    </row>
    <row r="65" spans="2:6">
      <c r="C65" s="56"/>
      <c r="E65" s="365"/>
    </row>
    <row r="66" spans="2:6">
      <c r="C66" s="56"/>
      <c r="D66" s="212"/>
      <c r="E66" s="278"/>
      <c r="F66" s="212"/>
    </row>
    <row r="67" spans="2:6" ht="14.4">
      <c r="C67" s="56"/>
      <c r="E67"/>
    </row>
    <row r="68" spans="2:6" ht="14.4">
      <c r="C68" s="56"/>
      <c r="E68"/>
    </row>
    <row r="69" spans="2:6" ht="14.4">
      <c r="C69" s="56"/>
      <c r="E69"/>
    </row>
    <row r="70" spans="2:6" ht="14.4">
      <c r="C70" s="56"/>
      <c r="E70"/>
    </row>
    <row r="71" spans="2:6" ht="14.4">
      <c r="C71" s="56"/>
      <c r="E71"/>
    </row>
    <row r="72" spans="2:6" ht="14.4">
      <c r="C72" s="56"/>
      <c r="E72"/>
    </row>
    <row r="73" spans="2:6" ht="14.4">
      <c r="C73" s="56"/>
      <c r="E73"/>
    </row>
    <row r="75" spans="2:6" ht="14.4">
      <c r="B75" s="212"/>
      <c r="C75" s="212"/>
      <c r="D75" s="212"/>
      <c r="E75" s="212"/>
      <c r="F75" s="212"/>
    </row>
    <row r="76" spans="2:6" ht="14.4">
      <c r="C76" s="56"/>
      <c r="D76" s="56"/>
      <c r="E76" s="56"/>
      <c r="F76" s="56"/>
    </row>
    <row r="77" spans="2:6" ht="14.4">
      <c r="C77" s="56"/>
      <c r="D77" s="56"/>
      <c r="E77" s="56"/>
      <c r="F77" s="56"/>
    </row>
    <row r="78" spans="2:6" ht="14.4">
      <c r="C78" s="56"/>
      <c r="D78" s="56"/>
      <c r="E78" s="56"/>
      <c r="F78" s="56"/>
    </row>
    <row r="79" spans="2:6" ht="14.4">
      <c r="C79" s="56"/>
      <c r="D79" s="56"/>
      <c r="E79" s="56"/>
      <c r="F79" s="56"/>
    </row>
    <row r="80" spans="2:6" ht="14.4">
      <c r="C80" s="56"/>
      <c r="D80" s="56"/>
      <c r="E80" s="56"/>
      <c r="F80" s="56"/>
    </row>
    <row r="81" spans="3:6" ht="14.4">
      <c r="C81" s="56"/>
      <c r="E81" s="56"/>
    </row>
    <row r="83" spans="3:6" ht="14.4">
      <c r="E83" s="212"/>
      <c r="F83" s="212"/>
    </row>
    <row r="84" spans="3:6" ht="14.4">
      <c r="E84" s="56"/>
      <c r="F84" s="56"/>
    </row>
    <row r="85" spans="3:6" ht="14.4">
      <c r="E85" s="56"/>
      <c r="F85" s="56"/>
    </row>
    <row r="86" spans="3:6" ht="14.4">
      <c r="E86" s="56"/>
      <c r="F86" s="56"/>
    </row>
    <row r="87" spans="3:6" ht="14.4">
      <c r="E87" s="56"/>
      <c r="F87" s="56"/>
    </row>
    <row r="88" spans="3:6" ht="14.4">
      <c r="E88" s="56"/>
      <c r="F88" s="56"/>
    </row>
    <row r="89" spans="3:6" ht="14.4">
      <c r="E89" s="56"/>
    </row>
    <row r="91" spans="3:6" ht="14.4">
      <c r="E91" s="212"/>
      <c r="F91" s="212"/>
    </row>
    <row r="92" spans="3:6" ht="14.4">
      <c r="E92" s="56"/>
      <c r="F92" s="56"/>
    </row>
    <row r="93" spans="3:6" ht="14.4">
      <c r="E93" s="56"/>
      <c r="F93" s="56"/>
    </row>
    <row r="94" spans="3:6" ht="14.4">
      <c r="E94" s="56"/>
      <c r="F94" s="56"/>
    </row>
    <row r="95" spans="3:6" ht="14.4">
      <c r="E95" s="56"/>
      <c r="F95" s="56"/>
    </row>
    <row r="96" spans="3:6" ht="14.4">
      <c r="E96" s="56"/>
      <c r="F96" s="56"/>
    </row>
    <row r="97" spans="5:5" ht="14.4">
      <c r="E97" s="56"/>
    </row>
  </sheetData>
  <mergeCells count="18">
    <mergeCell ref="B39:C39"/>
    <mergeCell ref="D39:E39"/>
    <mergeCell ref="B40:B43"/>
    <mergeCell ref="C40:C43"/>
    <mergeCell ref="B45:D45"/>
    <mergeCell ref="B38:E38"/>
    <mergeCell ref="B32:C35"/>
    <mergeCell ref="B1:K1"/>
    <mergeCell ref="B4:E4"/>
    <mergeCell ref="B5:C5"/>
    <mergeCell ref="D5:E5"/>
    <mergeCell ref="B6:B25"/>
    <mergeCell ref="C6:C25"/>
    <mergeCell ref="B27:E27"/>
    <mergeCell ref="B28:C28"/>
    <mergeCell ref="D28:E28"/>
    <mergeCell ref="B29:B31"/>
    <mergeCell ref="C29:C31"/>
  </mergeCells>
  <pageMargins left="0.7" right="0.7" top="0.75" bottom="0.75" header="0.3" footer="0.3"/>
  <pageSetup orientation="portrait" r:id="rId1"/>
  <legacy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9354-BD29-48DB-B129-0372D0DC3350}">
  <sheetPr codeName="Sheet72"/>
  <dimension ref="A1:M20"/>
  <sheetViews>
    <sheetView workbookViewId="0"/>
  </sheetViews>
  <sheetFormatPr defaultColWidth="8.44140625" defaultRowHeight="14.4"/>
  <cols>
    <col min="1" max="1" width="12.109375" customWidth="1"/>
  </cols>
  <sheetData>
    <row r="1" spans="1:13">
      <c r="A1">
        <v>2019</v>
      </c>
      <c r="B1" t="s">
        <v>947</v>
      </c>
      <c r="C1" t="s">
        <v>948</v>
      </c>
      <c r="E1">
        <v>2020</v>
      </c>
      <c r="F1" t="s">
        <v>949</v>
      </c>
      <c r="G1" t="s">
        <v>950</v>
      </c>
      <c r="K1">
        <v>2022</v>
      </c>
      <c r="L1" t="s">
        <v>949</v>
      </c>
      <c r="M1" t="s">
        <v>950</v>
      </c>
    </row>
    <row r="2" spans="1:13">
      <c r="B2">
        <v>40165.1</v>
      </c>
      <c r="C2">
        <v>10918.8</v>
      </c>
      <c r="F2">
        <f>B16</f>
        <v>39072.1</v>
      </c>
      <c r="G2">
        <f>C16</f>
        <v>10105.799999999999</v>
      </c>
      <c r="L2">
        <f>F16</f>
        <v>37297.1</v>
      </c>
      <c r="M2">
        <f>G16</f>
        <v>8631.7999999999993</v>
      </c>
    </row>
    <row r="3" spans="1:13">
      <c r="A3" t="s">
        <v>280</v>
      </c>
      <c r="B3">
        <v>5</v>
      </c>
      <c r="E3" t="s">
        <v>280</v>
      </c>
      <c r="F3">
        <v>87</v>
      </c>
      <c r="G3">
        <v>82</v>
      </c>
      <c r="I3">
        <f>123-(101-F3)</f>
        <v>109</v>
      </c>
      <c r="K3" t="s">
        <v>280</v>
      </c>
      <c r="L3">
        <v>109</v>
      </c>
      <c r="M3">
        <v>97</v>
      </c>
    </row>
    <row r="4" spans="1:13">
      <c r="A4" t="s">
        <v>281</v>
      </c>
      <c r="B4">
        <v>93</v>
      </c>
      <c r="E4" t="s">
        <v>281</v>
      </c>
      <c r="F4">
        <f>470+128</f>
        <v>598</v>
      </c>
      <c r="G4">
        <f>313+109</f>
        <v>422</v>
      </c>
      <c r="I4">
        <f>106-(91-G3)</f>
        <v>97</v>
      </c>
      <c r="K4" t="s">
        <v>281</v>
      </c>
      <c r="L4">
        <v>835</v>
      </c>
      <c r="M4">
        <v>580</v>
      </c>
    </row>
    <row r="5" spans="1:13">
      <c r="A5" t="s">
        <v>282</v>
      </c>
      <c r="B5">
        <v>93</v>
      </c>
      <c r="E5" t="s">
        <v>282</v>
      </c>
      <c r="F5">
        <v>109</v>
      </c>
      <c r="G5">
        <v>97</v>
      </c>
      <c r="K5" t="s">
        <v>282</v>
      </c>
      <c r="L5">
        <v>109</v>
      </c>
      <c r="M5">
        <v>97</v>
      </c>
    </row>
    <row r="6" spans="1:13">
      <c r="A6" t="s">
        <v>284</v>
      </c>
      <c r="B6">
        <v>87</v>
      </c>
      <c r="C6">
        <v>82</v>
      </c>
      <c r="E6" t="s">
        <v>284</v>
      </c>
      <c r="F6">
        <v>109</v>
      </c>
      <c r="G6">
        <v>97</v>
      </c>
      <c r="K6" t="s">
        <v>284</v>
      </c>
      <c r="L6">
        <v>109</v>
      </c>
      <c r="M6">
        <v>97</v>
      </c>
    </row>
    <row r="7" spans="1:13">
      <c r="A7" t="s">
        <v>285</v>
      </c>
      <c r="B7">
        <v>87</v>
      </c>
      <c r="C7">
        <v>82</v>
      </c>
      <c r="E7" t="s">
        <v>285</v>
      </c>
      <c r="F7">
        <v>109</v>
      </c>
      <c r="G7">
        <v>97</v>
      </c>
      <c r="K7" t="s">
        <v>285</v>
      </c>
      <c r="L7">
        <v>109</v>
      </c>
      <c r="M7">
        <v>97</v>
      </c>
    </row>
    <row r="8" spans="1:13">
      <c r="A8" t="s">
        <v>286</v>
      </c>
      <c r="B8">
        <v>87</v>
      </c>
      <c r="C8">
        <v>82</v>
      </c>
      <c r="E8" t="s">
        <v>286</v>
      </c>
      <c r="F8">
        <v>109</v>
      </c>
      <c r="G8">
        <v>97</v>
      </c>
      <c r="K8" t="s">
        <v>286</v>
      </c>
      <c r="L8">
        <v>109</v>
      </c>
      <c r="M8">
        <v>97</v>
      </c>
    </row>
    <row r="9" spans="1:13">
      <c r="A9" t="s">
        <v>287</v>
      </c>
      <c r="B9">
        <v>87</v>
      </c>
      <c r="C9">
        <v>82</v>
      </c>
      <c r="E9" t="s">
        <v>287</v>
      </c>
      <c r="F9">
        <v>109</v>
      </c>
      <c r="G9">
        <v>97</v>
      </c>
      <c r="K9" t="s">
        <v>287</v>
      </c>
      <c r="L9">
        <v>109</v>
      </c>
      <c r="M9">
        <v>97</v>
      </c>
    </row>
    <row r="10" spans="1:13">
      <c r="A10" t="s">
        <v>288</v>
      </c>
      <c r="B10">
        <v>123</v>
      </c>
      <c r="C10">
        <v>105</v>
      </c>
      <c r="E10" t="s">
        <v>288</v>
      </c>
      <c r="F10">
        <v>109</v>
      </c>
      <c r="G10">
        <v>97</v>
      </c>
      <c r="K10" t="s">
        <v>288</v>
      </c>
      <c r="L10">
        <v>109</v>
      </c>
      <c r="M10">
        <v>97</v>
      </c>
    </row>
    <row r="11" spans="1:13">
      <c r="A11" t="s">
        <v>289</v>
      </c>
      <c r="B11">
        <v>116</v>
      </c>
      <c r="C11">
        <v>100</v>
      </c>
      <c r="E11" t="s">
        <v>289</v>
      </c>
      <c r="F11">
        <v>109</v>
      </c>
      <c r="G11">
        <v>97</v>
      </c>
      <c r="K11" t="s">
        <v>289</v>
      </c>
      <c r="L11">
        <v>109</v>
      </c>
      <c r="M11">
        <v>97</v>
      </c>
    </row>
    <row r="12" spans="1:13">
      <c r="A12" t="s">
        <v>277</v>
      </c>
      <c r="B12">
        <v>87</v>
      </c>
      <c r="C12">
        <v>82</v>
      </c>
      <c r="E12" t="s">
        <v>277</v>
      </c>
      <c r="F12">
        <v>109</v>
      </c>
      <c r="G12">
        <v>97</v>
      </c>
      <c r="K12" t="s">
        <v>277</v>
      </c>
      <c r="L12">
        <v>109</v>
      </c>
      <c r="M12">
        <v>97</v>
      </c>
    </row>
    <row r="13" spans="1:13">
      <c r="A13" t="s">
        <v>278</v>
      </c>
      <c r="B13">
        <v>114</v>
      </c>
      <c r="C13">
        <v>99</v>
      </c>
      <c r="E13" t="s">
        <v>278</v>
      </c>
      <c r="F13">
        <v>109</v>
      </c>
      <c r="G13">
        <v>97</v>
      </c>
      <c r="K13" t="s">
        <v>278</v>
      </c>
      <c r="L13">
        <v>109</v>
      </c>
      <c r="M13">
        <v>97</v>
      </c>
    </row>
    <row r="14" spans="1:13">
      <c r="A14" t="s">
        <v>279</v>
      </c>
      <c r="B14">
        <v>114</v>
      </c>
      <c r="C14">
        <v>99</v>
      </c>
      <c r="E14" t="s">
        <v>279</v>
      </c>
      <c r="F14">
        <v>109</v>
      </c>
      <c r="G14">
        <v>97</v>
      </c>
      <c r="K14" t="s">
        <v>279</v>
      </c>
      <c r="L14">
        <v>109</v>
      </c>
      <c r="M14">
        <v>97</v>
      </c>
    </row>
    <row r="15" spans="1:13">
      <c r="A15" t="s">
        <v>435</v>
      </c>
      <c r="B15" s="242">
        <f>SUM(B3:B14)</f>
        <v>1093</v>
      </c>
      <c r="C15" s="242">
        <f>SUM(C6:C14)</f>
        <v>813</v>
      </c>
      <c r="F15" s="242">
        <f>SUM(F3:F14)</f>
        <v>1775</v>
      </c>
      <c r="G15" s="242">
        <f>SUM(G3:G14)</f>
        <v>1474</v>
      </c>
      <c r="L15" s="242">
        <f>SUM(L3:L14)</f>
        <v>2034</v>
      </c>
      <c r="M15" s="242">
        <f>SUM(M3:M14)</f>
        <v>1647</v>
      </c>
    </row>
    <row r="16" spans="1:13">
      <c r="A16" t="s">
        <v>951</v>
      </c>
      <c r="B16">
        <f>B2-B15</f>
        <v>39072.1</v>
      </c>
      <c r="C16">
        <f>C2-C15</f>
        <v>10105.799999999999</v>
      </c>
      <c r="F16">
        <f>F2-F15</f>
        <v>37297.1</v>
      </c>
      <c r="G16">
        <f>G2-G15</f>
        <v>8631.7999999999993</v>
      </c>
      <c r="L16">
        <f>L2-L15</f>
        <v>35263.1</v>
      </c>
      <c r="M16">
        <f>M2-M15</f>
        <v>6984.7999999999993</v>
      </c>
    </row>
    <row r="20" spans="1:1">
      <c r="A20" s="231" t="s">
        <v>952</v>
      </c>
    </row>
  </sheetData>
  <phoneticPr fontId="33" type="noConversion"/>
  <hyperlinks>
    <hyperlink ref="A20" r:id="rId1" xr:uid="{452738F2-9333-4E14-8BAC-90B3AE62992C}"/>
  </hyperlinks>
  <pageMargins left="0.7" right="0.7" top="0.75" bottom="0.75" header="0.3" footer="0.3"/>
  <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5E37-0DBF-42DF-9DCB-014223F2F3CC}">
  <sheetPr codeName="Sheet73"/>
  <dimension ref="A1:R95"/>
  <sheetViews>
    <sheetView topLeftCell="B1" workbookViewId="0"/>
  </sheetViews>
  <sheetFormatPr defaultColWidth="10.33203125" defaultRowHeight="15.6" outlineLevelRow="1"/>
  <cols>
    <col min="1" max="1" width="15.44140625" hidden="1" customWidth="1"/>
    <col min="2" max="2" width="15.44140625" customWidth="1"/>
    <col min="3" max="3" width="21.109375" customWidth="1"/>
    <col min="4" max="4" width="36.44140625" customWidth="1"/>
    <col min="5" max="5" width="23" style="267" customWidth="1"/>
    <col min="6" max="10" width="22.44140625" customWidth="1"/>
    <col min="11" max="11" width="21.6640625" customWidth="1"/>
    <col min="12" max="13" width="22.44140625" style="7" customWidth="1"/>
    <col min="14" max="14" width="19.44140625" customWidth="1"/>
    <col min="18" max="18" width="16.109375" customWidth="1"/>
  </cols>
  <sheetData>
    <row r="1" spans="1:18" ht="25.5" customHeight="1">
      <c r="A1" t="str">
        <f ca="1">UPPER(TEXT((1&amp;LEFT(B$1,3))-1,"MMM"))&amp;"-"&amp;UPPER(TEXT((1&amp;RIGHT(LEFT(B$1,7),3))-1,"MMM"))&amp;" "&amp;RIGHT(B$1,4)</f>
        <v>NOV-DEC 2020</v>
      </c>
      <c r="B1" s="730" t="str">
        <f ca="1">MID(CELL("filename",B1),FIND("]",CELL("filename",B1))+1,255)</f>
        <v>DEC-JAN 2020</v>
      </c>
      <c r="C1" s="731"/>
      <c r="D1" s="731"/>
      <c r="E1" s="731"/>
      <c r="F1" s="731"/>
      <c r="G1" s="731"/>
      <c r="H1" s="731"/>
      <c r="I1" s="731"/>
      <c r="J1" s="731"/>
      <c r="K1" s="731"/>
      <c r="L1" s="731"/>
      <c r="M1" s="298"/>
      <c r="N1" s="281"/>
      <c r="O1" s="272"/>
      <c r="P1" s="272"/>
      <c r="Q1" s="272"/>
    </row>
    <row r="2" spans="1:18">
      <c r="B2" s="118"/>
      <c r="C2" s="118"/>
      <c r="D2">
        <f>1810.29-650</f>
        <v>1160.29</v>
      </c>
      <c r="E2" s="365"/>
      <c r="F2" t="s">
        <v>798</v>
      </c>
      <c r="G2" t="s">
        <v>799</v>
      </c>
      <c r="H2" t="s">
        <v>800</v>
      </c>
      <c r="I2" t="s">
        <v>801</v>
      </c>
      <c r="J2" t="s">
        <v>886</v>
      </c>
      <c r="K2" t="s">
        <v>802</v>
      </c>
      <c r="L2" s="273" t="s">
        <v>10</v>
      </c>
      <c r="M2" s="273"/>
      <c r="N2" s="283" t="s">
        <v>803</v>
      </c>
    </row>
    <row r="3" spans="1:18">
      <c r="B3" s="118"/>
      <c r="C3" s="118"/>
      <c r="E3" s="365"/>
      <c r="F3" s="42">
        <v>43822</v>
      </c>
      <c r="G3" s="42">
        <f>F3+7</f>
        <v>43829</v>
      </c>
      <c r="H3" s="42">
        <f t="shared" ref="H3:J3" si="0">G3+7</f>
        <v>43836</v>
      </c>
      <c r="I3" s="42">
        <f t="shared" si="0"/>
        <v>43843</v>
      </c>
      <c r="J3" s="42">
        <f t="shared" si="0"/>
        <v>43850</v>
      </c>
      <c r="K3" s="243">
        <f>SUM(K4:K40)</f>
        <v>569.04000000000008</v>
      </c>
      <c r="L3" s="273"/>
      <c r="M3" s="273"/>
      <c r="N3" s="282"/>
    </row>
    <row r="4" spans="1:18" ht="15" customHeight="1">
      <c r="B4" s="727" t="s">
        <v>804</v>
      </c>
      <c r="C4" s="727"/>
      <c r="D4" s="727"/>
      <c r="E4" s="727"/>
      <c r="L4" s="273"/>
      <c r="M4" s="273"/>
      <c r="N4" s="282"/>
    </row>
    <row r="5" spans="1:18" ht="15" customHeight="1">
      <c r="B5" s="733" t="str">
        <f>IF(D5&gt;E$43*0.5,ROUND(D5-E$43*0.5,2) &amp; " Over",ROUND(E$43*0.5-D5,2) &amp; " Under")</f>
        <v>383.5 Under</v>
      </c>
      <c r="C5" s="733"/>
      <c r="D5" s="761">
        <f>SUM(E6:E20)</f>
        <v>1933.74</v>
      </c>
      <c r="E5" s="761"/>
      <c r="F5" s="284"/>
      <c r="G5" s="79"/>
      <c r="H5" s="79"/>
      <c r="I5" s="79"/>
      <c r="J5" s="79"/>
      <c r="L5" s="285">
        <f>SUMIF(L6:L20,"&gt;0")</f>
        <v>1172.45</v>
      </c>
      <c r="M5" s="285" t="s">
        <v>892</v>
      </c>
      <c r="N5" s="282">
        <f>SUM(N6:N20)</f>
        <v>0</v>
      </c>
    </row>
    <row r="6" spans="1:18" ht="15" customHeight="1">
      <c r="B6" s="734" t="str">
        <f>"50%: " &amp; E$43*0.5</f>
        <v>50%: 2317.24</v>
      </c>
      <c r="C6" s="734" t="str">
        <f>ROUND((D5/E$43)*100,2) &amp; "%: " &amp;D5</f>
        <v>41.73%: 1933.74</v>
      </c>
      <c r="D6" s="13" t="s">
        <v>805</v>
      </c>
      <c r="E6" s="374">
        <f>315+13+10+10+44.8</f>
        <v>392.8</v>
      </c>
      <c r="G6">
        <v>20.010000000000002</v>
      </c>
      <c r="H6">
        <f>8.9+8.9</f>
        <v>17.8</v>
      </c>
      <c r="K6">
        <f>15+25+26.4+26.2+25.85+25.07+31.8</f>
        <v>175.32000000000002</v>
      </c>
      <c r="L6" s="274">
        <f t="shared" ref="L6:L20" si="1">E6-F6-G6-H6-I6-K6</f>
        <v>179.67</v>
      </c>
      <c r="M6" s="274" t="str">
        <f t="shared" ref="M6:M20" si="2">D6</f>
        <v>Car Petrol / commuting</v>
      </c>
      <c r="N6" s="282">
        <f t="shared" ref="N6:N20" si="3">IF(L6&lt;0,L6*-1,0)</f>
        <v>0</v>
      </c>
    </row>
    <row r="7" spans="1:18" ht="15" customHeight="1">
      <c r="B7" s="734"/>
      <c r="C7" s="734"/>
      <c r="D7" s="13" t="s">
        <v>169</v>
      </c>
      <c r="E7" s="365">
        <f>(65*4)-44.8+19</f>
        <v>234.2</v>
      </c>
      <c r="G7">
        <f>56.62+5.27+6.81</f>
        <v>68.7</v>
      </c>
      <c r="H7">
        <f>7+19.64+57.54</f>
        <v>84.18</v>
      </c>
      <c r="K7">
        <f>3+13.5</f>
        <v>16.5</v>
      </c>
      <c r="L7" s="274">
        <f t="shared" si="1"/>
        <v>64.819999999999993</v>
      </c>
      <c r="M7" s="274" t="str">
        <f t="shared" si="2"/>
        <v>Food</v>
      </c>
      <c r="N7" s="282">
        <f t="shared" si="3"/>
        <v>0</v>
      </c>
    </row>
    <row r="8" spans="1:18" ht="15" customHeight="1">
      <c r="B8" s="734"/>
      <c r="C8" s="734"/>
      <c r="D8" s="13" t="s">
        <v>919</v>
      </c>
      <c r="E8" s="365">
        <v>40</v>
      </c>
      <c r="K8">
        <f>9.56+5.98+17+2</f>
        <v>34.54</v>
      </c>
      <c r="L8" s="274">
        <f t="shared" si="1"/>
        <v>5.4600000000000009</v>
      </c>
      <c r="M8" s="274" t="str">
        <f t="shared" si="2"/>
        <v>Bun</v>
      </c>
      <c r="N8" s="282">
        <f t="shared" si="3"/>
        <v>0</v>
      </c>
    </row>
    <row r="9" spans="1:18" ht="15" customHeight="1" outlineLevel="1">
      <c r="B9" s="734"/>
      <c r="C9" s="734"/>
      <c r="D9" s="201" t="s">
        <v>595</v>
      </c>
      <c r="E9" s="365">
        <v>452.64</v>
      </c>
      <c r="L9" s="274">
        <f t="shared" si="1"/>
        <v>452.64</v>
      </c>
      <c r="M9" s="274" t="str">
        <f t="shared" si="2"/>
        <v>Mortgage</v>
      </c>
      <c r="N9" s="282">
        <f t="shared" si="3"/>
        <v>0</v>
      </c>
      <c r="Q9" s="242"/>
      <c r="R9" s="242"/>
    </row>
    <row r="10" spans="1:18" ht="15" customHeight="1" outlineLevel="1">
      <c r="B10" s="734"/>
      <c r="C10" s="734"/>
      <c r="D10" s="201" t="s">
        <v>596</v>
      </c>
      <c r="E10" s="365">
        <v>123</v>
      </c>
      <c r="L10" s="274">
        <f t="shared" si="1"/>
        <v>123</v>
      </c>
      <c r="M10" s="274" t="str">
        <f t="shared" si="2"/>
        <v>Council tax</v>
      </c>
      <c r="N10" s="282">
        <f t="shared" si="3"/>
        <v>0</v>
      </c>
      <c r="Q10" s="242"/>
      <c r="R10" s="242"/>
    </row>
    <row r="11" spans="1:18" ht="15" customHeight="1" outlineLevel="1">
      <c r="B11" s="734"/>
      <c r="C11" s="734"/>
      <c r="D11" s="201" t="s">
        <v>785</v>
      </c>
      <c r="E11" s="365">
        <f>17+40+12.96+1</f>
        <v>70.960000000000008</v>
      </c>
      <c r="L11" s="274">
        <f t="shared" si="1"/>
        <v>70.960000000000008</v>
      </c>
      <c r="M11" s="274" t="str">
        <f t="shared" si="2"/>
        <v>Utilities (G,W,E,TV)</v>
      </c>
      <c r="N11" s="282">
        <f t="shared" si="3"/>
        <v>0</v>
      </c>
    </row>
    <row r="12" spans="1:18" ht="15" customHeight="1" outlineLevel="1">
      <c r="B12" s="734"/>
      <c r="C12" s="734"/>
      <c r="D12" s="201" t="s">
        <v>894</v>
      </c>
      <c r="E12" s="365">
        <f>4.52+16.61+8.56+16.1+8</f>
        <v>53.79</v>
      </c>
      <c r="L12" s="274">
        <f t="shared" si="1"/>
        <v>53.79</v>
      </c>
      <c r="M12" s="274" t="str">
        <f t="shared" si="2"/>
        <v>Insurances</v>
      </c>
      <c r="N12" s="282">
        <f t="shared" si="3"/>
        <v>0</v>
      </c>
    </row>
    <row r="13" spans="1:18" ht="15" customHeight="1" outlineLevel="1">
      <c r="B13" s="734"/>
      <c r="C13" s="734"/>
      <c r="D13" s="201" t="s">
        <v>602</v>
      </c>
      <c r="E13" s="365">
        <v>39.99</v>
      </c>
      <c r="L13" s="274">
        <f t="shared" si="1"/>
        <v>39.99</v>
      </c>
      <c r="M13" s="274" t="str">
        <f t="shared" si="2"/>
        <v>Broadband / TV</v>
      </c>
      <c r="N13" s="282">
        <f t="shared" si="3"/>
        <v>0</v>
      </c>
      <c r="Q13" s="242"/>
      <c r="R13" s="242"/>
    </row>
    <row r="14" spans="1:18" ht="15" customHeight="1" outlineLevel="1">
      <c r="B14" s="734"/>
      <c r="C14" s="734"/>
      <c r="D14" s="201" t="s">
        <v>582</v>
      </c>
      <c r="E14" s="365">
        <v>7.99</v>
      </c>
      <c r="G14">
        <v>7.99</v>
      </c>
      <c r="L14" s="274">
        <f t="shared" si="1"/>
        <v>0</v>
      </c>
      <c r="M14" s="274" t="str">
        <f t="shared" si="2"/>
        <v>Onedrive (6th)</v>
      </c>
      <c r="N14" s="282">
        <f t="shared" si="3"/>
        <v>0</v>
      </c>
    </row>
    <row r="15" spans="1:18" ht="15" customHeight="1" outlineLevel="1">
      <c r="B15" s="734"/>
      <c r="C15" s="734"/>
      <c r="D15" s="201" t="s">
        <v>788</v>
      </c>
      <c r="E15" s="365">
        <v>10.01</v>
      </c>
      <c r="G15">
        <v>10.01</v>
      </c>
      <c r="L15" s="274">
        <f t="shared" si="1"/>
        <v>0</v>
      </c>
      <c r="M15" s="274" t="str">
        <f t="shared" si="2"/>
        <v>Matt Phone</v>
      </c>
      <c r="N15" s="282">
        <f t="shared" si="3"/>
        <v>0</v>
      </c>
    </row>
    <row r="16" spans="1:18" ht="15" customHeight="1" outlineLevel="1">
      <c r="B16" s="734"/>
      <c r="C16" s="734"/>
      <c r="D16" s="201" t="s">
        <v>668</v>
      </c>
      <c r="E16" s="365">
        <v>28.43</v>
      </c>
      <c r="G16">
        <v>28.43</v>
      </c>
      <c r="L16" s="274">
        <f t="shared" si="1"/>
        <v>0</v>
      </c>
      <c r="M16" s="274" t="str">
        <f t="shared" si="2"/>
        <v>M -Tax</v>
      </c>
      <c r="N16" s="282">
        <f t="shared" si="3"/>
        <v>0</v>
      </c>
    </row>
    <row r="17" spans="2:14" ht="15" customHeight="1" outlineLevel="1">
      <c r="B17" s="734"/>
      <c r="C17" s="734"/>
      <c r="D17" s="201" t="s">
        <v>670</v>
      </c>
      <c r="E17" s="365">
        <f>65.87</f>
        <v>65.87</v>
      </c>
      <c r="G17">
        <v>65.87</v>
      </c>
      <c r="L17" s="274">
        <f t="shared" si="1"/>
        <v>0</v>
      </c>
      <c r="M17" s="274" t="str">
        <f t="shared" si="2"/>
        <v>M - Insurance</v>
      </c>
      <c r="N17" s="282">
        <f t="shared" si="3"/>
        <v>0</v>
      </c>
    </row>
    <row r="18" spans="2:14" ht="15" customHeight="1" outlineLevel="1">
      <c r="B18" s="734"/>
      <c r="C18" s="734"/>
      <c r="D18" s="293" t="s">
        <v>920</v>
      </c>
      <c r="E18" s="277">
        <f>179.09+129</f>
        <v>308.09000000000003</v>
      </c>
      <c r="H18">
        <f>125.97</f>
        <v>125.97</v>
      </c>
      <c r="L18" s="274">
        <f t="shared" si="1"/>
        <v>182.12000000000003</v>
      </c>
      <c r="M18" s="274" t="str">
        <f t="shared" si="2"/>
        <v>Finance</v>
      </c>
      <c r="N18" s="282">
        <f t="shared" si="3"/>
        <v>0</v>
      </c>
    </row>
    <row r="19" spans="2:14" ht="15" customHeight="1" outlineLevel="1">
      <c r="B19" s="734"/>
      <c r="C19" s="734"/>
      <c r="D19" s="201" t="s">
        <v>672</v>
      </c>
      <c r="E19" s="365">
        <v>12.25</v>
      </c>
      <c r="G19">
        <v>12.25</v>
      </c>
      <c r="L19" s="274">
        <f t="shared" si="1"/>
        <v>0</v>
      </c>
      <c r="M19" s="274" t="str">
        <f t="shared" si="2"/>
        <v>K - Tax</v>
      </c>
      <c r="N19" s="282">
        <f t="shared" si="3"/>
        <v>0</v>
      </c>
    </row>
    <row r="20" spans="2:14" ht="15" customHeight="1" outlineLevel="1">
      <c r="B20" s="734"/>
      <c r="C20" s="734"/>
      <c r="D20" s="201" t="s">
        <v>674</v>
      </c>
      <c r="E20" s="365">
        <v>93.72</v>
      </c>
      <c r="G20">
        <v>93.72</v>
      </c>
      <c r="L20" s="274">
        <f t="shared" si="1"/>
        <v>0</v>
      </c>
      <c r="M20" s="274" t="str">
        <f t="shared" si="2"/>
        <v>K - Insurance</v>
      </c>
      <c r="N20" s="282">
        <f t="shared" si="3"/>
        <v>0</v>
      </c>
    </row>
    <row r="21" spans="2:14" ht="15" customHeight="1">
      <c r="B21" s="118"/>
      <c r="C21" s="118"/>
      <c r="D21" s="188"/>
      <c r="E21" s="365"/>
      <c r="L21" s="273"/>
      <c r="M21" s="273"/>
      <c r="N21" s="282"/>
    </row>
    <row r="22" spans="2:14" ht="15" customHeight="1">
      <c r="B22" s="736" t="s">
        <v>808</v>
      </c>
      <c r="C22" s="736"/>
      <c r="D22" s="736"/>
      <c r="E22" s="736"/>
      <c r="L22" s="274"/>
      <c r="M22" s="274"/>
      <c r="N22" s="282"/>
    </row>
    <row r="23" spans="2:14" ht="15" customHeight="1">
      <c r="B23" s="727" t="str">
        <f>IF(ISNUMBER((SEARCH("Over",C$5))),"Operating under budget","Operating over budget")</f>
        <v>Operating over budget</v>
      </c>
      <c r="C23" s="727"/>
      <c r="D23" s="759">
        <f>SUM(E24:E28)</f>
        <v>625</v>
      </c>
      <c r="E23" s="759"/>
      <c r="L23" s="285">
        <f>SUMIF(L24:L30,"&gt;0")</f>
        <v>600</v>
      </c>
      <c r="M23" s="285" t="s">
        <v>895</v>
      </c>
      <c r="N23" s="282">
        <f>SUM(N24:N28)</f>
        <v>0</v>
      </c>
    </row>
    <row r="24" spans="2:14" ht="15" customHeight="1" outlineLevel="1">
      <c r="B24" s="734" t="str">
        <f>"20% : " &amp; E$43*0.2</f>
        <v>20% : 926.896</v>
      </c>
      <c r="C24" s="734" t="str">
        <f>"20% : " &amp; E$43*0.2</f>
        <v>20% : 926.896</v>
      </c>
      <c r="D24" s="300" t="s">
        <v>896</v>
      </c>
      <c r="E24" s="365">
        <v>25</v>
      </c>
      <c r="H24">
        <v>25</v>
      </c>
      <c r="L24" s="274">
        <f t="shared" ref="L24:L30" si="4">E24-F24-G24-H24-I24-K24</f>
        <v>0</v>
      </c>
      <c r="M24" s="274" t="str">
        <f t="shared" ref="M24:M29" si="5">D24</f>
        <v>Contingency 20%</v>
      </c>
      <c r="N24" s="282">
        <f t="shared" ref="N24:N29" si="6">IF(L24&lt;0,L24*-1,0)</f>
        <v>0</v>
      </c>
    </row>
    <row r="25" spans="2:14" ht="15" customHeight="1" outlineLevel="1">
      <c r="B25" s="734"/>
      <c r="C25" s="734"/>
      <c r="D25" s="300" t="s">
        <v>897</v>
      </c>
      <c r="E25" s="365">
        <v>600</v>
      </c>
      <c r="L25" s="274">
        <f t="shared" si="4"/>
        <v>600</v>
      </c>
      <c r="M25" s="274" t="str">
        <f t="shared" si="5"/>
        <v>Holiday Fund 60%</v>
      </c>
      <c r="N25" s="282">
        <f t="shared" si="6"/>
        <v>0</v>
      </c>
    </row>
    <row r="26" spans="2:14" ht="15" customHeight="1" outlineLevel="1">
      <c r="B26" s="734"/>
      <c r="C26" s="734"/>
      <c r="D26" s="300" t="s">
        <v>811</v>
      </c>
      <c r="E26" s="365">
        <v>0</v>
      </c>
      <c r="L26" s="274">
        <f t="shared" si="4"/>
        <v>0</v>
      </c>
      <c r="M26" s="274" t="str">
        <f t="shared" si="5"/>
        <v>Gift Fund 20%</v>
      </c>
      <c r="N26" s="282">
        <f t="shared" si="6"/>
        <v>0</v>
      </c>
    </row>
    <row r="27" spans="2:14" ht="15" customHeight="1" outlineLevel="1">
      <c r="B27" s="734" t="s">
        <v>130</v>
      </c>
      <c r="C27" s="734"/>
      <c r="D27" s="300" t="s">
        <v>812</v>
      </c>
      <c r="E27" s="365">
        <v>0</v>
      </c>
      <c r="L27" s="274">
        <f t="shared" si="4"/>
        <v>0</v>
      </c>
      <c r="M27" s="274" t="str">
        <f t="shared" si="5"/>
        <v>Wedding</v>
      </c>
      <c r="N27" s="282">
        <f t="shared" si="6"/>
        <v>0</v>
      </c>
    </row>
    <row r="28" spans="2:14" ht="15" customHeight="1" outlineLevel="1">
      <c r="B28" s="734"/>
      <c r="C28" s="734"/>
      <c r="D28" s="300" t="s">
        <v>174</v>
      </c>
      <c r="E28" s="365">
        <v>0</v>
      </c>
      <c r="F28" s="11"/>
      <c r="L28" s="274">
        <f t="shared" si="4"/>
        <v>0</v>
      </c>
      <c r="M28" s="274" t="str">
        <f t="shared" si="5"/>
        <v>House</v>
      </c>
      <c r="N28" s="282">
        <f t="shared" si="6"/>
        <v>0</v>
      </c>
    </row>
    <row r="29" spans="2:14" ht="15" customHeight="1" outlineLevel="1">
      <c r="B29" s="7"/>
      <c r="C29" s="7"/>
      <c r="D29" s="300" t="s">
        <v>953</v>
      </c>
      <c r="E29" s="365">
        <v>0</v>
      </c>
      <c r="F29" s="11"/>
      <c r="L29" s="274">
        <f t="shared" si="4"/>
        <v>0</v>
      </c>
      <c r="M29" s="274" t="str">
        <f t="shared" si="5"/>
        <v>Cars (Service / MOT) £45</v>
      </c>
      <c r="N29" s="282">
        <f t="shared" si="6"/>
        <v>0</v>
      </c>
    </row>
    <row r="30" spans="2:14" ht="15" customHeight="1" outlineLevel="1">
      <c r="B30" s="7"/>
      <c r="C30" s="7"/>
      <c r="D30" s="300" t="s">
        <v>814</v>
      </c>
      <c r="E30" s="365">
        <v>1000</v>
      </c>
      <c r="F30" s="11"/>
      <c r="G30">
        <v>1000</v>
      </c>
      <c r="L30" s="274">
        <f t="shared" si="4"/>
        <v>0</v>
      </c>
      <c r="M30" s="274"/>
      <c r="N30" s="282"/>
    </row>
    <row r="31" spans="2:14" ht="15" customHeight="1">
      <c r="B31" s="118"/>
      <c r="C31" s="118"/>
      <c r="E31" s="365"/>
      <c r="L31" s="273"/>
      <c r="M31" s="273"/>
      <c r="N31" s="282"/>
    </row>
    <row r="32" spans="2:14" ht="15" customHeight="1">
      <c r="B32" s="727"/>
      <c r="C32" s="727"/>
      <c r="D32" s="727"/>
      <c r="E32" s="727"/>
      <c r="L32" s="273"/>
      <c r="M32" s="273"/>
      <c r="N32" s="282"/>
    </row>
    <row r="33" spans="2:14" ht="15" customHeight="1">
      <c r="B33" s="727" t="str">
        <f>IF(ISNUMBER((SEARCH("Over",B$5))),"Operating under budget","Operating over budget")</f>
        <v>Operating over budget</v>
      </c>
      <c r="C33" s="727"/>
      <c r="D33" s="759">
        <f>(E$43-D5-D23)</f>
        <v>2075.7399999999998</v>
      </c>
      <c r="E33" s="727"/>
      <c r="L33" s="285">
        <f>SUMIF(L34:L39,"&gt;0")</f>
        <v>87.360000000000014</v>
      </c>
      <c r="M33" s="285" t="s">
        <v>899</v>
      </c>
      <c r="N33" s="282">
        <f>SUM(N34:N39)</f>
        <v>0</v>
      </c>
    </row>
    <row r="34" spans="2:14" ht="18" outlineLevel="1">
      <c r="B34" s="734"/>
      <c r="C34" s="760"/>
      <c r="D34" s="13" t="s">
        <v>954</v>
      </c>
      <c r="E34" s="365">
        <v>0</v>
      </c>
      <c r="L34" s="274">
        <f t="shared" ref="L34:L41" si="7">E34-F34-G34-H34-I34-K34</f>
        <v>0</v>
      </c>
      <c r="M34" s="274" t="str">
        <f t="shared" ref="M34:M41" si="8">D34</f>
        <v>Haircut</v>
      </c>
      <c r="N34" s="282">
        <f t="shared" ref="N34:N37" si="9">IF(L34&lt;0,L34*-1,0)</f>
        <v>0</v>
      </c>
    </row>
    <row r="35" spans="2:14" ht="18" outlineLevel="1">
      <c r="B35" s="734"/>
      <c r="C35" s="760"/>
      <c r="D35" s="13" t="s">
        <v>943</v>
      </c>
      <c r="E35" s="365">
        <v>10</v>
      </c>
      <c r="G35">
        <v>10</v>
      </c>
      <c r="L35" s="274">
        <f t="shared" si="7"/>
        <v>0</v>
      </c>
      <c r="M35" s="274" t="str">
        <f t="shared" si="8"/>
        <v>Car wash</v>
      </c>
      <c r="N35" s="282">
        <f t="shared" si="9"/>
        <v>0</v>
      </c>
    </row>
    <row r="36" spans="2:14" ht="18" outlineLevel="1">
      <c r="B36" s="734"/>
      <c r="C36" s="760"/>
      <c r="D36" s="13" t="s">
        <v>944</v>
      </c>
      <c r="E36" s="365">
        <v>15</v>
      </c>
      <c r="L36" s="274">
        <f t="shared" si="7"/>
        <v>15</v>
      </c>
      <c r="M36" s="274" t="str">
        <f t="shared" si="8"/>
        <v>Windows</v>
      </c>
      <c r="N36" s="282">
        <f t="shared" si="9"/>
        <v>0</v>
      </c>
    </row>
    <row r="37" spans="2:14" ht="18" outlineLevel="1">
      <c r="B37" s="734"/>
      <c r="C37" s="760"/>
      <c r="D37" s="13" t="s">
        <v>177</v>
      </c>
      <c r="E37" s="365">
        <f>(10.48+25)-18</f>
        <v>17.480000000000004</v>
      </c>
      <c r="G37">
        <v>10.48</v>
      </c>
      <c r="L37" s="274">
        <f t="shared" si="7"/>
        <v>7.0000000000000036</v>
      </c>
      <c r="M37" s="274" t="str">
        <f t="shared" si="8"/>
        <v>Gym</v>
      </c>
      <c r="N37" s="282">
        <f t="shared" si="9"/>
        <v>0</v>
      </c>
    </row>
    <row r="38" spans="2:14" ht="15.75" customHeight="1" outlineLevel="1">
      <c r="B38" s="734"/>
      <c r="C38" s="760"/>
      <c r="D38" s="13" t="s">
        <v>781</v>
      </c>
      <c r="E38" s="365">
        <f>23+14.56</f>
        <v>37.56</v>
      </c>
      <c r="G38">
        <f>13+14.56</f>
        <v>27.560000000000002</v>
      </c>
      <c r="H38">
        <v>10</v>
      </c>
      <c r="L38" s="274">
        <f t="shared" si="7"/>
        <v>0</v>
      </c>
      <c r="M38" s="274" t="str">
        <f t="shared" si="8"/>
        <v>Subscriptions</v>
      </c>
      <c r="N38" s="282">
        <f>IF(L38&lt;0,L38*-1,0)</f>
        <v>0</v>
      </c>
    </row>
    <row r="39" spans="2:14" ht="18" outlineLevel="1">
      <c r="B39" s="734"/>
      <c r="C39" s="760"/>
      <c r="D39" s="13" t="s">
        <v>815</v>
      </c>
      <c r="E39" s="365">
        <f>100</f>
        <v>100</v>
      </c>
      <c r="G39">
        <f>11.99</f>
        <v>11.99</v>
      </c>
      <c r="K39">
        <f>22.65</f>
        <v>22.65</v>
      </c>
      <c r="L39" s="274">
        <f t="shared" si="7"/>
        <v>65.360000000000014</v>
      </c>
      <c r="M39" s="274" t="str">
        <f t="shared" si="8"/>
        <v>Shared 10%</v>
      </c>
      <c r="N39" s="282">
        <f>IF(L39&lt;0,L39*-1,0)</f>
        <v>0</v>
      </c>
    </row>
    <row r="40" spans="2:14" ht="18" outlineLevel="1">
      <c r="B40" s="734"/>
      <c r="C40" s="760"/>
      <c r="D40" s="13" t="s">
        <v>922</v>
      </c>
      <c r="E40" s="365">
        <f>(D33-SUM(E34:E39))-E30-E41</f>
        <v>395.69999999999982</v>
      </c>
      <c r="G40">
        <f>1.24+4.35+2.05+5.65+3</f>
        <v>16.29</v>
      </c>
      <c r="K40">
        <f>18+49.4+123.97+(114.12-26-36.5)+59.85+15.13+2.06</f>
        <v>320.03000000000003</v>
      </c>
      <c r="L40" s="274">
        <f t="shared" si="7"/>
        <v>59.379999999999768</v>
      </c>
      <c r="M40" s="274" t="str">
        <f t="shared" si="8"/>
        <v>Matt Fun</v>
      </c>
      <c r="N40" s="271"/>
    </row>
    <row r="41" spans="2:14" ht="18" outlineLevel="1">
      <c r="B41" s="7"/>
      <c r="C41" s="284"/>
      <c r="D41" s="13" t="s">
        <v>152</v>
      </c>
      <c r="E41" s="365">
        <v>500</v>
      </c>
      <c r="F41">
        <v>500</v>
      </c>
      <c r="L41" s="274">
        <f t="shared" si="7"/>
        <v>0</v>
      </c>
      <c r="M41" s="274" t="str">
        <f t="shared" si="8"/>
        <v>Kris</v>
      </c>
      <c r="N41" s="271"/>
    </row>
    <row r="42" spans="2:14">
      <c r="B42" s="118"/>
      <c r="C42" s="118"/>
      <c r="E42" s="365"/>
      <c r="L42" s="273"/>
      <c r="M42" s="273"/>
      <c r="N42" s="282"/>
    </row>
    <row r="43" spans="2:14" ht="18">
      <c r="B43" s="728" t="s">
        <v>817</v>
      </c>
      <c r="C43" s="728"/>
      <c r="D43" s="728"/>
      <c r="E43" s="375">
        <f>F43+G43+H43+I43+K43</f>
        <v>4634.4799999999996</v>
      </c>
      <c r="F43" s="271">
        <f>2369.14+624.34+40</f>
        <v>3033.48</v>
      </c>
      <c r="G43" s="271">
        <f>1488+34</f>
        <v>1522</v>
      </c>
      <c r="H43" s="271">
        <f>50+10+19</f>
        <v>79</v>
      </c>
      <c r="I43" s="271"/>
      <c r="J43" s="271"/>
      <c r="K43" s="271"/>
      <c r="L43" s="285" t="str">
        <f>"£" &amp; L5+L33+L23+K3+L40+L41 &amp; " / " &amp; "£" &amp; E43</f>
        <v>£2488.23 / £4634.48</v>
      </c>
      <c r="M43" s="274"/>
      <c r="N43" s="282">
        <f>SUM(N33,N23,N5)</f>
        <v>0</v>
      </c>
    </row>
    <row r="44" spans="2:14">
      <c r="B44" s="118"/>
      <c r="C44" s="7"/>
      <c r="E44" s="365"/>
    </row>
    <row r="45" spans="2:14" ht="14.4">
      <c r="B45" s="729"/>
      <c r="C45" s="729"/>
      <c r="D45" s="729"/>
      <c r="E45" s="729"/>
      <c r="F45" s="729"/>
      <c r="H45" s="729"/>
      <c r="I45" s="729"/>
      <c r="J45" s="729"/>
      <c r="K45" s="729"/>
      <c r="L45" s="729"/>
      <c r="M45" s="297"/>
    </row>
    <row r="46" spans="2:14">
      <c r="B46" s="726" t="s">
        <v>955</v>
      </c>
      <c r="C46" s="726"/>
      <c r="D46" t="s">
        <v>956</v>
      </c>
      <c r="E46"/>
      <c r="H46" s="212"/>
      <c r="I46" s="278"/>
      <c r="J46" s="278"/>
      <c r="K46" s="212"/>
      <c r="L46" s="212"/>
      <c r="M46" s="212"/>
    </row>
    <row r="47" spans="2:14">
      <c r="B47" s="365">
        <v>1</v>
      </c>
      <c r="C47" s="38" t="s">
        <v>957</v>
      </c>
      <c r="D47">
        <f>8.9+7.99</f>
        <v>16.89</v>
      </c>
      <c r="E47" t="s">
        <v>958</v>
      </c>
      <c r="G47" t="s">
        <v>836</v>
      </c>
      <c r="H47" s="214" t="s">
        <v>835</v>
      </c>
      <c r="I47" s="376"/>
      <c r="J47" s="376"/>
      <c r="K47" s="214"/>
      <c r="L47" s="214"/>
      <c r="M47" s="214"/>
    </row>
    <row r="48" spans="2:14">
      <c r="B48">
        <v>10.48</v>
      </c>
      <c r="C48" t="s">
        <v>177</v>
      </c>
      <c r="D48">
        <v>10</v>
      </c>
      <c r="E48" t="s">
        <v>959</v>
      </c>
      <c r="G48">
        <v>957</v>
      </c>
      <c r="H48">
        <v>1953.45</v>
      </c>
      <c r="I48" s="365"/>
      <c r="J48" s="365"/>
      <c r="L48"/>
      <c r="M48"/>
    </row>
    <row r="49" spans="2:14">
      <c r="D49">
        <v>18</v>
      </c>
      <c r="E49" t="s">
        <v>960</v>
      </c>
      <c r="G49" s="11">
        <f>G48-(600-I49)</f>
        <v>810.45</v>
      </c>
      <c r="H49" s="212"/>
      <c r="I49" s="278">
        <f>H48-1500</f>
        <v>453.45000000000005</v>
      </c>
      <c r="J49" s="278">
        <v>273.06</v>
      </c>
      <c r="K49" s="212"/>
      <c r="L49" s="212"/>
      <c r="M49" s="212"/>
    </row>
    <row r="50" spans="2:14">
      <c r="B50" s="378"/>
      <c r="E50"/>
      <c r="G50" s="11">
        <f>G49-D51</f>
        <v>765.56000000000006</v>
      </c>
      <c r="H50" s="56"/>
      <c r="I50" s="365"/>
      <c r="J50" s="365">
        <f>J49-19.99</f>
        <v>253.07</v>
      </c>
      <c r="K50" s="56" t="s">
        <v>961</v>
      </c>
      <c r="L50" s="56"/>
      <c r="M50" s="56"/>
    </row>
    <row r="51" spans="2:14">
      <c r="D51">
        <f>SUM(D47:D50)</f>
        <v>44.89</v>
      </c>
      <c r="E51"/>
      <c r="G51" s="11">
        <f>G50-175-218</f>
        <v>372.56000000000006</v>
      </c>
      <c r="I51" s="365"/>
      <c r="J51" s="365"/>
      <c r="L51"/>
      <c r="M51"/>
    </row>
    <row r="52" spans="2:14">
      <c r="D52">
        <v>175</v>
      </c>
      <c r="E52" t="s">
        <v>962</v>
      </c>
      <c r="H52" s="212"/>
      <c r="I52" s="278"/>
      <c r="J52" s="278">
        <f>29.99+14.99+14.99+12.99+16.99+12.99</f>
        <v>102.93999999999998</v>
      </c>
      <c r="K52" s="212"/>
      <c r="L52" s="212"/>
      <c r="M52" s="212"/>
      <c r="N52" s="279"/>
    </row>
    <row r="53" spans="2:14">
      <c r="E53"/>
      <c r="H53" s="258"/>
      <c r="I53" s="365"/>
      <c r="J53" s="365"/>
      <c r="K53" s="38"/>
      <c r="L53" s="56"/>
      <c r="M53" s="56"/>
      <c r="N53" s="280"/>
    </row>
    <row r="54" spans="2:14" ht="14.4">
      <c r="E54"/>
      <c r="K54">
        <f>95+40</f>
        <v>135</v>
      </c>
    </row>
    <row r="55" spans="2:14" ht="14.4">
      <c r="E55"/>
    </row>
    <row r="56" spans="2:14">
      <c r="E56" s="365">
        <f>400+400+300+400</f>
        <v>1500</v>
      </c>
      <c r="I56" s="378"/>
      <c r="J56" s="378"/>
      <c r="L56" s="275"/>
      <c r="M56" s="275"/>
    </row>
    <row r="57" spans="2:14">
      <c r="B57" s="11"/>
      <c r="E57" s="365"/>
    </row>
    <row r="58" spans="2:14" ht="14.4">
      <c r="B58" s="11"/>
      <c r="D58" s="726" t="s">
        <v>963</v>
      </c>
      <c r="E58" s="726"/>
      <c r="F58" s="726"/>
      <c r="G58" s="726"/>
      <c r="H58" s="726"/>
      <c r="I58" s="726" t="s">
        <v>964</v>
      </c>
      <c r="J58" s="726"/>
      <c r="K58" s="726"/>
      <c r="L58" s="726"/>
      <c r="M58" s="726"/>
    </row>
    <row r="59" spans="2:14">
      <c r="D59" t="s">
        <v>866</v>
      </c>
      <c r="E59">
        <f>7717.96-1050</f>
        <v>6667.96</v>
      </c>
      <c r="H59" t="s">
        <v>866</v>
      </c>
      <c r="I59">
        <f>7717.96-1050</f>
        <v>6667.96</v>
      </c>
      <c r="K59" s="278"/>
      <c r="L59" s="212"/>
      <c r="M59" s="212"/>
    </row>
    <row r="60" spans="2:14">
      <c r="B60" s="212"/>
      <c r="C60" s="212"/>
      <c r="D60" t="s">
        <v>965</v>
      </c>
      <c r="E60">
        <f>29377.18-1400+946.82</f>
        <v>28924</v>
      </c>
      <c r="H60" t="s">
        <v>965</v>
      </c>
      <c r="I60">
        <f>29377.18-1400+946.82</f>
        <v>28924</v>
      </c>
      <c r="K60" s="376"/>
      <c r="L60" s="214"/>
      <c r="M60" s="214"/>
    </row>
    <row r="61" spans="2:14">
      <c r="C61" s="56"/>
      <c r="E61">
        <f>SUM(E59:E60)</f>
        <v>35591.96</v>
      </c>
      <c r="I61">
        <v>45000</v>
      </c>
      <c r="K61" s="365"/>
      <c r="L61"/>
      <c r="M61"/>
    </row>
    <row r="62" spans="2:14">
      <c r="C62" s="56"/>
      <c r="E62">
        <f>E61*0.175</f>
        <v>6228.5929999999998</v>
      </c>
      <c r="F62">
        <f>E61*0.2</f>
        <v>7118.3919999999998</v>
      </c>
      <c r="I62">
        <f>I61*0.175</f>
        <v>7874.9999999999991</v>
      </c>
      <c r="J62">
        <f>I61*0.2</f>
        <v>9000</v>
      </c>
      <c r="K62" s="278"/>
      <c r="L62" s="212"/>
      <c r="M62" s="212"/>
    </row>
    <row r="63" spans="2:14">
      <c r="C63" s="56"/>
      <c r="E63">
        <f>E62*0.75</f>
        <v>4671.4447499999997</v>
      </c>
      <c r="F63">
        <f>F62*0.75</f>
        <v>5338.7939999999999</v>
      </c>
      <c r="I63">
        <f>I62*0.65</f>
        <v>5118.75</v>
      </c>
      <c r="J63">
        <f>J62*0.65</f>
        <v>5850</v>
      </c>
      <c r="K63" s="365"/>
      <c r="L63" s="56"/>
      <c r="M63" s="56"/>
    </row>
    <row r="64" spans="2:14">
      <c r="C64" s="56"/>
      <c r="E64">
        <f>E63*0.65</f>
        <v>3036.4390874999999</v>
      </c>
      <c r="F64">
        <f>F63*0.65</f>
        <v>3470.2161000000001</v>
      </c>
      <c r="K64" s="365"/>
      <c r="L64"/>
      <c r="M64"/>
    </row>
    <row r="65" spans="2:13">
      <c r="C65" s="56"/>
      <c r="E65"/>
      <c r="J65" s="212"/>
      <c r="K65" s="278"/>
      <c r="L65" s="212"/>
      <c r="M65" s="212"/>
    </row>
    <row r="66" spans="2:13">
      <c r="C66" s="56"/>
      <c r="E66" t="str">
        <f>"87 =&gt; "&amp;ROUND((87/3120.84)*100,2)</f>
        <v>87 =&gt; 2.79</v>
      </c>
      <c r="F66" t="str">
        <f>"114 =&gt; "&amp;ROUND((114/3414.39)*100,2)</f>
        <v>114 =&gt; 3.34</v>
      </c>
      <c r="J66" s="258"/>
      <c r="K66" s="365"/>
      <c r="L66" s="38"/>
      <c r="M66" s="56"/>
    </row>
    <row r="67" spans="2:13" ht="14.4">
      <c r="C67" s="56"/>
      <c r="E67" t="str">
        <f>"82 =&gt; "&amp;ROUND((82/3120.84)*100,2)</f>
        <v>82 =&gt; 2.63</v>
      </c>
      <c r="F67" t="str">
        <f>"99 =&gt; " &amp; ROUND((99/3414.39)*100,2)</f>
        <v>99 =&gt; 2.9</v>
      </c>
      <c r="L67"/>
    </row>
    <row r="68" spans="2:13" ht="14.4">
      <c r="C68" s="56"/>
      <c r="E68"/>
    </row>
    <row r="69" spans="2:13" ht="14.4">
      <c r="C69" s="56"/>
      <c r="E69"/>
    </row>
    <row r="70" spans="2:13" ht="14.4">
      <c r="C70" s="56"/>
      <c r="E70"/>
    </row>
    <row r="71" spans="2:13" ht="14.4">
      <c r="C71" s="56"/>
      <c r="E71"/>
    </row>
    <row r="72" spans="2:13">
      <c r="B72" t="s">
        <v>966</v>
      </c>
      <c r="E72" s="365"/>
    </row>
    <row r="73" spans="2:13" ht="14.4">
      <c r="B73" s="212" t="s">
        <v>967</v>
      </c>
      <c r="C73" s="294">
        <v>150</v>
      </c>
      <c r="D73" s="212"/>
      <c r="E73" s="212"/>
      <c r="F73" s="212"/>
    </row>
    <row r="74" spans="2:13" ht="14.4">
      <c r="B74" t="s">
        <v>968</v>
      </c>
      <c r="C74" s="56">
        <v>80</v>
      </c>
      <c r="D74" s="56"/>
      <c r="E74" s="56"/>
      <c r="F74" s="56"/>
    </row>
    <row r="75" spans="2:13" ht="14.4">
      <c r="B75" t="s">
        <v>969</v>
      </c>
      <c r="C75" s="56">
        <v>50</v>
      </c>
      <c r="D75" s="56"/>
      <c r="E75" s="56"/>
      <c r="F75" s="56"/>
    </row>
    <row r="76" spans="2:13" ht="14.4">
      <c r="B76" t="s">
        <v>970</v>
      </c>
      <c r="C76" s="56">
        <v>60</v>
      </c>
      <c r="D76" s="56"/>
      <c r="E76" s="56"/>
      <c r="F76" s="56"/>
    </row>
    <row r="77" spans="2:13" ht="14.4">
      <c r="B77" t="s">
        <v>971</v>
      </c>
      <c r="C77" s="56">
        <v>250</v>
      </c>
      <c r="D77" s="56"/>
      <c r="E77" s="56"/>
      <c r="F77" s="56"/>
    </row>
    <row r="78" spans="2:13" ht="14.4">
      <c r="C78" s="56">
        <f>SUM(C73:C77)</f>
        <v>590</v>
      </c>
      <c r="D78" s="56"/>
      <c r="E78" s="56"/>
      <c r="F78" s="56"/>
    </row>
    <row r="79" spans="2:13" ht="14.4">
      <c r="C79" s="56"/>
      <c r="E79" s="56"/>
    </row>
    <row r="81" spans="5:6" ht="14.4">
      <c r="E81" s="212"/>
      <c r="F81" s="212"/>
    </row>
    <row r="82" spans="5:6" ht="14.4">
      <c r="E82" s="56"/>
      <c r="F82" s="56"/>
    </row>
    <row r="83" spans="5:6" ht="14.4">
      <c r="E83" s="56"/>
      <c r="F83" s="56"/>
    </row>
    <row r="84" spans="5:6" ht="14.4">
      <c r="E84" s="56"/>
      <c r="F84" s="56"/>
    </row>
    <row r="85" spans="5:6" ht="14.4">
      <c r="E85" s="56"/>
      <c r="F85" s="56"/>
    </row>
    <row r="86" spans="5:6" ht="14.4">
      <c r="E86" s="56"/>
      <c r="F86" s="56"/>
    </row>
    <row r="87" spans="5:6" ht="14.4">
      <c r="E87" s="56"/>
    </row>
    <row r="89" spans="5:6" ht="14.4">
      <c r="E89" s="212"/>
      <c r="F89" s="212"/>
    </row>
    <row r="90" spans="5:6" ht="14.4">
      <c r="E90" s="56"/>
      <c r="F90" s="56"/>
    </row>
    <row r="91" spans="5:6" ht="14.4">
      <c r="E91" s="56"/>
      <c r="F91" s="56"/>
    </row>
    <row r="92" spans="5:6" ht="14.4">
      <c r="E92" s="56"/>
      <c r="F92" s="56"/>
    </row>
    <row r="93" spans="5:6" ht="14.4">
      <c r="E93" s="56"/>
      <c r="F93" s="56"/>
    </row>
    <row r="94" spans="5:6" ht="14.4">
      <c r="E94" s="56"/>
      <c r="F94" s="56"/>
    </row>
    <row r="95" spans="5:6" ht="14.4">
      <c r="E95" s="56"/>
    </row>
  </sheetData>
  <mergeCells count="23">
    <mergeCell ref="D58:H58"/>
    <mergeCell ref="I58:M58"/>
    <mergeCell ref="B27:C28"/>
    <mergeCell ref="B1:L1"/>
    <mergeCell ref="B4:E4"/>
    <mergeCell ref="B5:C5"/>
    <mergeCell ref="D5:E5"/>
    <mergeCell ref="B6:B20"/>
    <mergeCell ref="C6:C20"/>
    <mergeCell ref="B22:E22"/>
    <mergeCell ref="B23:C23"/>
    <mergeCell ref="D23:E23"/>
    <mergeCell ref="B24:B26"/>
    <mergeCell ref="C24:C26"/>
    <mergeCell ref="B46:C46"/>
    <mergeCell ref="B45:F45"/>
    <mergeCell ref="H45:L45"/>
    <mergeCell ref="B32:E32"/>
    <mergeCell ref="B33:C33"/>
    <mergeCell ref="D33:E33"/>
    <mergeCell ref="B34:B40"/>
    <mergeCell ref="C34:C40"/>
    <mergeCell ref="B43:D43"/>
  </mergeCells>
  <pageMargins left="0.7" right="0.7" top="0.75" bottom="0.75" header="0.3" footer="0.3"/>
  <pageSetup orientation="portrait" r:id="rId1"/>
  <legacy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E732-FF30-7141-8CC7-C9A99195FCFC}">
  <sheetPr codeName="Sheet74"/>
  <dimension ref="A1:R95"/>
  <sheetViews>
    <sheetView topLeftCell="B1" workbookViewId="0"/>
  </sheetViews>
  <sheetFormatPr defaultColWidth="10.33203125" defaultRowHeight="15.6" outlineLevelRow="1"/>
  <cols>
    <col min="1" max="1" width="15.44140625" hidden="1" customWidth="1"/>
    <col min="2" max="2" width="15.44140625" customWidth="1"/>
    <col min="3" max="3" width="21.109375" customWidth="1"/>
    <col min="4" max="4" width="36.44140625" customWidth="1"/>
    <col min="5" max="5" width="23" style="267" customWidth="1"/>
    <col min="6" max="10" width="22.44140625" customWidth="1"/>
    <col min="11" max="11" width="21.6640625" customWidth="1"/>
    <col min="12" max="13" width="22.44140625" style="7" customWidth="1"/>
    <col min="14" max="14" width="19.44140625" customWidth="1"/>
    <col min="18" max="18" width="16.109375" customWidth="1"/>
  </cols>
  <sheetData>
    <row r="1" spans="1:18" ht="25.5" customHeight="1">
      <c r="A1" t="str">
        <f ca="1">UPPER(TEXT((1&amp;LEFT(B$1,3))-1,"MMM"))&amp;"-"&amp;UPPER(TEXT((1&amp;RIGHT(LEFT(B$1,7),3))-1,"MMM"))&amp;" "&amp;RIGHT(B$1,4)</f>
        <v>DEC-JAN 2020</v>
      </c>
      <c r="B1" s="730" t="str">
        <f ca="1">MID(CELL("filename",B1),FIND("]",CELL("filename",B1))+1,255)</f>
        <v>JAN-FEB 2020</v>
      </c>
      <c r="C1" s="731"/>
      <c r="D1" s="731"/>
      <c r="E1" s="731"/>
      <c r="F1" s="731"/>
      <c r="G1" s="731"/>
      <c r="H1" s="731"/>
      <c r="I1" s="731"/>
      <c r="J1" s="731"/>
      <c r="K1" s="731"/>
      <c r="L1" s="731"/>
      <c r="M1" s="298"/>
      <c r="N1" s="281"/>
      <c r="O1" s="272"/>
      <c r="P1" s="272"/>
      <c r="Q1" s="272"/>
    </row>
    <row r="2" spans="1:18">
      <c r="B2" s="118"/>
      <c r="C2" s="118"/>
      <c r="D2">
        <f>1810.29-650</f>
        <v>1160.29</v>
      </c>
      <c r="E2" s="365"/>
      <c r="F2" t="s">
        <v>798</v>
      </c>
      <c r="G2" t="s">
        <v>799</v>
      </c>
      <c r="H2" t="s">
        <v>800</v>
      </c>
      <c r="I2" t="s">
        <v>801</v>
      </c>
      <c r="J2" t="s">
        <v>886</v>
      </c>
      <c r="K2" t="s">
        <v>802</v>
      </c>
      <c r="L2" s="273" t="s">
        <v>10</v>
      </c>
      <c r="M2" s="273"/>
      <c r="N2" s="283" t="s">
        <v>803</v>
      </c>
    </row>
    <row r="3" spans="1:18">
      <c r="B3" s="118"/>
      <c r="C3" s="118"/>
      <c r="E3" s="365"/>
      <c r="F3" s="42">
        <v>43854</v>
      </c>
      <c r="G3" s="42">
        <f>F3+7</f>
        <v>43861</v>
      </c>
      <c r="H3" s="42">
        <f t="shared" ref="H3:J3" si="0">G3+7</f>
        <v>43868</v>
      </c>
      <c r="I3" s="42">
        <f t="shared" si="0"/>
        <v>43875</v>
      </c>
      <c r="J3" s="42">
        <f t="shared" si="0"/>
        <v>43882</v>
      </c>
      <c r="K3" s="243">
        <f>SUM(K4:K40)</f>
        <v>205.3</v>
      </c>
      <c r="L3" s="273"/>
      <c r="M3" s="273"/>
      <c r="N3" s="282"/>
    </row>
    <row r="4" spans="1:18" ht="15" customHeight="1">
      <c r="B4" s="727" t="s">
        <v>804</v>
      </c>
      <c r="C4" s="727"/>
      <c r="D4" s="727"/>
      <c r="E4" s="727"/>
      <c r="F4" s="42"/>
      <c r="L4" s="273"/>
      <c r="M4" s="273"/>
      <c r="N4" s="282"/>
    </row>
    <row r="5" spans="1:18" ht="15" customHeight="1">
      <c r="B5" s="733" t="str">
        <f>IF(D5&gt;E$43*0.5,ROUND(D5-E$43*0.5,2) &amp; " Over",ROUND(E$43*0.5-D5,2) &amp; " Under")</f>
        <v>2165.13 Under</v>
      </c>
      <c r="C5" s="733"/>
      <c r="D5" s="761">
        <f>SUM(E6:E20)</f>
        <v>2041.5600000000002</v>
      </c>
      <c r="E5" s="761"/>
      <c r="F5" s="302">
        <f ca="1">IF(TODAY()&gt;F3+7,(($E$6/4-F6))+(($E$7/4)-F7),0)</f>
        <v>8.8399999999999892</v>
      </c>
      <c r="G5" s="302">
        <f ca="1">IF(TODAY()&gt;G3+7,(($E$6/4-G6))+(($E$7/4)-G7),0)</f>
        <v>10.019999999999996</v>
      </c>
      <c r="H5" s="302">
        <f ca="1">IF(TODAY()&gt;H3+7,(($E$6/4-H6))+(($E$7/4)-H7),0)</f>
        <v>18.419999999999987</v>
      </c>
      <c r="I5" s="303">
        <f ca="1">IF(TODAY()&gt;I3+7,(($E$6/4-I6))+(($E$7/4)-I7),0)</f>
        <v>137.18</v>
      </c>
      <c r="J5" s="303">
        <f ca="1">IF(TODAY()&gt;J3+4,(($E$6/4-J6))+(($E$7/4)-J7),0)</f>
        <v>190</v>
      </c>
      <c r="L5" s="285">
        <f>SUMIF(L6:L20,"&gt;0")</f>
        <v>140.41</v>
      </c>
      <c r="M5" s="285" t="s">
        <v>892</v>
      </c>
      <c r="N5" s="282">
        <f>SUM(N6:N20)</f>
        <v>33.440000000000062</v>
      </c>
    </row>
    <row r="6" spans="1:18" ht="15" customHeight="1">
      <c r="B6" s="734" t="str">
        <f>"50%: " &amp; E$43*0.5</f>
        <v>50%: 4206.685</v>
      </c>
      <c r="C6" s="734" t="str">
        <f>ROUND((D5/E$43)*100,2) &amp; "%: " &amp;D5</f>
        <v>24.27%: 2041.56</v>
      </c>
      <c r="D6" s="13" t="s">
        <v>805</v>
      </c>
      <c r="E6" s="374">
        <v>500</v>
      </c>
      <c r="F6" s="254">
        <f>29.54+30+8.9+2.5+8.9+3+4.5+25.28</f>
        <v>112.62</v>
      </c>
      <c r="G6" s="254">
        <f>31.8+35+15+20</f>
        <v>101.8</v>
      </c>
      <c r="H6" s="254">
        <f>50+8.9+31.8</f>
        <v>90.7</v>
      </c>
      <c r="I6">
        <f>20</f>
        <v>20</v>
      </c>
      <c r="K6">
        <f>50+21.5</f>
        <v>71.5</v>
      </c>
      <c r="L6" s="274">
        <f>E6-F6-G6-H6-I6-K6-J6</f>
        <v>103.38</v>
      </c>
      <c r="M6" s="274" t="str">
        <f t="shared" ref="M6:M20" si="1">D6</f>
        <v>Car Petrol / commuting</v>
      </c>
      <c r="N6" s="282">
        <f t="shared" ref="N6:N20" si="2">IF(L6&lt;0,L6*-1,0)</f>
        <v>0</v>
      </c>
    </row>
    <row r="7" spans="1:18" ht="15" customHeight="1">
      <c r="B7" s="734"/>
      <c r="C7" s="734"/>
      <c r="D7" s="13" t="s">
        <v>169</v>
      </c>
      <c r="E7" s="365">
        <v>260</v>
      </c>
      <c r="F7" s="301">
        <f>4.18+20+14.55+21.26+8.55</f>
        <v>68.540000000000006</v>
      </c>
      <c r="G7" s="301">
        <f>1.98+5.6+6+51.21+13.39</f>
        <v>78.180000000000007</v>
      </c>
      <c r="H7" s="301">
        <f>0.58+30.19+2.98+46.18+0.95</f>
        <v>80.88000000000001</v>
      </c>
      <c r="I7">
        <f>3.99+21.68+2.65+4.5</f>
        <v>32.82</v>
      </c>
      <c r="K7">
        <f>24.29+8.73</f>
        <v>33.019999999999996</v>
      </c>
      <c r="L7" s="274">
        <f t="shared" ref="L7:L20" si="3">E7-F7-G7-H7-I7-K7-J7</f>
        <v>-33.440000000000033</v>
      </c>
      <c r="M7" s="274" t="str">
        <f t="shared" si="1"/>
        <v>Food</v>
      </c>
      <c r="N7" s="282">
        <f t="shared" si="2"/>
        <v>33.440000000000033</v>
      </c>
    </row>
    <row r="8" spans="1:18" ht="15" customHeight="1">
      <c r="B8" s="734"/>
      <c r="C8" s="734"/>
      <c r="D8" s="13" t="s">
        <v>919</v>
      </c>
      <c r="E8" s="365">
        <v>40</v>
      </c>
      <c r="F8">
        <v>20.99</v>
      </c>
      <c r="K8">
        <f>(32.07-20)</f>
        <v>12.07</v>
      </c>
      <c r="L8" s="274">
        <f t="shared" si="3"/>
        <v>6.9400000000000013</v>
      </c>
      <c r="M8" s="274" t="str">
        <f t="shared" si="1"/>
        <v>Bun</v>
      </c>
      <c r="N8" s="282">
        <f t="shared" si="2"/>
        <v>0</v>
      </c>
    </row>
    <row r="9" spans="1:18" ht="15" customHeight="1" outlineLevel="1">
      <c r="B9" s="734"/>
      <c r="C9" s="734"/>
      <c r="D9" s="201" t="s">
        <v>595</v>
      </c>
      <c r="E9" s="365">
        <v>452.64</v>
      </c>
      <c r="I9">
        <v>452.64</v>
      </c>
      <c r="L9" s="274">
        <f t="shared" si="3"/>
        <v>0</v>
      </c>
      <c r="M9" s="274" t="str">
        <f t="shared" si="1"/>
        <v>Mortgage</v>
      </c>
      <c r="N9" s="282">
        <f t="shared" si="2"/>
        <v>0</v>
      </c>
      <c r="Q9" s="242"/>
      <c r="R9" s="242"/>
    </row>
    <row r="10" spans="1:18" ht="15" customHeight="1" outlineLevel="1">
      <c r="B10" s="734"/>
      <c r="C10" s="734"/>
      <c r="D10" s="201" t="s">
        <v>596</v>
      </c>
      <c r="E10" s="365">
        <v>123</v>
      </c>
      <c r="I10">
        <v>123</v>
      </c>
      <c r="L10" s="274">
        <f t="shared" si="3"/>
        <v>0</v>
      </c>
      <c r="M10" s="274" t="str">
        <f t="shared" si="1"/>
        <v>Council tax</v>
      </c>
      <c r="N10" s="282">
        <f t="shared" si="2"/>
        <v>0</v>
      </c>
      <c r="Q10" s="242"/>
      <c r="R10" s="242"/>
    </row>
    <row r="11" spans="1:18" ht="15" customHeight="1" outlineLevel="1">
      <c r="B11" s="734"/>
      <c r="C11" s="734"/>
      <c r="D11" s="201" t="s">
        <v>785</v>
      </c>
      <c r="E11" s="365">
        <f>17+40+12.96</f>
        <v>69.960000000000008</v>
      </c>
      <c r="I11">
        <v>39.869999999999997</v>
      </c>
      <c r="L11" s="274">
        <f t="shared" si="3"/>
        <v>30.090000000000011</v>
      </c>
      <c r="M11" s="274" t="str">
        <f t="shared" si="1"/>
        <v>Utilities (G,W,E,TV)</v>
      </c>
      <c r="N11" s="282">
        <f t="shared" si="2"/>
        <v>0</v>
      </c>
    </row>
    <row r="12" spans="1:18" ht="15" customHeight="1" outlineLevel="1">
      <c r="B12" s="734"/>
      <c r="C12" s="734"/>
      <c r="D12" s="201" t="s">
        <v>894</v>
      </c>
      <c r="E12" s="365">
        <f>4.52+16.61+8.56+16.1+8-0.13</f>
        <v>53.66</v>
      </c>
      <c r="I12">
        <f>8+16.61+29.05</f>
        <v>53.66</v>
      </c>
      <c r="L12" s="274">
        <f t="shared" si="3"/>
        <v>0</v>
      </c>
      <c r="M12" s="274" t="str">
        <f t="shared" si="1"/>
        <v>Insurances</v>
      </c>
      <c r="N12" s="282">
        <f t="shared" si="2"/>
        <v>0</v>
      </c>
    </row>
    <row r="13" spans="1:18" ht="15" customHeight="1" outlineLevel="1">
      <c r="B13" s="734"/>
      <c r="C13" s="734"/>
      <c r="D13" s="201" t="s">
        <v>602</v>
      </c>
      <c r="E13" s="365">
        <v>39.99</v>
      </c>
      <c r="I13">
        <v>39.99</v>
      </c>
      <c r="L13" s="274">
        <f t="shared" si="3"/>
        <v>0</v>
      </c>
      <c r="M13" s="274" t="str">
        <f t="shared" si="1"/>
        <v>Broadband / TV</v>
      </c>
      <c r="N13" s="282">
        <f t="shared" si="2"/>
        <v>0</v>
      </c>
      <c r="Q13" s="242"/>
      <c r="R13" s="242"/>
    </row>
    <row r="14" spans="1:18" ht="15" customHeight="1" outlineLevel="1">
      <c r="B14" s="734"/>
      <c r="C14" s="734"/>
      <c r="D14" s="201" t="s">
        <v>582</v>
      </c>
      <c r="E14" s="365">
        <v>7.99</v>
      </c>
      <c r="G14">
        <v>7.99</v>
      </c>
      <c r="L14" s="274">
        <f t="shared" si="3"/>
        <v>0</v>
      </c>
      <c r="M14" s="274" t="str">
        <f t="shared" si="1"/>
        <v>Onedrive (6th)</v>
      </c>
      <c r="N14" s="282">
        <f t="shared" si="2"/>
        <v>0</v>
      </c>
    </row>
    <row r="15" spans="1:18" ht="15" customHeight="1" outlineLevel="1">
      <c r="B15" s="734"/>
      <c r="C15" s="734"/>
      <c r="D15" s="201" t="s">
        <v>788</v>
      </c>
      <c r="E15" s="365">
        <v>10.01</v>
      </c>
      <c r="G15">
        <v>10.01</v>
      </c>
      <c r="L15" s="274">
        <f t="shared" si="3"/>
        <v>0</v>
      </c>
      <c r="M15" s="274" t="str">
        <f t="shared" si="1"/>
        <v>Matt Phone</v>
      </c>
      <c r="N15" s="282">
        <f t="shared" si="2"/>
        <v>0</v>
      </c>
    </row>
    <row r="16" spans="1:18" ht="15" customHeight="1" outlineLevel="1">
      <c r="B16" s="734"/>
      <c r="C16" s="734"/>
      <c r="D16" s="201" t="s">
        <v>668</v>
      </c>
      <c r="E16" s="365">
        <v>28.43</v>
      </c>
      <c r="G16">
        <v>28.43</v>
      </c>
      <c r="L16" s="274">
        <f t="shared" si="3"/>
        <v>0</v>
      </c>
      <c r="M16" s="274" t="str">
        <f t="shared" si="1"/>
        <v>M -Tax</v>
      </c>
      <c r="N16" s="282">
        <f t="shared" si="2"/>
        <v>0</v>
      </c>
    </row>
    <row r="17" spans="2:14" ht="15" customHeight="1" outlineLevel="1">
      <c r="B17" s="734"/>
      <c r="C17" s="734"/>
      <c r="D17" s="201" t="s">
        <v>670</v>
      </c>
      <c r="E17" s="365">
        <f>65.87</f>
        <v>65.87</v>
      </c>
      <c r="F17">
        <v>65.87</v>
      </c>
      <c r="L17" s="274">
        <f t="shared" si="3"/>
        <v>0</v>
      </c>
      <c r="M17" s="274" t="str">
        <f t="shared" si="1"/>
        <v>M - Insurance</v>
      </c>
      <c r="N17" s="282">
        <f t="shared" si="2"/>
        <v>0</v>
      </c>
    </row>
    <row r="18" spans="2:14" ht="15" customHeight="1" outlineLevel="1">
      <c r="B18" s="734"/>
      <c r="C18" s="734"/>
      <c r="D18" s="293" t="s">
        <v>920</v>
      </c>
      <c r="E18" s="277">
        <f>179.07+104.97</f>
        <v>284.03999999999996</v>
      </c>
      <c r="H18">
        <v>104.97</v>
      </c>
      <c r="I18">
        <v>179.07</v>
      </c>
      <c r="L18" s="274">
        <f t="shared" si="3"/>
        <v>-2.8421709430404007E-14</v>
      </c>
      <c r="M18" s="274" t="str">
        <f t="shared" si="1"/>
        <v>Finance</v>
      </c>
      <c r="N18" s="282">
        <f>IF(L18&lt;0,L18*-1,0)</f>
        <v>2.8421709430404007E-14</v>
      </c>
    </row>
    <row r="19" spans="2:14" ht="15" customHeight="1" outlineLevel="1">
      <c r="B19" s="734"/>
      <c r="C19" s="734"/>
      <c r="D19" s="201" t="s">
        <v>672</v>
      </c>
      <c r="E19" s="365">
        <v>12.25</v>
      </c>
      <c r="G19">
        <v>12.25</v>
      </c>
      <c r="L19" s="274">
        <f t="shared" si="3"/>
        <v>0</v>
      </c>
      <c r="M19" s="274" t="str">
        <f t="shared" si="1"/>
        <v>K - Tax</v>
      </c>
      <c r="N19" s="282">
        <f t="shared" si="2"/>
        <v>0</v>
      </c>
    </row>
    <row r="20" spans="2:14" ht="15" customHeight="1" outlineLevel="1">
      <c r="B20" s="734"/>
      <c r="C20" s="734"/>
      <c r="D20" s="201" t="s">
        <v>674</v>
      </c>
      <c r="E20" s="365">
        <v>93.72</v>
      </c>
      <c r="F20">
        <v>93.72</v>
      </c>
      <c r="L20" s="274">
        <f t="shared" si="3"/>
        <v>0</v>
      </c>
      <c r="M20" s="274" t="str">
        <f t="shared" si="1"/>
        <v>K - Insurance</v>
      </c>
      <c r="N20" s="282">
        <f t="shared" si="2"/>
        <v>0</v>
      </c>
    </row>
    <row r="21" spans="2:14" ht="15" customHeight="1">
      <c r="B21" s="118"/>
      <c r="C21" s="118"/>
      <c r="D21" s="188"/>
      <c r="E21" s="365"/>
      <c r="L21" s="273"/>
      <c r="M21" s="273"/>
      <c r="N21" s="282"/>
    </row>
    <row r="22" spans="2:14" ht="15" customHeight="1">
      <c r="B22" s="736" t="s">
        <v>808</v>
      </c>
      <c r="C22" s="736"/>
      <c r="D22" s="736"/>
      <c r="E22" s="736"/>
      <c r="L22" s="274"/>
      <c r="M22" s="274"/>
      <c r="N22" s="282"/>
    </row>
    <row r="23" spans="2:14" ht="15" customHeight="1">
      <c r="B23" s="727" t="str">
        <f>IF(ISNUMBER((SEARCH("Over",C$5))),"Operating under budget","Operating over budget")</f>
        <v>Operating over budget</v>
      </c>
      <c r="C23" s="727"/>
      <c r="D23" s="759">
        <f>SUM(E24:E28)</f>
        <v>2750</v>
      </c>
      <c r="E23" s="759"/>
      <c r="L23" s="285">
        <f>SUMIF(L24:L30,"&gt;0")</f>
        <v>2236.1099999999997</v>
      </c>
      <c r="M23" s="285" t="s">
        <v>895</v>
      </c>
      <c r="N23" s="282">
        <f>SUM(N25:N30)</f>
        <v>0</v>
      </c>
    </row>
    <row r="24" spans="2:14" ht="15" customHeight="1" outlineLevel="1">
      <c r="B24" s="734" t="str">
        <f>"20% : " &amp; E$43*0.2</f>
        <v>20% : 1682.674</v>
      </c>
      <c r="C24" s="734" t="str">
        <f>"20% : " &amp; E$43*0.2</f>
        <v>20% : 1682.674</v>
      </c>
      <c r="D24" s="300" t="s">
        <v>896</v>
      </c>
      <c r="E24" s="365">
        <f>50</f>
        <v>50</v>
      </c>
      <c r="F24">
        <f>9.98+28.1</f>
        <v>38.08</v>
      </c>
      <c r="G24">
        <f>14.56</f>
        <v>14.56</v>
      </c>
      <c r="L24" s="274">
        <f>E24-F24-G24-H24-I24-K24-J24-N33-N23-N5</f>
        <v>-54.080000000000062</v>
      </c>
      <c r="M24" s="274" t="str">
        <f t="shared" ref="M24:M30" si="4">D24</f>
        <v>Contingency 20%</v>
      </c>
      <c r="N24" s="282">
        <f>IF(L24&lt;0,L24*-1,0)</f>
        <v>54.080000000000062</v>
      </c>
    </row>
    <row r="25" spans="2:14" ht="15" customHeight="1" outlineLevel="1">
      <c r="B25" s="734"/>
      <c r="C25" s="734"/>
      <c r="D25" s="300" t="s">
        <v>897</v>
      </c>
      <c r="E25" s="365">
        <f>1524+26+1000</f>
        <v>2550</v>
      </c>
      <c r="F25">
        <v>26</v>
      </c>
      <c r="G25">
        <f>28+32.22+68.99+24+27.74+27.74</f>
        <v>208.69</v>
      </c>
      <c r="H25">
        <v>53.92</v>
      </c>
      <c r="K25">
        <f>35.67+27.04+6</f>
        <v>68.710000000000008</v>
      </c>
      <c r="L25" s="274">
        <f t="shared" ref="L25:L30" si="5">E25-F25-G25-H25-I25-K25-J25</f>
        <v>2192.6799999999998</v>
      </c>
      <c r="M25" s="274" t="str">
        <f t="shared" si="4"/>
        <v>Holiday Fund 60%</v>
      </c>
      <c r="N25" s="282">
        <f t="shared" ref="N25:N30" si="6">IF(L25&lt;0,L25*-1,0)</f>
        <v>0</v>
      </c>
    </row>
    <row r="26" spans="2:14" ht="15" customHeight="1" outlineLevel="1">
      <c r="B26" s="734"/>
      <c r="C26" s="734"/>
      <c r="D26" s="300" t="s">
        <v>811</v>
      </c>
      <c r="E26" s="365">
        <v>150</v>
      </c>
      <c r="F26">
        <v>50</v>
      </c>
      <c r="H26">
        <f>44.98+3.99</f>
        <v>48.97</v>
      </c>
      <c r="I26">
        <f>7.6</f>
        <v>7.6</v>
      </c>
      <c r="L26" s="274">
        <f t="shared" si="5"/>
        <v>43.43</v>
      </c>
      <c r="M26" s="274" t="str">
        <f t="shared" si="4"/>
        <v>Gift Fund 20%</v>
      </c>
      <c r="N26" s="282">
        <f t="shared" si="6"/>
        <v>0</v>
      </c>
    </row>
    <row r="27" spans="2:14" ht="15" customHeight="1" outlineLevel="1">
      <c r="B27" s="734" t="s">
        <v>130</v>
      </c>
      <c r="C27" s="734"/>
      <c r="D27" s="300" t="s">
        <v>812</v>
      </c>
      <c r="E27" s="365">
        <v>0</v>
      </c>
      <c r="L27" s="274">
        <f t="shared" si="5"/>
        <v>0</v>
      </c>
      <c r="M27" s="274" t="str">
        <f t="shared" si="4"/>
        <v>Wedding</v>
      </c>
      <c r="N27" s="282">
        <f t="shared" si="6"/>
        <v>0</v>
      </c>
    </row>
    <row r="28" spans="2:14" ht="15" customHeight="1" outlineLevel="1">
      <c r="B28" s="734"/>
      <c r="C28" s="734"/>
      <c r="D28" s="300" t="s">
        <v>174</v>
      </c>
      <c r="E28" s="365">
        <v>0</v>
      </c>
      <c r="F28" s="11"/>
      <c r="L28" s="274">
        <f t="shared" si="5"/>
        <v>0</v>
      </c>
      <c r="M28" s="274" t="str">
        <f t="shared" si="4"/>
        <v>House</v>
      </c>
      <c r="N28" s="282">
        <f t="shared" si="6"/>
        <v>0</v>
      </c>
    </row>
    <row r="29" spans="2:14" ht="15" customHeight="1" outlineLevel="1">
      <c r="B29" s="7"/>
      <c r="C29" s="7"/>
      <c r="D29" s="300" t="s">
        <v>953</v>
      </c>
      <c r="E29" s="365">
        <v>0</v>
      </c>
      <c r="F29" s="11"/>
      <c r="L29" s="274">
        <f t="shared" si="5"/>
        <v>0</v>
      </c>
      <c r="M29" s="274" t="str">
        <f t="shared" si="4"/>
        <v>Cars (Service / MOT) £45</v>
      </c>
      <c r="N29" s="282">
        <f t="shared" si="6"/>
        <v>0</v>
      </c>
    </row>
    <row r="30" spans="2:14" ht="15" customHeight="1" outlineLevel="1">
      <c r="B30" s="7"/>
      <c r="C30" s="7"/>
      <c r="D30" s="300" t="s">
        <v>814</v>
      </c>
      <c r="E30" s="365">
        <f>447.03-33+1185.91+1000-4.98</f>
        <v>2594.96</v>
      </c>
      <c r="F30" s="11"/>
      <c r="G30">
        <v>150</v>
      </c>
      <c r="H30">
        <f>500+1944.96</f>
        <v>2444.96</v>
      </c>
      <c r="L30" s="274">
        <f t="shared" si="5"/>
        <v>0</v>
      </c>
      <c r="M30" s="274" t="str">
        <f t="shared" si="4"/>
        <v>CC</v>
      </c>
      <c r="N30" s="282">
        <f t="shared" si="6"/>
        <v>0</v>
      </c>
    </row>
    <row r="31" spans="2:14" ht="15" customHeight="1">
      <c r="B31" s="118"/>
      <c r="C31" s="118"/>
      <c r="E31" s="365"/>
      <c r="L31" s="273"/>
      <c r="M31" s="273"/>
      <c r="N31" s="282"/>
    </row>
    <row r="32" spans="2:14" ht="15" customHeight="1">
      <c r="B32" s="727"/>
      <c r="C32" s="727"/>
      <c r="D32" s="727"/>
      <c r="E32" s="727"/>
      <c r="L32" s="273"/>
      <c r="M32" s="273"/>
      <c r="N32" s="282"/>
    </row>
    <row r="33" spans="2:15" ht="15" customHeight="1">
      <c r="B33" s="727" t="str">
        <f>IF(ISNUMBER((SEARCH("Over",B$5))),"Operating under budget","Operating over budget")</f>
        <v>Operating over budget</v>
      </c>
      <c r="C33" s="727"/>
      <c r="D33" s="759">
        <f>(E$43-D5-D23)</f>
        <v>3621.8099999999986</v>
      </c>
      <c r="E33" s="727"/>
      <c r="L33" s="285">
        <f>SUMIF(L34:L39,"&gt;0")</f>
        <v>13</v>
      </c>
      <c r="M33" s="285" t="s">
        <v>899</v>
      </c>
      <c r="N33" s="282">
        <f>SUM(N34:N39)</f>
        <v>18</v>
      </c>
    </row>
    <row r="34" spans="2:15" ht="18" outlineLevel="1">
      <c r="B34" s="734"/>
      <c r="C34" s="760"/>
      <c r="D34" s="13" t="s">
        <v>954</v>
      </c>
      <c r="E34" s="365">
        <v>13</v>
      </c>
      <c r="L34" s="274">
        <f>E34-F34-G34-H34-I34-K34-J34</f>
        <v>13</v>
      </c>
      <c r="M34" s="274" t="str">
        <f t="shared" ref="M34:M41" si="7">D34</f>
        <v>Haircut</v>
      </c>
      <c r="N34" s="282">
        <f t="shared" ref="N34:N38" si="8">IF(L34&lt;0,L34*-1,0)</f>
        <v>0</v>
      </c>
    </row>
    <row r="35" spans="2:15" ht="18" outlineLevel="1">
      <c r="B35" s="734"/>
      <c r="C35" s="760"/>
      <c r="D35" s="13" t="s">
        <v>972</v>
      </c>
      <c r="E35" s="365">
        <v>0</v>
      </c>
      <c r="L35" s="274">
        <f t="shared" ref="L35:L38" si="9">E35-F35-G35-H35-I35-K35-J35</f>
        <v>0</v>
      </c>
      <c r="M35" s="274" t="str">
        <f t="shared" si="7"/>
        <v>Climbing</v>
      </c>
      <c r="N35" s="282">
        <f t="shared" si="8"/>
        <v>0</v>
      </c>
    </row>
    <row r="36" spans="2:15" ht="18" outlineLevel="1">
      <c r="B36" s="734"/>
      <c r="C36" s="760"/>
      <c r="D36" s="13" t="s">
        <v>943</v>
      </c>
      <c r="E36" s="365">
        <v>10</v>
      </c>
      <c r="H36">
        <v>10</v>
      </c>
      <c r="L36" s="274">
        <f t="shared" si="9"/>
        <v>0</v>
      </c>
      <c r="M36" s="274" t="str">
        <f t="shared" si="7"/>
        <v>Car wash</v>
      </c>
      <c r="N36" s="282">
        <f t="shared" si="8"/>
        <v>0</v>
      </c>
    </row>
    <row r="37" spans="2:15" ht="18" outlineLevel="1">
      <c r="B37" s="734"/>
      <c r="C37" s="760"/>
      <c r="D37" s="13" t="s">
        <v>944</v>
      </c>
      <c r="E37" s="365">
        <v>30</v>
      </c>
      <c r="G37">
        <v>30</v>
      </c>
      <c r="L37" s="274">
        <f t="shared" si="9"/>
        <v>0</v>
      </c>
      <c r="M37" s="274" t="str">
        <f t="shared" si="7"/>
        <v>Windows</v>
      </c>
      <c r="N37" s="282">
        <f t="shared" si="8"/>
        <v>0</v>
      </c>
    </row>
    <row r="38" spans="2:15" ht="18" outlineLevel="1">
      <c r="B38" s="734"/>
      <c r="C38" s="760"/>
      <c r="D38" s="13" t="s">
        <v>177</v>
      </c>
      <c r="E38" s="365">
        <f>25-18</f>
        <v>7</v>
      </c>
      <c r="I38">
        <v>25</v>
      </c>
      <c r="L38" s="274">
        <f t="shared" si="9"/>
        <v>-18</v>
      </c>
      <c r="M38" s="274" t="str">
        <f t="shared" si="7"/>
        <v>Gym</v>
      </c>
      <c r="N38" s="282">
        <f t="shared" si="8"/>
        <v>18</v>
      </c>
    </row>
    <row r="39" spans="2:15" ht="15.75" customHeight="1" outlineLevel="1">
      <c r="B39" s="734"/>
      <c r="C39" s="760"/>
      <c r="D39" s="13" t="s">
        <v>781</v>
      </c>
      <c r="E39" s="365">
        <f>23+7.99</f>
        <v>30.990000000000002</v>
      </c>
      <c r="G39">
        <f>13</f>
        <v>13</v>
      </c>
      <c r="H39">
        <f>7.99+10</f>
        <v>17.990000000000002</v>
      </c>
      <c r="L39" s="274">
        <f>E39-F39-G39-H39-I39-K39-J39</f>
        <v>0</v>
      </c>
      <c r="M39" s="274" t="str">
        <f t="shared" si="7"/>
        <v>Subscriptions</v>
      </c>
      <c r="N39" s="282">
        <f>IF(L39&lt;0,L39*-1,0)</f>
        <v>0</v>
      </c>
    </row>
    <row r="40" spans="2:15" ht="18" outlineLevel="1">
      <c r="B40" s="734"/>
      <c r="C40" s="760"/>
      <c r="D40" s="13" t="s">
        <v>922</v>
      </c>
      <c r="E40" s="365">
        <f ca="1">(D33-SUM(E34:E39))-E30-E41-N24+SUM(F5:J5)</f>
        <v>746.23999999999864</v>
      </c>
      <c r="F40">
        <f>9.2+20+69.97+7.99+(115-50)+19.1+11.99</f>
        <v>203.25</v>
      </c>
      <c r="G40">
        <f>5.99+2+20+19.99+3</f>
        <v>50.980000000000004</v>
      </c>
      <c r="H40">
        <f>11+25.67+9.3+50+14+33</f>
        <v>142.97</v>
      </c>
      <c r="I40">
        <f>45+1.5</f>
        <v>46.5</v>
      </c>
      <c r="K40">
        <f>(32.07-K8)</f>
        <v>20</v>
      </c>
      <c r="L40" s="274">
        <f ca="1">E40-F40-G40-H40-I40-K40-J40</f>
        <v>282.5399999999986</v>
      </c>
      <c r="M40" s="274" t="str">
        <f t="shared" si="7"/>
        <v>Matt Fun</v>
      </c>
      <c r="N40" s="271"/>
    </row>
    <row r="41" spans="2:15" ht="18" outlineLevel="1">
      <c r="B41" s="7"/>
      <c r="C41" s="284"/>
      <c r="D41" s="13" t="s">
        <v>152</v>
      </c>
      <c r="E41" s="365">
        <v>500</v>
      </c>
      <c r="F41">
        <v>500</v>
      </c>
      <c r="L41" s="274">
        <f>E41-F41-G41-H41-I41-K41-J41</f>
        <v>0</v>
      </c>
      <c r="M41" s="274" t="str">
        <f t="shared" si="7"/>
        <v>Kris</v>
      </c>
      <c r="N41" s="271"/>
    </row>
    <row r="42" spans="2:15">
      <c r="B42" s="118"/>
      <c r="C42" s="118"/>
      <c r="E42" s="365"/>
      <c r="L42" s="273"/>
      <c r="M42" s="273"/>
      <c r="N42" s="282"/>
    </row>
    <row r="43" spans="2:15" ht="18">
      <c r="B43" s="728" t="s">
        <v>817</v>
      </c>
      <c r="C43" s="728"/>
      <c r="D43" s="728"/>
      <c r="E43" s="375">
        <f>F43+G43+H43+I43+K43</f>
        <v>8413.369999999999</v>
      </c>
      <c r="F43" s="271">
        <f>2213.44+1347.03+8+1570</f>
        <v>5138.47</v>
      </c>
      <c r="G43" s="271">
        <f>29.99+26+9</f>
        <v>64.989999999999995</v>
      </c>
      <c r="H43" s="271">
        <f>24+3185.91</f>
        <v>3209.91</v>
      </c>
      <c r="I43" s="271"/>
      <c r="J43" s="271"/>
      <c r="K43" s="271"/>
      <c r="L43" s="285" t="str">
        <f ca="1">"£" &amp; L5+L33+L23+K3+L40+L41-SUM(F5:J5) &amp; " / " &amp; "£" &amp; E43</f>
        <v>£2512.9 / £8413.37</v>
      </c>
      <c r="M43" s="274"/>
      <c r="N43" s="282"/>
    </row>
    <row r="44" spans="2:15">
      <c r="B44" s="118"/>
      <c r="C44" s="7"/>
      <c r="E44" s="365"/>
    </row>
    <row r="45" spans="2:15" ht="14.4">
      <c r="B45" s="729"/>
      <c r="C45" s="729"/>
      <c r="D45" s="729"/>
      <c r="E45" s="729"/>
      <c r="F45" s="729"/>
      <c r="H45" s="729"/>
      <c r="I45" s="729"/>
      <c r="J45" s="729"/>
      <c r="K45" s="729"/>
      <c r="L45" s="729"/>
      <c r="M45" s="297"/>
    </row>
    <row r="46" spans="2:15" ht="14.4">
      <c r="B46" s="763" t="s">
        <v>955</v>
      </c>
      <c r="C46" s="763"/>
      <c r="D46" s="763" t="s">
        <v>956</v>
      </c>
      <c r="E46" s="763"/>
      <c r="H46" s="212"/>
      <c r="L46" s="212"/>
    </row>
    <row r="47" spans="2:15">
      <c r="C47" s="261"/>
      <c r="E47"/>
      <c r="H47" s="214"/>
      <c r="L47" s="214"/>
      <c r="M47" s="376"/>
      <c r="O47" s="278"/>
    </row>
    <row r="48" spans="2:15">
      <c r="C48" s="261"/>
      <c r="E48"/>
      <c r="M48" s="11"/>
      <c r="O48" s="376"/>
    </row>
    <row r="49" spans="2:15" ht="14.4">
      <c r="C49" s="260"/>
      <c r="E49"/>
      <c r="H49" s="212"/>
      <c r="L49" s="56"/>
      <c r="M49" s="11"/>
      <c r="N49" s="11"/>
      <c r="O49" s="213"/>
    </row>
    <row r="50" spans="2:15">
      <c r="C50" s="260"/>
      <c r="E50"/>
      <c r="H50" s="56"/>
      <c r="J50" s="365"/>
      <c r="K50" s="11"/>
      <c r="L50"/>
      <c r="M50" s="365"/>
      <c r="N50" s="365"/>
      <c r="O50" s="56"/>
    </row>
    <row r="51" spans="2:15" ht="14.4">
      <c r="C51" s="260"/>
      <c r="E51"/>
      <c r="M51"/>
    </row>
    <row r="52" spans="2:15">
      <c r="C52" s="261"/>
      <c r="E52"/>
      <c r="H52" s="212"/>
      <c r="I52" s="278"/>
      <c r="J52" s="278"/>
      <c r="K52" s="212"/>
      <c r="L52" s="212"/>
      <c r="M52" s="212"/>
      <c r="N52" s="212"/>
    </row>
    <row r="53" spans="2:15">
      <c r="E53"/>
      <c r="H53" s="258"/>
      <c r="I53" s="365"/>
      <c r="J53" s="365"/>
      <c r="K53" s="38"/>
      <c r="L53" s="56"/>
      <c r="M53" s="56"/>
      <c r="N53" s="38"/>
    </row>
    <row r="54" spans="2:15" ht="14.4">
      <c r="E54"/>
      <c r="I54" s="11"/>
    </row>
    <row r="55" spans="2:15" ht="14.4">
      <c r="E55"/>
      <c r="I55" s="11"/>
    </row>
    <row r="56" spans="2:15">
      <c r="E56" s="365"/>
      <c r="I56" s="378"/>
      <c r="J56" s="378"/>
      <c r="L56" s="275"/>
      <c r="M56" s="275"/>
    </row>
    <row r="57" spans="2:15">
      <c r="B57" s="11"/>
      <c r="E57" s="365"/>
    </row>
    <row r="58" spans="2:15" ht="14.4">
      <c r="B58" s="11"/>
      <c r="D58" s="726"/>
      <c r="E58" s="726"/>
      <c r="F58" s="726"/>
      <c r="G58" s="726"/>
      <c r="H58" s="726"/>
      <c r="I58" s="726"/>
      <c r="J58" s="726"/>
      <c r="K58" s="726"/>
      <c r="L58" s="726"/>
      <c r="M58" s="726"/>
    </row>
    <row r="59" spans="2:15">
      <c r="E59"/>
      <c r="K59" s="278"/>
      <c r="L59" s="212"/>
      <c r="M59" s="212"/>
    </row>
    <row r="60" spans="2:15">
      <c r="B60" s="212"/>
      <c r="C60" s="212"/>
      <c r="E60"/>
      <c r="K60" s="376"/>
      <c r="L60" s="214"/>
      <c r="M60" s="214"/>
    </row>
    <row r="61" spans="2:15">
      <c r="C61" s="56"/>
      <c r="E61"/>
      <c r="K61" s="365"/>
      <c r="L61"/>
      <c r="M61"/>
    </row>
    <row r="62" spans="2:15">
      <c r="C62" s="56"/>
      <c r="E62"/>
      <c r="K62" s="278"/>
      <c r="L62" s="212"/>
      <c r="M62" s="212"/>
    </row>
    <row r="63" spans="2:15">
      <c r="C63" s="56"/>
      <c r="E63"/>
      <c r="K63" s="365"/>
      <c r="L63" s="56"/>
      <c r="M63" s="56"/>
    </row>
    <row r="64" spans="2:15">
      <c r="C64" s="56"/>
      <c r="E64"/>
      <c r="K64" s="365"/>
      <c r="L64"/>
      <c r="M64"/>
    </row>
    <row r="65" spans="2:13">
      <c r="C65" s="56"/>
      <c r="E65"/>
      <c r="J65" s="212"/>
      <c r="K65" s="278"/>
      <c r="L65" s="212"/>
      <c r="M65" s="212"/>
    </row>
    <row r="66" spans="2:13">
      <c r="C66" s="56"/>
      <c r="E66"/>
      <c r="J66" s="258"/>
      <c r="K66" s="365"/>
      <c r="L66" s="38"/>
      <c r="M66" s="56"/>
    </row>
    <row r="67" spans="2:13" ht="14.4">
      <c r="C67" s="56"/>
      <c r="E67"/>
      <c r="L67"/>
    </row>
    <row r="68" spans="2:13" ht="14.4">
      <c r="C68" s="56"/>
      <c r="E68"/>
    </row>
    <row r="69" spans="2:13" ht="14.4">
      <c r="C69" s="56"/>
      <c r="E69"/>
    </row>
    <row r="70" spans="2:13" ht="14.4">
      <c r="C70" s="56"/>
      <c r="E70"/>
    </row>
    <row r="71" spans="2:13" ht="14.4">
      <c r="C71" s="56"/>
      <c r="E71"/>
    </row>
    <row r="73" spans="2:13" ht="14.4">
      <c r="B73" s="212"/>
      <c r="C73" s="294"/>
      <c r="D73" s="212"/>
      <c r="E73" s="212"/>
      <c r="F73" s="212"/>
    </row>
    <row r="74" spans="2:13" ht="14.4">
      <c r="C74" s="56"/>
      <c r="D74" s="56"/>
      <c r="E74" s="56"/>
      <c r="F74" s="56"/>
    </row>
    <row r="75" spans="2:13" ht="14.4">
      <c r="C75" s="56"/>
      <c r="D75" s="56"/>
      <c r="E75" s="56"/>
      <c r="F75" s="56"/>
    </row>
    <row r="76" spans="2:13" ht="14.4">
      <c r="C76" s="56"/>
      <c r="D76" s="56"/>
      <c r="E76" s="56"/>
      <c r="F76" s="56"/>
    </row>
    <row r="77" spans="2:13" ht="14.4">
      <c r="C77" s="56"/>
      <c r="D77" s="56"/>
      <c r="E77" s="56"/>
      <c r="F77" s="56"/>
    </row>
    <row r="78" spans="2:13" ht="14.4">
      <c r="C78" s="56"/>
      <c r="D78" s="56"/>
      <c r="E78" s="56"/>
      <c r="F78" s="56"/>
    </row>
    <row r="79" spans="2:13" ht="14.4">
      <c r="C79" s="56"/>
      <c r="E79" s="56"/>
    </row>
    <row r="80" spans="2:13">
      <c r="E80" s="365"/>
    </row>
    <row r="81" spans="5:6" ht="14.4">
      <c r="E81" s="212"/>
      <c r="F81" s="212"/>
    </row>
    <row r="82" spans="5:6" ht="14.4">
      <c r="E82" s="56"/>
      <c r="F82" s="56"/>
    </row>
    <row r="83" spans="5:6" ht="14.4">
      <c r="E83" s="56"/>
      <c r="F83" s="56"/>
    </row>
    <row r="84" spans="5:6" ht="14.4">
      <c r="E84" s="56"/>
      <c r="F84" s="56"/>
    </row>
    <row r="85" spans="5:6" ht="14.4">
      <c r="E85" s="56"/>
      <c r="F85" s="56"/>
    </row>
    <row r="86" spans="5:6" ht="14.4">
      <c r="E86" s="56"/>
      <c r="F86" s="56"/>
    </row>
    <row r="87" spans="5:6" ht="14.4">
      <c r="E87" s="56"/>
    </row>
    <row r="89" spans="5:6" ht="14.4">
      <c r="E89" s="212"/>
      <c r="F89" s="212"/>
    </row>
    <row r="90" spans="5:6" ht="14.4">
      <c r="E90" s="56"/>
      <c r="F90" s="56"/>
    </row>
    <row r="91" spans="5:6" ht="14.4">
      <c r="E91" s="56"/>
      <c r="F91" s="56"/>
    </row>
    <row r="92" spans="5:6" ht="14.4">
      <c r="E92" s="56"/>
      <c r="F92" s="56"/>
    </row>
    <row r="93" spans="5:6" ht="14.4">
      <c r="E93" s="56"/>
      <c r="F93" s="56"/>
    </row>
    <row r="94" spans="5:6" ht="14.4">
      <c r="E94" s="56"/>
      <c r="F94" s="56"/>
    </row>
    <row r="95" spans="5:6" ht="14.4">
      <c r="E95" s="56"/>
    </row>
  </sheetData>
  <mergeCells count="24">
    <mergeCell ref="B45:F45"/>
    <mergeCell ref="H45:L45"/>
    <mergeCell ref="B46:C46"/>
    <mergeCell ref="D58:H58"/>
    <mergeCell ref="I58:M58"/>
    <mergeCell ref="D46:E46"/>
    <mergeCell ref="B43:D43"/>
    <mergeCell ref="B22:E22"/>
    <mergeCell ref="B23:C23"/>
    <mergeCell ref="D23:E23"/>
    <mergeCell ref="B24:B26"/>
    <mergeCell ref="C24:C26"/>
    <mergeCell ref="B27:C28"/>
    <mergeCell ref="B32:E32"/>
    <mergeCell ref="B33:C33"/>
    <mergeCell ref="D33:E33"/>
    <mergeCell ref="B34:B40"/>
    <mergeCell ref="C34:C40"/>
    <mergeCell ref="B1:L1"/>
    <mergeCell ref="B4:E4"/>
    <mergeCell ref="B5:C5"/>
    <mergeCell ref="D5:E5"/>
    <mergeCell ref="B6:B20"/>
    <mergeCell ref="C6:C20"/>
  </mergeCells>
  <pageMargins left="0.7" right="0.7" top="0.75" bottom="0.75" header="0.3" footer="0.3"/>
  <pageSetup orientation="portrait" r:id="rId1"/>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17D3-0BBA-8048-9712-4709243EA90C}">
  <sheetPr codeName="Sheet75"/>
  <dimension ref="A1:T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5" width="23" style="267" customWidth="1"/>
    <col min="6" max="12" width="22.44140625" customWidth="1"/>
    <col min="13" max="13" width="21.6640625" customWidth="1"/>
    <col min="14" max="15" width="22.44140625" style="7" customWidth="1"/>
    <col min="16" max="16" width="19.44140625" customWidth="1"/>
    <col min="20" max="20" width="16.109375" customWidth="1"/>
  </cols>
  <sheetData>
    <row r="1" spans="1:20" ht="25.5" customHeight="1">
      <c r="A1" t="str">
        <f ca="1">UPPER(TEXT((1&amp;LEFT(B$1,3))-1,"MMM"))&amp;"-"&amp;UPPER(TEXT((1&amp;RIGHT(LEFT(B$1,7),3))-1,"MMM"))&amp;" "&amp;RIGHT(B$1,4)</f>
        <v>JAN-FEB 2020</v>
      </c>
      <c r="B1" s="730" t="str">
        <f ca="1">MID(CELL("filename",B1),FIND("]",CELL("filename",B1))+1,255)</f>
        <v>FEB-MAR 2020</v>
      </c>
      <c r="C1" s="731"/>
      <c r="D1" s="731"/>
      <c r="E1" s="731"/>
      <c r="F1" s="731"/>
      <c r="G1" s="731"/>
      <c r="H1" s="731"/>
      <c r="I1" s="731"/>
      <c r="J1" s="731"/>
      <c r="K1" s="731"/>
      <c r="L1" s="731"/>
      <c r="M1" s="731"/>
      <c r="N1" s="731"/>
      <c r="O1" s="298"/>
      <c r="P1" s="281"/>
      <c r="Q1" s="272"/>
      <c r="R1" s="272"/>
      <c r="S1" s="272"/>
    </row>
    <row r="2" spans="1:20">
      <c r="B2" s="118"/>
      <c r="C2" s="118"/>
      <c r="D2">
        <f>1810.29-650</f>
        <v>1160.29</v>
      </c>
      <c r="E2" s="365"/>
      <c r="F2" s="79" t="s">
        <v>798</v>
      </c>
      <c r="G2" s="307" t="s">
        <v>814</v>
      </c>
      <c r="H2" s="79" t="s">
        <v>799</v>
      </c>
      <c r="I2" s="307" t="s">
        <v>814</v>
      </c>
      <c r="J2" s="79" t="s">
        <v>800</v>
      </c>
      <c r="K2" s="307" t="s">
        <v>814</v>
      </c>
      <c r="L2" s="79" t="s">
        <v>801</v>
      </c>
      <c r="M2" s="307" t="s">
        <v>814</v>
      </c>
      <c r="N2" s="273" t="s">
        <v>10</v>
      </c>
      <c r="O2" s="273"/>
      <c r="P2" s="283" t="s">
        <v>803</v>
      </c>
    </row>
    <row r="3" spans="1:20">
      <c r="B3" s="118"/>
      <c r="C3" s="118"/>
      <c r="E3" s="365"/>
      <c r="F3" s="732">
        <v>43886</v>
      </c>
      <c r="G3" s="732"/>
      <c r="H3" s="732">
        <f>F3+7</f>
        <v>43893</v>
      </c>
      <c r="I3" s="732"/>
      <c r="J3" s="732">
        <f>H3+7</f>
        <v>43900</v>
      </c>
      <c r="K3" s="732"/>
      <c r="L3" s="732">
        <f>J3+7</f>
        <v>43907</v>
      </c>
      <c r="M3" s="732"/>
      <c r="N3" s="273"/>
      <c r="O3" s="273"/>
      <c r="P3" s="282"/>
    </row>
    <row r="4" spans="1:20" ht="15" customHeight="1">
      <c r="B4" s="727" t="s">
        <v>804</v>
      </c>
      <c r="C4" s="727"/>
      <c r="D4" s="727"/>
      <c r="E4" s="727"/>
      <c r="G4" s="304">
        <f>SUM(G6:G40)</f>
        <v>14.96</v>
      </c>
      <c r="I4" s="304">
        <f>SUM(I6:I40)</f>
        <v>68.3</v>
      </c>
      <c r="K4" s="304">
        <f>SUM(K6:K40)</f>
        <v>126.36</v>
      </c>
      <c r="M4" s="304">
        <f>SUM(M6:M40)</f>
        <v>21.89</v>
      </c>
      <c r="N4" s="308">
        <f>SUM(G4,I4,K4,M4)</f>
        <v>231.51</v>
      </c>
      <c r="O4" s="309" t="s">
        <v>973</v>
      </c>
      <c r="P4" s="282"/>
    </row>
    <row r="5" spans="1:20" ht="15" customHeight="1">
      <c r="B5" s="733" t="str">
        <f>IF(D5&gt;E$42*0.5,ROUND(D5-E$42*0.5,2) &amp; " Over",ROUND(E$42*0.5-D5,2) &amp; " Under")</f>
        <v>253.9 Under</v>
      </c>
      <c r="C5" s="733"/>
      <c r="D5" s="761">
        <f>SUM(E6:E20)</f>
        <v>1791.89</v>
      </c>
      <c r="E5" s="761"/>
      <c r="F5" s="284"/>
      <c r="G5" s="306"/>
      <c r="H5" s="79"/>
      <c r="I5" s="306">
        <f>(($E$6+$E$7)/4)-SUM(H6:I6)-SUM(H7:I7)</f>
        <v>55.45</v>
      </c>
      <c r="J5" s="79"/>
      <c r="K5" s="306">
        <f>(($E$6+$E$7)/4)-SUM(J6:K6)-SUM(J7:K7)</f>
        <v>-174.84</v>
      </c>
      <c r="L5" s="79"/>
      <c r="M5" s="305"/>
      <c r="N5" s="285">
        <f>SUMIF(N6:N20,"&gt;0")</f>
        <v>196.32</v>
      </c>
      <c r="O5" s="285" t="s">
        <v>892</v>
      </c>
      <c r="P5" s="282">
        <f>SUM(P6:P20)</f>
        <v>2.1599999999999682</v>
      </c>
    </row>
    <row r="6" spans="1:20" ht="15" customHeight="1">
      <c r="B6" s="734" t="str">
        <f>"50%: " &amp; E$42*0.5</f>
        <v>50%: 2045.785</v>
      </c>
      <c r="C6" s="734" t="str">
        <f>ROUND((D5/E$42)*100,2) &amp; "%: " &amp;D5</f>
        <v>43.79%: 1791.89</v>
      </c>
      <c r="D6" s="13" t="s">
        <v>805</v>
      </c>
      <c r="E6" s="374">
        <f>300-50</f>
        <v>250</v>
      </c>
      <c r="G6" s="305"/>
      <c r="I6" s="305">
        <v>23.75</v>
      </c>
      <c r="J6">
        <f>8.9+8.9+31.8</f>
        <v>49.6</v>
      </c>
      <c r="K6" s="305">
        <f>55.11+23.6</f>
        <v>78.710000000000008</v>
      </c>
      <c r="M6" s="305"/>
      <c r="N6" s="274">
        <f>E6-SUM(F6:M6)</f>
        <v>97.94</v>
      </c>
      <c r="O6" s="274" t="str">
        <f t="shared" ref="O6:O20" si="0">D6</f>
        <v>Car Petrol / commuting</v>
      </c>
      <c r="P6" s="282">
        <f t="shared" ref="P6:P20" si="1">IF(N6&lt;0,N6*-1,0)</f>
        <v>0</v>
      </c>
    </row>
    <row r="7" spans="1:20" ht="15" customHeight="1">
      <c r="B7" s="734"/>
      <c r="C7" s="734"/>
      <c r="D7" s="13" t="s">
        <v>169</v>
      </c>
      <c r="E7" s="365">
        <f>65*3+50</f>
        <v>245</v>
      </c>
      <c r="G7" s="305"/>
      <c r="I7" s="305">
        <f>6.85+2.6+27.6+7.5</f>
        <v>44.55</v>
      </c>
      <c r="J7">
        <f>8.42+7.88+12.27+18.9+26.1+3.4+6.34+10.75+1.75+2.15+2.28+4.3+21.58</f>
        <v>126.12</v>
      </c>
      <c r="K7" s="305">
        <f>1.8+7.95+34.41</f>
        <v>44.16</v>
      </c>
      <c r="L7">
        <f>7.5+1.99</f>
        <v>9.49</v>
      </c>
      <c r="M7" s="305">
        <f>9.46+12.43</f>
        <v>21.89</v>
      </c>
      <c r="N7" s="274">
        <f t="shared" ref="N7:N20" si="2">E7-SUM(F7:M7)</f>
        <v>-1.2100000000000364</v>
      </c>
      <c r="O7" s="274" t="str">
        <f t="shared" si="0"/>
        <v>Food</v>
      </c>
      <c r="P7" s="282">
        <f t="shared" si="1"/>
        <v>1.2100000000000364</v>
      </c>
    </row>
    <row r="8" spans="1:20" ht="15" customHeight="1">
      <c r="B8" s="734"/>
      <c r="C8" s="734"/>
      <c r="D8" s="13" t="s">
        <v>919</v>
      </c>
      <c r="E8" s="365">
        <v>30</v>
      </c>
      <c r="G8" s="305">
        <f>14.96</f>
        <v>14.96</v>
      </c>
      <c r="I8" s="305"/>
      <c r="K8" s="305"/>
      <c r="M8" s="305"/>
      <c r="N8" s="274">
        <f t="shared" si="2"/>
        <v>15.04</v>
      </c>
      <c r="O8" s="274" t="str">
        <f t="shared" si="0"/>
        <v>Bun</v>
      </c>
      <c r="P8" s="282">
        <f t="shared" si="1"/>
        <v>0</v>
      </c>
    </row>
    <row r="9" spans="1:20" ht="15" customHeight="1" outlineLevel="1">
      <c r="B9" s="734"/>
      <c r="C9" s="734"/>
      <c r="D9" s="201" t="s">
        <v>595</v>
      </c>
      <c r="E9" s="365">
        <v>452.64</v>
      </c>
      <c r="G9" s="305"/>
      <c r="I9" s="305"/>
      <c r="J9">
        <v>452.64</v>
      </c>
      <c r="K9" s="305"/>
      <c r="M9" s="305"/>
      <c r="N9" s="274">
        <f t="shared" si="2"/>
        <v>0</v>
      </c>
      <c r="O9" s="274" t="str">
        <f t="shared" si="0"/>
        <v>Mortgage</v>
      </c>
      <c r="P9" s="282">
        <f t="shared" si="1"/>
        <v>0</v>
      </c>
      <c r="S9" s="242"/>
      <c r="T9" s="242"/>
    </row>
    <row r="10" spans="1:20" ht="15" customHeight="1" outlineLevel="1">
      <c r="B10" s="734"/>
      <c r="C10" s="734"/>
      <c r="D10" s="201" t="s">
        <v>596</v>
      </c>
      <c r="E10" s="365">
        <v>123</v>
      </c>
      <c r="G10" s="305"/>
      <c r="I10" s="305"/>
      <c r="J10">
        <v>123</v>
      </c>
      <c r="K10" s="305"/>
      <c r="M10" s="305"/>
      <c r="N10" s="274">
        <f t="shared" si="2"/>
        <v>0</v>
      </c>
      <c r="O10" s="274" t="str">
        <f t="shared" si="0"/>
        <v>Council tax</v>
      </c>
      <c r="P10" s="282">
        <f t="shared" si="1"/>
        <v>0</v>
      </c>
      <c r="S10" s="242"/>
      <c r="T10" s="242"/>
    </row>
    <row r="11" spans="1:20" ht="15" customHeight="1" outlineLevel="1">
      <c r="B11" s="734"/>
      <c r="C11" s="734"/>
      <c r="D11" s="201" t="s">
        <v>785</v>
      </c>
      <c r="E11" s="365">
        <f>17+40+12.96+1</f>
        <v>70.960000000000008</v>
      </c>
      <c r="G11" s="305"/>
      <c r="I11" s="305"/>
      <c r="K11" s="305"/>
      <c r="M11" s="305"/>
      <c r="N11" s="274">
        <f t="shared" si="2"/>
        <v>70.960000000000008</v>
      </c>
      <c r="O11" s="274" t="str">
        <f t="shared" si="0"/>
        <v>Utilities (G,W,E,TV)</v>
      </c>
      <c r="P11" s="282">
        <f t="shared" si="1"/>
        <v>0</v>
      </c>
    </row>
    <row r="12" spans="1:20" ht="15" customHeight="1" outlineLevel="1">
      <c r="B12" s="734"/>
      <c r="C12" s="734"/>
      <c r="D12" s="201" t="s">
        <v>894</v>
      </c>
      <c r="E12" s="365">
        <f>4.52+16.61+8.56+16.1+8</f>
        <v>53.79</v>
      </c>
      <c r="G12" s="305"/>
      <c r="I12" s="305"/>
      <c r="J12">
        <f>8+16.61+29.05</f>
        <v>53.66</v>
      </c>
      <c r="K12" s="305"/>
      <c r="M12" s="305"/>
      <c r="N12" s="274">
        <f t="shared" si="2"/>
        <v>0.13000000000000256</v>
      </c>
      <c r="O12" s="274" t="str">
        <f t="shared" si="0"/>
        <v>Insurances</v>
      </c>
      <c r="P12" s="282">
        <f t="shared" si="1"/>
        <v>0</v>
      </c>
    </row>
    <row r="13" spans="1:20" ht="15" customHeight="1" outlineLevel="1">
      <c r="B13" s="734"/>
      <c r="C13" s="734"/>
      <c r="D13" s="201" t="s">
        <v>602</v>
      </c>
      <c r="E13" s="365">
        <v>39.99</v>
      </c>
      <c r="G13" s="305"/>
      <c r="I13" s="305"/>
      <c r="J13">
        <v>39.99</v>
      </c>
      <c r="K13" s="305"/>
      <c r="M13" s="305"/>
      <c r="N13" s="274">
        <f t="shared" si="2"/>
        <v>0</v>
      </c>
      <c r="O13" s="274" t="str">
        <f t="shared" si="0"/>
        <v>Broadband / TV</v>
      </c>
      <c r="P13" s="282">
        <f t="shared" si="1"/>
        <v>0</v>
      </c>
      <c r="S13" s="242"/>
      <c r="T13" s="242"/>
    </row>
    <row r="14" spans="1:20" ht="15" customHeight="1" outlineLevel="1">
      <c r="B14" s="734"/>
      <c r="C14" s="734"/>
      <c r="D14" s="201" t="s">
        <v>582</v>
      </c>
      <c r="E14" s="365">
        <v>7.99</v>
      </c>
      <c r="G14" s="305"/>
      <c r="H14">
        <v>7.99</v>
      </c>
      <c r="I14" s="305"/>
      <c r="K14" s="305"/>
      <c r="M14" s="305"/>
      <c r="N14" s="274">
        <f t="shared" si="2"/>
        <v>0</v>
      </c>
      <c r="O14" s="274" t="str">
        <f t="shared" si="0"/>
        <v>Onedrive (6th)</v>
      </c>
      <c r="P14" s="282">
        <f t="shared" si="1"/>
        <v>0</v>
      </c>
    </row>
    <row r="15" spans="1:20" ht="15" customHeight="1" outlineLevel="1">
      <c r="B15" s="734"/>
      <c r="C15" s="734"/>
      <c r="D15" s="201" t="s">
        <v>788</v>
      </c>
      <c r="E15" s="365">
        <v>10.16</v>
      </c>
      <c r="F15">
        <v>10.16</v>
      </c>
      <c r="G15" s="305"/>
      <c r="I15" s="305"/>
      <c r="K15" s="305"/>
      <c r="M15" s="305"/>
      <c r="N15" s="274">
        <f t="shared" si="2"/>
        <v>0</v>
      </c>
      <c r="O15" s="274" t="str">
        <f t="shared" si="0"/>
        <v>Matt Phone</v>
      </c>
      <c r="P15" s="282">
        <f t="shared" si="1"/>
        <v>0</v>
      </c>
    </row>
    <row r="16" spans="1:20" ht="15" customHeight="1" outlineLevel="1">
      <c r="B16" s="734"/>
      <c r="C16" s="734"/>
      <c r="D16" s="201" t="s">
        <v>668</v>
      </c>
      <c r="E16" s="365">
        <v>28.43</v>
      </c>
      <c r="F16">
        <v>28.43</v>
      </c>
      <c r="G16" s="305"/>
      <c r="I16" s="305"/>
      <c r="K16" s="305"/>
      <c r="M16" s="305"/>
      <c r="N16" s="274">
        <f t="shared" si="2"/>
        <v>0</v>
      </c>
      <c r="O16" s="274" t="str">
        <f t="shared" si="0"/>
        <v>M -Tax</v>
      </c>
      <c r="P16" s="282">
        <f t="shared" si="1"/>
        <v>0</v>
      </c>
    </row>
    <row r="17" spans="2:16" ht="15" customHeight="1" outlineLevel="1">
      <c r="B17" s="734"/>
      <c r="C17" s="734"/>
      <c r="D17" s="201" t="s">
        <v>670</v>
      </c>
      <c r="E17" s="365">
        <f>65.87</f>
        <v>65.87</v>
      </c>
      <c r="F17">
        <v>65.87</v>
      </c>
      <c r="G17" s="305"/>
      <c r="I17" s="305"/>
      <c r="K17" s="305"/>
      <c r="M17" s="305"/>
      <c r="N17" s="274">
        <f t="shared" si="2"/>
        <v>0</v>
      </c>
      <c r="O17" s="274" t="str">
        <f t="shared" si="0"/>
        <v>M - Insurance</v>
      </c>
      <c r="P17" s="282">
        <f t="shared" si="1"/>
        <v>0</v>
      </c>
    </row>
    <row r="18" spans="2:16" ht="15" customHeight="1" outlineLevel="1">
      <c r="B18" s="734"/>
      <c r="C18" s="734"/>
      <c r="D18" s="293" t="s">
        <v>920</v>
      </c>
      <c r="E18" s="277">
        <f>179.09+129</f>
        <v>308.09000000000003</v>
      </c>
      <c r="G18" s="305"/>
      <c r="I18" s="305"/>
      <c r="J18">
        <f>129.97+179.07</f>
        <v>309.03999999999996</v>
      </c>
      <c r="K18" s="305"/>
      <c r="M18" s="305"/>
      <c r="N18" s="274">
        <f t="shared" si="2"/>
        <v>-0.94999999999993179</v>
      </c>
      <c r="O18" s="274" t="str">
        <f t="shared" si="0"/>
        <v>Finance</v>
      </c>
      <c r="P18" s="282">
        <f t="shared" si="1"/>
        <v>0.94999999999993179</v>
      </c>
    </row>
    <row r="19" spans="2:16" ht="15" customHeight="1" outlineLevel="1">
      <c r="B19" s="734"/>
      <c r="C19" s="734"/>
      <c r="D19" s="201" t="s">
        <v>672</v>
      </c>
      <c r="E19" s="365">
        <v>12.25</v>
      </c>
      <c r="G19" s="305"/>
      <c r="I19" s="305"/>
      <c r="K19" s="305"/>
      <c r="M19" s="305"/>
      <c r="N19" s="274">
        <f t="shared" si="2"/>
        <v>12.25</v>
      </c>
      <c r="O19" s="274" t="str">
        <f t="shared" si="0"/>
        <v>K - Tax</v>
      </c>
      <c r="P19" s="282">
        <f t="shared" si="1"/>
        <v>0</v>
      </c>
    </row>
    <row r="20" spans="2:16" ht="15" customHeight="1" outlineLevel="1">
      <c r="B20" s="734"/>
      <c r="C20" s="734"/>
      <c r="D20" s="201" t="s">
        <v>674</v>
      </c>
      <c r="E20" s="365">
        <v>93.72</v>
      </c>
      <c r="F20">
        <v>93.72</v>
      </c>
      <c r="G20" s="305"/>
      <c r="I20" s="305"/>
      <c r="K20" s="305"/>
      <c r="M20" s="305"/>
      <c r="N20" s="274">
        <f t="shared" si="2"/>
        <v>0</v>
      </c>
      <c r="O20" s="274" t="str">
        <f t="shared" si="0"/>
        <v>K - Insurance</v>
      </c>
      <c r="P20" s="282">
        <f t="shared" si="1"/>
        <v>0</v>
      </c>
    </row>
    <row r="21" spans="2:16" ht="15" customHeight="1">
      <c r="B21" s="118"/>
      <c r="C21" s="118"/>
      <c r="D21" s="188"/>
      <c r="E21" s="365"/>
      <c r="G21" s="305"/>
      <c r="I21" s="305"/>
      <c r="K21" s="305"/>
      <c r="M21" s="305"/>
      <c r="N21" s="273"/>
      <c r="O21" s="273"/>
      <c r="P21" s="282"/>
    </row>
    <row r="22" spans="2:16" ht="15" customHeight="1">
      <c r="B22" s="736" t="s">
        <v>808</v>
      </c>
      <c r="C22" s="736"/>
      <c r="D22" s="736"/>
      <c r="E22" s="736"/>
      <c r="G22" s="305"/>
      <c r="I22" s="305"/>
      <c r="K22" s="305"/>
      <c r="M22" s="305"/>
      <c r="N22" s="274"/>
      <c r="O22" s="274"/>
      <c r="P22" s="282"/>
    </row>
    <row r="23" spans="2:16" ht="15" customHeight="1">
      <c r="B23" s="727" t="str">
        <f>IF(ISNUMBER((SEARCH("Over",C$5))),"Operating under budget","Operating over budget")</f>
        <v>Operating over budget</v>
      </c>
      <c r="C23" s="727"/>
      <c r="D23" s="759">
        <f>SUM(E24:E29)</f>
        <v>1030</v>
      </c>
      <c r="E23" s="759"/>
      <c r="G23" s="305"/>
      <c r="I23" s="305"/>
      <c r="K23" s="305"/>
      <c r="M23" s="305"/>
      <c r="N23" s="285">
        <f>SUMIF(N24:N30,"&gt;0")</f>
        <v>207.28000000000003</v>
      </c>
      <c r="O23" s="285" t="s">
        <v>895</v>
      </c>
      <c r="P23" s="282">
        <f>SUM(P25:P30)</f>
        <v>0</v>
      </c>
    </row>
    <row r="24" spans="2:16" ht="15" customHeight="1" outlineLevel="1">
      <c r="B24" s="734" t="str">
        <f>"20% : " &amp; E$42*0.2</f>
        <v>20% : 818.314</v>
      </c>
      <c r="C24" s="734" t="str">
        <f>"20% : " &amp; E$42*0.2</f>
        <v>20% : 818.314</v>
      </c>
      <c r="D24" s="300" t="s">
        <v>896</v>
      </c>
      <c r="E24" s="365">
        <v>50</v>
      </c>
      <c r="G24" s="305"/>
      <c r="I24" s="305"/>
      <c r="K24" s="305"/>
      <c r="M24" s="305"/>
      <c r="N24" s="274">
        <f>E24-SUM(F24:M24)-P5-P23-P33</f>
        <v>33.28000000000003</v>
      </c>
      <c r="O24" s="274" t="str">
        <f t="shared" ref="O24:O30" si="3">D24</f>
        <v>Contingency 20%</v>
      </c>
      <c r="P24" s="282">
        <f>SUM(P25:P31)</f>
        <v>0</v>
      </c>
    </row>
    <row r="25" spans="2:16" ht="15" customHeight="1" outlineLevel="1">
      <c r="B25" s="734"/>
      <c r="C25" s="734"/>
      <c r="D25" s="300" t="s">
        <v>897</v>
      </c>
      <c r="E25" s="365">
        <v>0</v>
      </c>
      <c r="G25" s="305"/>
      <c r="I25" s="305"/>
      <c r="K25" s="305"/>
      <c r="M25" s="305"/>
      <c r="N25" s="274">
        <f t="shared" ref="N25:N30" si="4">E25-SUM(F25:M25)</f>
        <v>0</v>
      </c>
      <c r="O25" s="274" t="str">
        <f t="shared" si="3"/>
        <v>Holiday Fund 60%</v>
      </c>
      <c r="P25" s="282">
        <f t="shared" ref="P25:P30" si="5">IF(N25&lt;0,N25*-1,0)</f>
        <v>0</v>
      </c>
    </row>
    <row r="26" spans="2:16" ht="15" customHeight="1" outlineLevel="1">
      <c r="B26" s="734"/>
      <c r="C26" s="734"/>
      <c r="D26" s="300" t="s">
        <v>811</v>
      </c>
      <c r="E26" s="365">
        <f>150+80</f>
        <v>230</v>
      </c>
      <c r="G26" s="305"/>
      <c r="H26">
        <f>130+8</f>
        <v>138</v>
      </c>
      <c r="I26" s="305"/>
      <c r="K26" s="305"/>
      <c r="M26" s="305"/>
      <c r="N26" s="274">
        <f t="shared" si="4"/>
        <v>92</v>
      </c>
      <c r="O26" s="274" t="str">
        <f t="shared" si="3"/>
        <v>Gift Fund 20%</v>
      </c>
      <c r="P26" s="282">
        <f t="shared" si="5"/>
        <v>0</v>
      </c>
    </row>
    <row r="27" spans="2:16" ht="15" customHeight="1" outlineLevel="1">
      <c r="B27" s="734" t="s">
        <v>130</v>
      </c>
      <c r="C27" s="734"/>
      <c r="D27" s="300" t="s">
        <v>812</v>
      </c>
      <c r="E27" s="365">
        <v>400</v>
      </c>
      <c r="G27" s="305"/>
      <c r="H27">
        <f>200+200</f>
        <v>400</v>
      </c>
      <c r="I27" s="305"/>
      <c r="K27" s="305"/>
      <c r="M27" s="305"/>
      <c r="N27" s="274">
        <f t="shared" si="4"/>
        <v>0</v>
      </c>
      <c r="O27" s="274" t="str">
        <f t="shared" si="3"/>
        <v>Wedding</v>
      </c>
      <c r="P27" s="282">
        <f t="shared" si="5"/>
        <v>0</v>
      </c>
    </row>
    <row r="28" spans="2:16" ht="15" customHeight="1" outlineLevel="1">
      <c r="B28" s="734"/>
      <c r="C28" s="734"/>
      <c r="D28" s="300" t="s">
        <v>174</v>
      </c>
      <c r="E28" s="365">
        <v>300</v>
      </c>
      <c r="F28" s="11"/>
      <c r="G28" s="306"/>
      <c r="H28">
        <f>(298-130)</f>
        <v>168</v>
      </c>
      <c r="I28" s="305"/>
      <c r="J28">
        <v>100</v>
      </c>
      <c r="K28" s="305"/>
      <c r="M28" s="305"/>
      <c r="N28" s="274">
        <f t="shared" si="4"/>
        <v>32</v>
      </c>
      <c r="O28" s="274" t="str">
        <f t="shared" si="3"/>
        <v>House</v>
      </c>
      <c r="P28" s="282">
        <f t="shared" si="5"/>
        <v>0</v>
      </c>
    </row>
    <row r="29" spans="2:16" ht="15" customHeight="1" outlineLevel="1">
      <c r="B29" s="7"/>
      <c r="C29" s="7"/>
      <c r="D29" s="300" t="s">
        <v>953</v>
      </c>
      <c r="E29" s="365">
        <v>50</v>
      </c>
      <c r="F29" s="11"/>
      <c r="G29" s="306"/>
      <c r="I29" s="305"/>
      <c r="K29" s="305"/>
      <c r="M29" s="305"/>
      <c r="N29" s="274">
        <f t="shared" si="4"/>
        <v>50</v>
      </c>
      <c r="O29" s="274" t="str">
        <f t="shared" si="3"/>
        <v>Cars (Service / MOT) £45</v>
      </c>
      <c r="P29" s="282">
        <f t="shared" si="5"/>
        <v>0</v>
      </c>
    </row>
    <row r="30" spans="2:16" ht="15" customHeight="1" outlineLevel="1">
      <c r="B30" s="7"/>
      <c r="C30" s="7"/>
      <c r="D30" s="300" t="s">
        <v>814</v>
      </c>
      <c r="E30" s="365">
        <f>841.69</f>
        <v>841.69</v>
      </c>
      <c r="F30" s="11"/>
      <c r="G30" s="306"/>
      <c r="H30">
        <v>841.69</v>
      </c>
      <c r="I30" s="305"/>
      <c r="K30" s="305"/>
      <c r="M30" s="305"/>
      <c r="N30" s="274">
        <f t="shared" si="4"/>
        <v>0</v>
      </c>
      <c r="O30" s="274" t="str">
        <f t="shared" si="3"/>
        <v>CC</v>
      </c>
      <c r="P30" s="282">
        <f t="shared" si="5"/>
        <v>0</v>
      </c>
    </row>
    <row r="31" spans="2:16" ht="15" customHeight="1">
      <c r="B31" s="118"/>
      <c r="C31" s="118"/>
      <c r="E31" s="365"/>
      <c r="G31" s="305"/>
      <c r="I31" s="305"/>
      <c r="K31" s="305"/>
      <c r="M31" s="305"/>
      <c r="N31" s="273"/>
      <c r="O31" s="273"/>
      <c r="P31" s="282"/>
    </row>
    <row r="32" spans="2:16" ht="15" customHeight="1">
      <c r="B32" s="727"/>
      <c r="C32" s="727"/>
      <c r="D32" s="727"/>
      <c r="E32" s="727"/>
      <c r="G32" s="305"/>
      <c r="I32" s="305"/>
      <c r="K32" s="305"/>
      <c r="M32" s="305"/>
      <c r="N32" s="273"/>
      <c r="O32" s="273"/>
      <c r="P32" s="282"/>
    </row>
    <row r="33" spans="2:16" ht="15" customHeight="1">
      <c r="B33" s="727" t="str">
        <f>IF(ISNUMBER((SEARCH("Over",B$5))),"Operating under budget","Operating over budget")</f>
        <v>Operating over budget</v>
      </c>
      <c r="C33" s="727"/>
      <c r="D33" s="759">
        <f>(E$42-D5-D23)</f>
        <v>1269.6800000000003</v>
      </c>
      <c r="E33" s="727"/>
      <c r="G33" s="305"/>
      <c r="I33" s="305"/>
      <c r="K33" s="305"/>
      <c r="M33" s="305"/>
      <c r="N33" s="285">
        <f>SUMIF(N34:N38,"&gt;0")</f>
        <v>30</v>
      </c>
      <c r="O33" s="285" t="s">
        <v>899</v>
      </c>
      <c r="P33" s="282">
        <f>SUM(P34:P38)</f>
        <v>14.560000000000002</v>
      </c>
    </row>
    <row r="34" spans="2:16" ht="18" outlineLevel="1">
      <c r="B34" s="734"/>
      <c r="C34" s="760"/>
      <c r="D34" s="13" t="s">
        <v>954</v>
      </c>
      <c r="E34" s="365">
        <v>15</v>
      </c>
      <c r="G34" s="305"/>
      <c r="I34" s="305"/>
      <c r="K34" s="305"/>
      <c r="M34" s="305"/>
      <c r="N34" s="274">
        <f t="shared" ref="N34:N39" si="6">E34-SUM(F34:M34)</f>
        <v>15</v>
      </c>
      <c r="O34" s="274" t="str">
        <f t="shared" ref="O34:O40" si="7">D34</f>
        <v>Haircut</v>
      </c>
      <c r="P34" s="282">
        <f t="shared" ref="P34:P37" si="8">IF(N34&lt;0,N34*-1,0)</f>
        <v>0</v>
      </c>
    </row>
    <row r="35" spans="2:16" ht="18" outlineLevel="1">
      <c r="B35" s="734"/>
      <c r="C35" s="760"/>
      <c r="D35" s="13" t="s">
        <v>943</v>
      </c>
      <c r="E35" s="365">
        <v>20</v>
      </c>
      <c r="G35" s="305"/>
      <c r="I35" s="305"/>
      <c r="J35">
        <v>20</v>
      </c>
      <c r="K35" s="305"/>
      <c r="M35" s="305"/>
      <c r="N35" s="274">
        <f t="shared" si="6"/>
        <v>0</v>
      </c>
      <c r="O35" s="274" t="str">
        <f t="shared" si="7"/>
        <v>Car wash</v>
      </c>
      <c r="P35" s="282">
        <f t="shared" si="8"/>
        <v>0</v>
      </c>
    </row>
    <row r="36" spans="2:16" ht="18" outlineLevel="1">
      <c r="B36" s="734"/>
      <c r="C36" s="760"/>
      <c r="D36" s="13" t="s">
        <v>944</v>
      </c>
      <c r="E36" s="365">
        <v>15</v>
      </c>
      <c r="G36" s="305"/>
      <c r="I36" s="305"/>
      <c r="K36" s="305"/>
      <c r="M36" s="305"/>
      <c r="N36" s="274">
        <f t="shared" si="6"/>
        <v>15</v>
      </c>
      <c r="O36" s="274" t="str">
        <f t="shared" si="7"/>
        <v>Windows</v>
      </c>
      <c r="P36" s="282">
        <f t="shared" si="8"/>
        <v>0</v>
      </c>
    </row>
    <row r="37" spans="2:16" ht="18" outlineLevel="1">
      <c r="B37" s="734"/>
      <c r="C37" s="760"/>
      <c r="D37" s="13" t="s">
        <v>177</v>
      </c>
      <c r="E37" s="365">
        <v>25</v>
      </c>
      <c r="G37" s="305"/>
      <c r="I37" s="305"/>
      <c r="J37">
        <v>25</v>
      </c>
      <c r="K37" s="305"/>
      <c r="M37" s="305"/>
      <c r="N37" s="274">
        <f t="shared" si="6"/>
        <v>0</v>
      </c>
      <c r="O37" s="274" t="str">
        <f t="shared" si="7"/>
        <v>Gym</v>
      </c>
      <c r="P37" s="282">
        <f t="shared" si="8"/>
        <v>0</v>
      </c>
    </row>
    <row r="38" spans="2:16" ht="15.75" customHeight="1" outlineLevel="1">
      <c r="B38" s="734"/>
      <c r="C38" s="760"/>
      <c r="D38" s="13" t="s">
        <v>781</v>
      </c>
      <c r="E38" s="365">
        <f>23+7.99</f>
        <v>30.990000000000002</v>
      </c>
      <c r="F38">
        <f>13+14.56</f>
        <v>27.560000000000002</v>
      </c>
      <c r="G38" s="305"/>
      <c r="H38">
        <f>7.99+10</f>
        <v>17.990000000000002</v>
      </c>
      <c r="I38" s="305"/>
      <c r="K38" s="305"/>
      <c r="M38" s="305"/>
      <c r="N38" s="274">
        <f t="shared" si="6"/>
        <v>-14.560000000000002</v>
      </c>
      <c r="O38" s="274" t="str">
        <f t="shared" si="7"/>
        <v>Subscriptions</v>
      </c>
      <c r="P38" s="282">
        <f>IF(N38&lt;0,N38*-1,0)</f>
        <v>14.560000000000002</v>
      </c>
    </row>
    <row r="39" spans="2:16" ht="18" outlineLevel="1">
      <c r="B39" s="734"/>
      <c r="C39" s="760"/>
      <c r="D39" s="13" t="s">
        <v>922</v>
      </c>
      <c r="E39" s="365">
        <f>(D33-SUM(E34:E38))-E30-E40</f>
        <v>322.00000000000023</v>
      </c>
      <c r="F39">
        <f>11.99</f>
        <v>11.99</v>
      </c>
      <c r="G39" s="305"/>
      <c r="H39">
        <f>20+5.3+40</f>
        <v>65.3</v>
      </c>
      <c r="I39" s="305"/>
      <c r="J39">
        <f>11+42.67</f>
        <v>53.67</v>
      </c>
      <c r="K39" s="305">
        <f>3.49</f>
        <v>3.49</v>
      </c>
      <c r="M39" s="305"/>
      <c r="N39" s="274">
        <f t="shared" si="6"/>
        <v>187.55000000000024</v>
      </c>
      <c r="O39" s="274" t="str">
        <f t="shared" si="7"/>
        <v>Matt Fun</v>
      </c>
      <c r="P39" s="271"/>
    </row>
    <row r="40" spans="2:16" ht="18" outlineLevel="1">
      <c r="B40" s="7"/>
      <c r="C40" s="284"/>
      <c r="D40" s="13" t="s">
        <v>152</v>
      </c>
      <c r="E40" s="365">
        <v>0</v>
      </c>
      <c r="G40" s="305"/>
      <c r="I40" s="305"/>
      <c r="K40" s="305"/>
      <c r="M40" s="305"/>
      <c r="N40" s="274">
        <f>E40-F40-H40-J40-L40-M40</f>
        <v>0</v>
      </c>
      <c r="O40" s="274" t="str">
        <f t="shared" si="7"/>
        <v>Kris</v>
      </c>
      <c r="P40" s="271"/>
    </row>
    <row r="41" spans="2:16">
      <c r="B41" s="118"/>
      <c r="C41" s="118"/>
      <c r="E41" s="365"/>
      <c r="N41" s="273"/>
      <c r="O41" s="273"/>
      <c r="P41" s="282"/>
    </row>
    <row r="42" spans="2:16" ht="18">
      <c r="B42" s="728" t="s">
        <v>817</v>
      </c>
      <c r="C42" s="728"/>
      <c r="D42" s="728"/>
      <c r="E42" s="375">
        <f>F42+H42+J42+L42+M42</f>
        <v>4091.57</v>
      </c>
      <c r="F42" s="271">
        <f>321.01+2000+1090+450.56</f>
        <v>3861.57</v>
      </c>
      <c r="G42" s="271"/>
      <c r="H42" s="271">
        <v>80</v>
      </c>
      <c r="I42" s="271"/>
      <c r="J42" s="271">
        <v>150</v>
      </c>
      <c r="K42" s="271"/>
      <c r="L42" s="271"/>
      <c r="M42" s="271"/>
      <c r="N42" s="285" t="str">
        <f>"£" &amp; N5+N33+N23+N39+N40+SUM(G4,I4,K4,M4) &amp; " / " &amp; "£" &amp; E42</f>
        <v>£852.66 / £4091.57</v>
      </c>
      <c r="O42" s="274"/>
      <c r="P42" s="282">
        <f>SUM(P33,P23,P5)</f>
        <v>16.71999999999997</v>
      </c>
    </row>
    <row r="43" spans="2:16">
      <c r="B43" s="118"/>
      <c r="C43" s="7"/>
      <c r="E43" s="365"/>
      <c r="F43" s="365"/>
      <c r="G43" s="365"/>
    </row>
    <row r="44" spans="2:16" ht="14.4">
      <c r="B44" s="729"/>
      <c r="C44" s="729"/>
      <c r="D44" s="729"/>
      <c r="E44" s="729"/>
      <c r="F44" s="729"/>
      <c r="G44" s="297"/>
      <c r="J44" s="729"/>
      <c r="K44" s="729"/>
      <c r="L44" s="729"/>
      <c r="M44" s="729"/>
      <c r="N44" s="729"/>
      <c r="O44" s="297"/>
    </row>
    <row r="45" spans="2:16" ht="15" customHeight="1">
      <c r="B45" s="726" t="s">
        <v>955</v>
      </c>
      <c r="C45" s="726"/>
      <c r="D45" s="726" t="s">
        <v>956</v>
      </c>
      <c r="E45" s="726"/>
      <c r="J45" s="212"/>
      <c r="K45" s="212"/>
      <c r="L45" s="278"/>
      <c r="M45" s="212"/>
      <c r="N45" s="212"/>
      <c r="O45" s="212"/>
    </row>
    <row r="46" spans="2:16">
      <c r="B46" s="365"/>
      <c r="C46" s="38"/>
      <c r="E46"/>
      <c r="J46" s="214"/>
      <c r="K46" s="214"/>
      <c r="L46" s="376"/>
      <c r="M46" s="214"/>
      <c r="N46" s="214"/>
      <c r="O46" s="214"/>
    </row>
    <row r="47" spans="2:16">
      <c r="E47"/>
      <c r="L47" s="365"/>
      <c r="N47"/>
      <c r="O47"/>
    </row>
    <row r="48" spans="2:16">
      <c r="E48" s="214"/>
      <c r="H48" s="11" t="s">
        <v>836</v>
      </c>
      <c r="I48" s="11"/>
      <c r="J48" s="212"/>
      <c r="K48" s="212"/>
      <c r="L48" s="278"/>
      <c r="M48" s="212"/>
      <c r="N48" s="212"/>
      <c r="O48" s="212"/>
    </row>
    <row r="49" spans="2:16">
      <c r="B49" s="378"/>
      <c r="E49"/>
      <c r="H49" s="11">
        <v>1472.41</v>
      </c>
      <c r="I49" s="11"/>
      <c r="J49" s="56"/>
      <c r="K49" s="56"/>
      <c r="L49" s="365"/>
      <c r="M49" s="56">
        <f>H49-190</f>
        <v>1282.4100000000001</v>
      </c>
      <c r="N49" s="56">
        <f>852.66-635</f>
        <v>217.65999999999997</v>
      </c>
      <c r="O49" s="56"/>
    </row>
    <row r="50" spans="2:16">
      <c r="E50"/>
      <c r="H50" s="11">
        <f t="shared" ref="H50:H56" si="9">H49-J50</f>
        <v>1472.41</v>
      </c>
      <c r="I50" s="11"/>
      <c r="J50">
        <v>0</v>
      </c>
      <c r="L50" s="365" t="s">
        <v>974</v>
      </c>
      <c r="M50" s="56">
        <f>M49-J50</f>
        <v>1282.4100000000001</v>
      </c>
      <c r="N50"/>
      <c r="O50"/>
    </row>
    <row r="51" spans="2:16">
      <c r="E51"/>
      <c r="H51" s="11">
        <f t="shared" si="9"/>
        <v>1297.4100000000001</v>
      </c>
      <c r="I51" s="11"/>
      <c r="J51" s="212">
        <v>175</v>
      </c>
      <c r="K51" s="212"/>
      <c r="L51" s="278" t="s">
        <v>975</v>
      </c>
      <c r="M51" s="56">
        <f t="shared" ref="M51:M55" si="10">M50-J51</f>
        <v>1107.4100000000001</v>
      </c>
      <c r="N51" s="212"/>
      <c r="O51" s="212"/>
      <c r="P51" s="279"/>
    </row>
    <row r="52" spans="2:16">
      <c r="E52">
        <f>(87.67+83.41+10.99)-100-22.99-18.99</f>
        <v>40.090000000000003</v>
      </c>
      <c r="H52" s="11">
        <f t="shared" si="9"/>
        <v>1225.4100000000001</v>
      </c>
      <c r="I52" s="11"/>
      <c r="J52">
        <v>72</v>
      </c>
      <c r="L52" s="365" t="s">
        <v>724</v>
      </c>
      <c r="M52" s="56">
        <f t="shared" si="10"/>
        <v>1035.4100000000001</v>
      </c>
      <c r="N52" s="56"/>
      <c r="O52" s="56"/>
      <c r="P52" s="280"/>
    </row>
    <row r="53" spans="2:16">
      <c r="E53"/>
      <c r="H53" s="11">
        <f t="shared" si="9"/>
        <v>1075.4100000000001</v>
      </c>
      <c r="I53" s="11"/>
      <c r="J53">
        <v>150</v>
      </c>
      <c r="L53" s="365" t="s">
        <v>976</v>
      </c>
      <c r="M53" s="56">
        <f t="shared" si="10"/>
        <v>885.41000000000008</v>
      </c>
    </row>
    <row r="54" spans="2:16">
      <c r="E54" s="365"/>
      <c r="H54" s="11">
        <f t="shared" si="9"/>
        <v>975.41000000000008</v>
      </c>
      <c r="I54" s="11"/>
      <c r="J54">
        <v>100</v>
      </c>
      <c r="L54" s="365" t="s">
        <v>971</v>
      </c>
      <c r="M54" s="56">
        <f t="shared" si="10"/>
        <v>785.41000000000008</v>
      </c>
    </row>
    <row r="55" spans="2:16">
      <c r="E55" s="365"/>
      <c r="H55" s="11">
        <f t="shared" si="9"/>
        <v>825.41000000000008</v>
      </c>
      <c r="I55" s="11"/>
      <c r="J55">
        <v>150</v>
      </c>
      <c r="L55" s="365" t="s">
        <v>977</v>
      </c>
      <c r="M55" s="56">
        <f t="shared" si="10"/>
        <v>635.41000000000008</v>
      </c>
      <c r="N55" s="275"/>
      <c r="O55" s="275"/>
    </row>
    <row r="56" spans="2:16">
      <c r="B56" s="11"/>
      <c r="E56" s="365"/>
      <c r="H56" s="11">
        <f t="shared" si="9"/>
        <v>635.41000000000008</v>
      </c>
      <c r="I56" s="11"/>
      <c r="J56">
        <v>190</v>
      </c>
      <c r="L56" s="365" t="s">
        <v>978</v>
      </c>
    </row>
    <row r="57" spans="2:16" ht="14.4">
      <c r="B57" s="11"/>
      <c r="D57" s="726"/>
      <c r="E57" s="726"/>
      <c r="F57" s="726"/>
      <c r="G57" s="726"/>
      <c r="H57" s="726"/>
      <c r="I57" s="726"/>
      <c r="J57" s="726"/>
      <c r="K57" s="79"/>
      <c r="L57" s="726"/>
      <c r="M57" s="726"/>
      <c r="N57" s="726"/>
      <c r="O57" s="726"/>
    </row>
    <row r="58" spans="2:16">
      <c r="E58"/>
      <c r="M58" s="278"/>
      <c r="N58" s="212"/>
      <c r="O58" s="212"/>
    </row>
    <row r="59" spans="2:16">
      <c r="B59" s="212"/>
      <c r="C59" s="212"/>
      <c r="E59"/>
      <c r="H59" t="s">
        <v>979</v>
      </c>
      <c r="M59" s="376"/>
      <c r="N59" s="214"/>
      <c r="O59" s="214"/>
    </row>
    <row r="60" spans="2:16">
      <c r="C60" s="56"/>
      <c r="D60" s="243"/>
      <c r="E60"/>
      <c r="H60" t="s">
        <v>980</v>
      </c>
      <c r="M60" s="365"/>
      <c r="N60"/>
      <c r="O60"/>
    </row>
    <row r="61" spans="2:16">
      <c r="C61" s="56"/>
      <c r="E61"/>
      <c r="H61" t="s">
        <v>981</v>
      </c>
      <c r="M61" s="278"/>
      <c r="N61" s="212"/>
      <c r="O61" s="212"/>
    </row>
    <row r="62" spans="2:16">
      <c r="C62" s="56"/>
      <c r="D62" s="56"/>
      <c r="E62"/>
      <c r="H62" t="s">
        <v>982</v>
      </c>
      <c r="M62" s="365"/>
      <c r="N62" s="56"/>
      <c r="O62" s="56"/>
    </row>
    <row r="63" spans="2:16">
      <c r="C63" s="56"/>
      <c r="E63"/>
      <c r="H63" t="s">
        <v>983</v>
      </c>
      <c r="M63" s="365"/>
      <c r="N63"/>
      <c r="O63"/>
    </row>
    <row r="64" spans="2:16">
      <c r="C64" s="56"/>
      <c r="E64"/>
      <c r="H64" t="s">
        <v>984</v>
      </c>
      <c r="M64" s="278"/>
      <c r="N64" s="212"/>
      <c r="O64" s="212"/>
    </row>
    <row r="65" spans="2:15">
      <c r="C65" s="56"/>
      <c r="E65"/>
      <c r="M65" s="365"/>
      <c r="N65" s="38"/>
      <c r="O65" s="56"/>
    </row>
    <row r="66" spans="2:15" ht="14.4">
      <c r="C66" s="56"/>
      <c r="E66"/>
      <c r="N66"/>
    </row>
    <row r="67" spans="2:15" ht="14.4">
      <c r="C67" s="56"/>
      <c r="E67"/>
    </row>
    <row r="68" spans="2:15" ht="14.4">
      <c r="C68" s="56"/>
      <c r="E68"/>
    </row>
    <row r="69" spans="2:15" ht="14.4">
      <c r="C69" s="56"/>
      <c r="E69"/>
    </row>
    <row r="70" spans="2:15" ht="14.4">
      <c r="C70" s="56"/>
      <c r="E70"/>
    </row>
    <row r="71" spans="2:15">
      <c r="E71" s="365"/>
    </row>
    <row r="72" spans="2:15" ht="14.4">
      <c r="B72" s="212"/>
      <c r="C72" s="294"/>
      <c r="D72" s="212"/>
      <c r="E72" s="212"/>
      <c r="F72" s="212"/>
      <c r="G72" s="212"/>
    </row>
    <row r="73" spans="2:15" ht="14.4">
      <c r="C73" s="56"/>
      <c r="D73" s="56"/>
      <c r="E73" s="56"/>
      <c r="F73" s="56"/>
      <c r="G73" s="56"/>
    </row>
    <row r="74" spans="2:15" ht="14.4">
      <c r="C74" s="56"/>
      <c r="D74" s="56"/>
      <c r="E74" s="56"/>
      <c r="F74" s="56"/>
      <c r="G74" s="56"/>
    </row>
    <row r="75" spans="2:15" ht="14.4">
      <c r="C75" s="56"/>
      <c r="D75" s="56"/>
      <c r="E75" s="56"/>
      <c r="F75" s="56"/>
      <c r="G75" s="56"/>
    </row>
    <row r="76" spans="2:15" ht="14.4">
      <c r="C76" s="56"/>
      <c r="D76" s="56"/>
      <c r="E76" s="56"/>
      <c r="F76" s="56"/>
      <c r="G76" s="56"/>
    </row>
    <row r="77" spans="2:15" ht="14.4">
      <c r="C77" s="56"/>
      <c r="D77" s="56"/>
      <c r="E77" s="56"/>
      <c r="F77" s="56"/>
      <c r="G77" s="56"/>
    </row>
    <row r="78" spans="2:15" ht="14.4">
      <c r="C78" s="56"/>
      <c r="E78" s="56"/>
    </row>
    <row r="80" spans="2:15" ht="14.4">
      <c r="E80" s="212"/>
      <c r="F80" s="212"/>
      <c r="G80" s="212"/>
    </row>
    <row r="81" spans="5:7" ht="14.4">
      <c r="E81" s="56"/>
      <c r="F81" s="56"/>
      <c r="G81" s="56"/>
    </row>
    <row r="82" spans="5:7" ht="14.4">
      <c r="E82" s="56"/>
      <c r="F82" s="56"/>
      <c r="G82" s="56"/>
    </row>
    <row r="83" spans="5:7" ht="14.4">
      <c r="E83" s="56"/>
      <c r="F83" s="56"/>
      <c r="G83" s="56"/>
    </row>
    <row r="84" spans="5:7" ht="14.4">
      <c r="E84" s="56"/>
      <c r="F84" s="56"/>
      <c r="G84" s="56"/>
    </row>
    <row r="85" spans="5:7" ht="14.4">
      <c r="E85" s="56"/>
      <c r="F85" s="56"/>
      <c r="G85" s="56"/>
    </row>
    <row r="86" spans="5:7" ht="14.4">
      <c r="E86" s="56"/>
    </row>
    <row r="88" spans="5:7" ht="14.4">
      <c r="E88" s="212"/>
      <c r="F88" s="212"/>
      <c r="G88" s="212"/>
    </row>
    <row r="89" spans="5:7" ht="14.4">
      <c r="E89" s="56"/>
      <c r="F89" s="56"/>
      <c r="G89" s="56"/>
    </row>
    <row r="90" spans="5:7" ht="14.4">
      <c r="E90" s="56"/>
      <c r="F90" s="56"/>
      <c r="G90" s="56"/>
    </row>
    <row r="91" spans="5:7" ht="14.4">
      <c r="E91" s="56"/>
      <c r="F91" s="56"/>
      <c r="G91" s="56"/>
    </row>
    <row r="92" spans="5:7" ht="14.4">
      <c r="E92" s="56"/>
      <c r="F92" s="56"/>
      <c r="G92" s="56"/>
    </row>
    <row r="93" spans="5:7" ht="14.4">
      <c r="E93" s="56"/>
      <c r="F93" s="56"/>
      <c r="G93" s="56"/>
    </row>
    <row r="94" spans="5:7" ht="14.4">
      <c r="E94" s="56"/>
    </row>
    <row r="95" spans="5:7">
      <c r="E95" s="365"/>
    </row>
  </sheetData>
  <mergeCells count="28">
    <mergeCell ref="B44:F44"/>
    <mergeCell ref="J44:N44"/>
    <mergeCell ref="B45:C45"/>
    <mergeCell ref="D57:J57"/>
    <mergeCell ref="L57:O57"/>
    <mergeCell ref="D45:E45"/>
    <mergeCell ref="B42:D42"/>
    <mergeCell ref="B22:E22"/>
    <mergeCell ref="B23:C23"/>
    <mergeCell ref="D23:E23"/>
    <mergeCell ref="B24:B26"/>
    <mergeCell ref="C24:C26"/>
    <mergeCell ref="B27:C28"/>
    <mergeCell ref="B32:E32"/>
    <mergeCell ref="B33:C33"/>
    <mergeCell ref="D33:E33"/>
    <mergeCell ref="B34:B39"/>
    <mergeCell ref="C34:C39"/>
    <mergeCell ref="B1:N1"/>
    <mergeCell ref="B4:E4"/>
    <mergeCell ref="B5:C5"/>
    <mergeCell ref="D5:E5"/>
    <mergeCell ref="B6:B20"/>
    <mergeCell ref="C6:C20"/>
    <mergeCell ref="F3:G3"/>
    <mergeCell ref="H3:I3"/>
    <mergeCell ref="J3:K3"/>
    <mergeCell ref="L3:M3"/>
  </mergeCells>
  <pageMargins left="0.7" right="0.7" top="0.75" bottom="0.75" header="0.3" footer="0.3"/>
  <pageSetup orientation="portrait" r:id="rId1"/>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346A-D1A2-4F55-80EF-89BB9D8839BB}">
  <sheetPr codeName="Sheet77"/>
  <dimension ref="A1:T92"/>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5" width="23" style="267" customWidth="1"/>
    <col min="6" max="12" width="22.44140625" customWidth="1"/>
    <col min="13" max="13" width="21.6640625" customWidth="1"/>
    <col min="14" max="15" width="22.44140625" style="7" customWidth="1"/>
    <col min="16" max="16" width="24.44140625" customWidth="1"/>
    <col min="20" max="20" width="16.109375" customWidth="1"/>
  </cols>
  <sheetData>
    <row r="1" spans="1:20" ht="25.5" customHeight="1">
      <c r="A1" t="str">
        <f ca="1">UPPER(TEXT((1&amp;LEFT(B$1,3))-1,"MMM"))&amp;"-"&amp;UPPER(TEXT((1&amp;RIGHT(LEFT(B$1,7),3))-1,"MMM"))&amp;" "&amp;RIGHT(B$1,4)</f>
        <v>FEB-MAR 2020</v>
      </c>
      <c r="B1" s="730" t="str">
        <f ca="1">MID(CELL("filename",B1),FIND("]",CELL("filename",B1))+1,255)</f>
        <v>MAR-APR 2020</v>
      </c>
      <c r="C1" s="731"/>
      <c r="D1" s="731"/>
      <c r="E1" s="731"/>
      <c r="F1" s="731"/>
      <c r="G1" s="731"/>
      <c r="H1" s="731"/>
      <c r="I1" s="731"/>
      <c r="J1" s="731"/>
      <c r="K1" s="731"/>
      <c r="L1" s="731"/>
      <c r="M1" s="731"/>
      <c r="N1" s="731"/>
      <c r="O1" s="298"/>
      <c r="P1" s="281"/>
      <c r="Q1" s="272"/>
      <c r="R1" s="272"/>
      <c r="S1" s="272"/>
    </row>
    <row r="2" spans="1:20">
      <c r="B2" s="118"/>
      <c r="C2" s="118"/>
      <c r="D2">
        <f>1810.29-650</f>
        <v>1160.29</v>
      </c>
      <c r="E2" s="365"/>
      <c r="F2" s="79" t="s">
        <v>798</v>
      </c>
      <c r="G2" s="307" t="s">
        <v>814</v>
      </c>
      <c r="H2" s="79" t="s">
        <v>799</v>
      </c>
      <c r="I2" s="307" t="s">
        <v>814</v>
      </c>
      <c r="J2" s="79" t="s">
        <v>800</v>
      </c>
      <c r="K2" s="307" t="s">
        <v>814</v>
      </c>
      <c r="L2" s="79" t="s">
        <v>801</v>
      </c>
      <c r="M2" s="307" t="s">
        <v>814</v>
      </c>
      <c r="N2" s="273" t="s">
        <v>10</v>
      </c>
      <c r="O2" s="273"/>
      <c r="P2" s="283" t="s">
        <v>803</v>
      </c>
    </row>
    <row r="3" spans="1:20">
      <c r="B3" s="118"/>
      <c r="C3" s="118"/>
      <c r="E3" s="365"/>
      <c r="F3" s="732">
        <v>43915</v>
      </c>
      <c r="G3" s="732"/>
      <c r="H3" s="732">
        <f>F3+7</f>
        <v>43922</v>
      </c>
      <c r="I3" s="732"/>
      <c r="J3" s="732">
        <f>H3+7</f>
        <v>43929</v>
      </c>
      <c r="K3" s="732"/>
      <c r="L3" s="732">
        <f>J3+7</f>
        <v>43936</v>
      </c>
      <c r="M3" s="732"/>
      <c r="N3" s="273"/>
      <c r="O3" s="273"/>
      <c r="P3" s="282"/>
    </row>
    <row r="4" spans="1:20" ht="15" customHeight="1">
      <c r="B4" s="727" t="s">
        <v>804</v>
      </c>
      <c r="C4" s="727"/>
      <c r="D4" s="727"/>
      <c r="E4" s="727"/>
      <c r="G4" s="311">
        <f>SUM(G6:G37)</f>
        <v>304.89</v>
      </c>
      <c r="I4" s="311">
        <f>SUM(I6:I37)</f>
        <v>44.540000000000006</v>
      </c>
      <c r="K4" s="311">
        <f>SUM(K6:K37)</f>
        <v>177.82999999999998</v>
      </c>
      <c r="M4" s="304">
        <f>SUM(M6:M37)</f>
        <v>52.03</v>
      </c>
      <c r="N4" s="308">
        <f>IF(G38&lt;&gt;"PAID",G4,0)+IF(I38&lt;&gt;"PAID",I4,0)+IF(K38&lt;&gt;"PAID",K4,0)+IF(M38&lt;&gt;"PAID",M4,0)</f>
        <v>0</v>
      </c>
      <c r="O4" s="309" t="s">
        <v>973</v>
      </c>
      <c r="P4" s="282"/>
    </row>
    <row r="5" spans="1:20" ht="15" customHeight="1">
      <c r="B5" s="733" t="str">
        <f>IF(D5&gt;E$39*0.5,ROUND(D5-E$39*0.5,2) &amp; " Over",ROUND(E$39*0.5-D5,2) &amp; " Under")</f>
        <v>441.48 Under</v>
      </c>
      <c r="C5" s="733"/>
      <c r="D5" s="761">
        <f>SUM(E6:E17)</f>
        <v>1658.2700000000002</v>
      </c>
      <c r="E5" s="761"/>
      <c r="F5" s="284"/>
      <c r="G5" s="306">
        <f>(($E$6+$E$7)/4)-SUM(F6:G6)-SUM(F7:G7)</f>
        <v>-7.7999999999999972</v>
      </c>
      <c r="H5" s="79"/>
      <c r="I5" s="306"/>
      <c r="J5" s="79"/>
      <c r="K5" s="306"/>
      <c r="L5" s="79"/>
      <c r="M5" s="305"/>
      <c r="N5" s="285">
        <f>SUMIF(N6:N17,"&gt;0")</f>
        <v>17.279999999999994</v>
      </c>
      <c r="O5" s="285" t="s">
        <v>892</v>
      </c>
      <c r="P5" s="282">
        <f>SUM(P6:P17)</f>
        <v>1.2800000000000011</v>
      </c>
    </row>
    <row r="6" spans="1:20" ht="15" customHeight="1">
      <c r="B6" s="734" t="str">
        <f>"50%: " &amp; E$39*0.5</f>
        <v>50%: 2099.75</v>
      </c>
      <c r="C6" s="734" t="str">
        <f>ROUND((D5/E$39)*100,2) &amp; "%: " &amp;D5</f>
        <v>39.49%: 1658.27</v>
      </c>
      <c r="D6" s="13" t="s">
        <v>805</v>
      </c>
      <c r="E6" s="374">
        <f>100-53</f>
        <v>47</v>
      </c>
      <c r="G6" s="305">
        <f>21.99</f>
        <v>21.99</v>
      </c>
      <c r="I6" s="305">
        <v>25.01</v>
      </c>
      <c r="K6" s="305"/>
      <c r="M6" s="305"/>
      <c r="N6" s="274">
        <f>E6-SUM(F6:M6)</f>
        <v>0</v>
      </c>
      <c r="O6" s="274" t="str">
        <f t="shared" ref="O6:O17" si="0">D6</f>
        <v>Car Petrol / commuting</v>
      </c>
      <c r="P6" s="282">
        <f t="shared" ref="P6:P17" si="1">IF(N6&lt;0,N6*-1,0)</f>
        <v>0</v>
      </c>
    </row>
    <row r="7" spans="1:20" ht="15" customHeight="1">
      <c r="B7" s="734"/>
      <c r="C7" s="734"/>
      <c r="D7" s="13" t="s">
        <v>169</v>
      </c>
      <c r="E7" s="365">
        <f>(65*4)+53+20</f>
        <v>333</v>
      </c>
      <c r="F7">
        <f>8.77+12.24+13.07</f>
        <v>34.08</v>
      </c>
      <c r="G7" s="305">
        <f>26.06+13.39+7.28</f>
        <v>46.730000000000004</v>
      </c>
      <c r="H7">
        <f>33.07+52.04</f>
        <v>85.11</v>
      </c>
      <c r="I7" s="305">
        <f>6.75+12.78</f>
        <v>19.53</v>
      </c>
      <c r="J7">
        <f>11.82+2.5</f>
        <v>14.32</v>
      </c>
      <c r="K7" s="305">
        <f>(67.11-37.11)+22.21</f>
        <v>52.21</v>
      </c>
      <c r="L7">
        <f>8.7+15.41</f>
        <v>24.11</v>
      </c>
      <c r="M7" s="305">
        <f>52.03</f>
        <v>52.03</v>
      </c>
      <c r="N7" s="274">
        <f>E7-SUM(F7:M7)</f>
        <v>4.8799999999999955</v>
      </c>
      <c r="O7" s="274" t="str">
        <f t="shared" si="0"/>
        <v>Food</v>
      </c>
      <c r="P7" s="282">
        <f t="shared" si="1"/>
        <v>0</v>
      </c>
    </row>
    <row r="8" spans="1:20" ht="15" customHeight="1">
      <c r="B8" s="734"/>
      <c r="C8" s="734"/>
      <c r="D8" s="13" t="s">
        <v>919</v>
      </c>
      <c r="E8" s="365">
        <v>20</v>
      </c>
      <c r="G8" s="305">
        <f>(65.54-45.54)</f>
        <v>20.000000000000007</v>
      </c>
      <c r="I8" s="305"/>
      <c r="K8" s="305"/>
      <c r="M8" s="305"/>
      <c r="N8" s="274">
        <f t="shared" ref="N8:N17" si="2">E8-SUM(F8:M8)</f>
        <v>0</v>
      </c>
      <c r="O8" s="274" t="str">
        <f t="shared" si="0"/>
        <v>Bun</v>
      </c>
      <c r="P8" s="282">
        <f t="shared" si="1"/>
        <v>0</v>
      </c>
    </row>
    <row r="9" spans="1:20" ht="15" customHeight="1" outlineLevel="1">
      <c r="B9" s="734"/>
      <c r="C9" s="734"/>
      <c r="D9" s="201" t="s">
        <v>595</v>
      </c>
      <c r="E9" s="365">
        <v>452.64</v>
      </c>
      <c r="G9" s="305"/>
      <c r="I9" s="305"/>
      <c r="K9" s="305"/>
      <c r="L9">
        <v>452.64</v>
      </c>
      <c r="M9" s="305"/>
      <c r="N9" s="274">
        <f t="shared" si="2"/>
        <v>0</v>
      </c>
      <c r="O9" s="274" t="str">
        <f t="shared" si="0"/>
        <v>Mortgage</v>
      </c>
      <c r="P9" s="282">
        <f t="shared" si="1"/>
        <v>0</v>
      </c>
      <c r="S9" s="242"/>
      <c r="T9" s="242"/>
    </row>
    <row r="10" spans="1:20" ht="15" customHeight="1" outlineLevel="1">
      <c r="B10" s="734"/>
      <c r="C10" s="734"/>
      <c r="D10" s="201" t="s">
        <v>596</v>
      </c>
      <c r="E10" s="365">
        <v>123.24</v>
      </c>
      <c r="G10" s="305"/>
      <c r="I10" s="305"/>
      <c r="K10" s="305"/>
      <c r="L10">
        <v>123.24</v>
      </c>
      <c r="M10" s="305"/>
      <c r="N10" s="274">
        <f t="shared" si="2"/>
        <v>0</v>
      </c>
      <c r="O10" s="274" t="str">
        <f t="shared" si="0"/>
        <v>Council tax</v>
      </c>
      <c r="P10" s="282">
        <f t="shared" si="1"/>
        <v>0</v>
      </c>
      <c r="S10" s="242"/>
      <c r="T10" s="242"/>
    </row>
    <row r="11" spans="1:20" ht="15" customHeight="1" outlineLevel="1">
      <c r="B11" s="734"/>
      <c r="C11" s="734"/>
      <c r="D11" s="201" t="s">
        <v>785</v>
      </c>
      <c r="E11" s="365">
        <f>16+40+1</f>
        <v>57</v>
      </c>
      <c r="G11" s="305"/>
      <c r="I11" s="305"/>
      <c r="K11" s="305"/>
      <c r="L11">
        <f>16+40+1</f>
        <v>57</v>
      </c>
      <c r="M11" s="305"/>
      <c r="N11" s="274">
        <f t="shared" si="2"/>
        <v>0</v>
      </c>
      <c r="O11" s="274" t="str">
        <f t="shared" si="0"/>
        <v>Utilities (G,W,E,TV)</v>
      </c>
      <c r="P11" s="282">
        <f t="shared" si="1"/>
        <v>0</v>
      </c>
    </row>
    <row r="12" spans="1:20" ht="15" customHeight="1" outlineLevel="1">
      <c r="B12" s="734"/>
      <c r="C12" s="734"/>
      <c r="D12" s="201" t="s">
        <v>894</v>
      </c>
      <c r="E12" s="365">
        <f>4.52+15.97+8.56+20.89+8</f>
        <v>57.940000000000005</v>
      </c>
      <c r="G12" s="305"/>
      <c r="I12" s="305"/>
      <c r="K12" s="305"/>
      <c r="L12">
        <f>8+20.89+29.05</f>
        <v>57.94</v>
      </c>
      <c r="M12" s="305"/>
      <c r="N12" s="274">
        <f t="shared" si="2"/>
        <v>0</v>
      </c>
      <c r="O12" s="274" t="str">
        <f t="shared" si="0"/>
        <v>Insurances</v>
      </c>
      <c r="P12" s="282">
        <f t="shared" si="1"/>
        <v>0</v>
      </c>
    </row>
    <row r="13" spans="1:20" ht="15" customHeight="1" outlineLevel="1">
      <c r="B13" s="734"/>
      <c r="C13" s="734"/>
      <c r="D13" s="201" t="s">
        <v>602</v>
      </c>
      <c r="E13" s="365">
        <v>39.99</v>
      </c>
      <c r="G13" s="305"/>
      <c r="I13" s="305"/>
      <c r="K13" s="305"/>
      <c r="L13">
        <v>41.27</v>
      </c>
      <c r="M13" s="305"/>
      <c r="N13" s="274">
        <f t="shared" si="2"/>
        <v>-1.2800000000000011</v>
      </c>
      <c r="O13" s="274" t="str">
        <f t="shared" si="0"/>
        <v>Broadband / TV</v>
      </c>
      <c r="P13" s="282">
        <f t="shared" si="1"/>
        <v>1.2800000000000011</v>
      </c>
      <c r="S13" s="242"/>
      <c r="T13" s="242"/>
    </row>
    <row r="14" spans="1:20" ht="15" customHeight="1" outlineLevel="1">
      <c r="B14" s="734"/>
      <c r="C14" s="734"/>
      <c r="D14" s="201" t="s">
        <v>582</v>
      </c>
      <c r="E14" s="365">
        <v>7.99</v>
      </c>
      <c r="G14" s="305"/>
      <c r="H14">
        <v>7.99</v>
      </c>
      <c r="I14" s="305"/>
      <c r="K14" s="305"/>
      <c r="M14" s="305"/>
      <c r="N14" s="274">
        <f t="shared" si="2"/>
        <v>0</v>
      </c>
      <c r="O14" s="274" t="str">
        <f t="shared" si="0"/>
        <v>Onedrive (6th)</v>
      </c>
      <c r="P14" s="282">
        <f t="shared" si="1"/>
        <v>0</v>
      </c>
    </row>
    <row r="15" spans="1:20" ht="15" customHeight="1" outlineLevel="1">
      <c r="B15" s="734"/>
      <c r="C15" s="734"/>
      <c r="D15" s="201" t="s">
        <v>788</v>
      </c>
      <c r="E15" s="365">
        <v>10.16</v>
      </c>
      <c r="F15">
        <v>10.01</v>
      </c>
      <c r="G15" s="305"/>
      <c r="I15" s="305"/>
      <c r="K15" s="305"/>
      <c r="M15" s="305"/>
      <c r="N15" s="274">
        <f t="shared" si="2"/>
        <v>0.15000000000000036</v>
      </c>
      <c r="O15" s="274" t="str">
        <f t="shared" si="0"/>
        <v>Matt Phone</v>
      </c>
      <c r="P15" s="282">
        <f t="shared" si="1"/>
        <v>0</v>
      </c>
    </row>
    <row r="16" spans="1:20" ht="15" customHeight="1" outlineLevel="1">
      <c r="B16" s="734"/>
      <c r="C16" s="734"/>
      <c r="D16" s="201" t="s">
        <v>985</v>
      </c>
      <c r="E16" s="365">
        <f>28.43+12.25+65.87+93.72</f>
        <v>200.27</v>
      </c>
      <c r="F16">
        <f>65.87+93.72</f>
        <v>159.59</v>
      </c>
      <c r="G16" s="305"/>
      <c r="H16">
        <f>28.43</f>
        <v>28.43</v>
      </c>
      <c r="I16" s="305"/>
      <c r="K16" s="305"/>
      <c r="M16" s="305"/>
      <c r="N16" s="274">
        <f t="shared" si="2"/>
        <v>12.25</v>
      </c>
      <c r="O16" s="274" t="str">
        <f t="shared" si="0"/>
        <v>Car Tax / Insurance</v>
      </c>
      <c r="P16" s="282">
        <f t="shared" si="1"/>
        <v>0</v>
      </c>
    </row>
    <row r="17" spans="2:18" ht="15" customHeight="1" outlineLevel="1">
      <c r="B17" s="734"/>
      <c r="C17" s="734"/>
      <c r="D17" s="293" t="s">
        <v>920</v>
      </c>
      <c r="E17" s="277">
        <f>179.07+129.97</f>
        <v>309.03999999999996</v>
      </c>
      <c r="G17" s="305"/>
      <c r="I17" s="305"/>
      <c r="K17" s="305"/>
      <c r="L17">
        <f>179.07+129.97</f>
        <v>309.03999999999996</v>
      </c>
      <c r="M17" s="305"/>
      <c r="N17" s="274">
        <f t="shared" si="2"/>
        <v>0</v>
      </c>
      <c r="O17" s="274" t="str">
        <f t="shared" si="0"/>
        <v>Finance</v>
      </c>
      <c r="P17" s="282">
        <f t="shared" si="1"/>
        <v>0</v>
      </c>
    </row>
    <row r="18" spans="2:18" ht="15" customHeight="1">
      <c r="B18" s="118"/>
      <c r="C18" s="118"/>
      <c r="D18" s="188"/>
      <c r="E18" s="365"/>
      <c r="G18" s="305"/>
      <c r="I18" s="305"/>
      <c r="K18" s="305"/>
      <c r="M18" s="305"/>
      <c r="N18" s="273"/>
      <c r="O18" s="273"/>
      <c r="P18" s="282"/>
    </row>
    <row r="19" spans="2:18" ht="15" customHeight="1">
      <c r="B19" s="736" t="s">
        <v>808</v>
      </c>
      <c r="C19" s="736"/>
      <c r="D19" s="736"/>
      <c r="E19" s="736"/>
      <c r="G19" s="305"/>
      <c r="I19" s="305"/>
      <c r="K19" s="305"/>
      <c r="M19" s="305"/>
      <c r="N19" s="274"/>
      <c r="O19" s="274"/>
      <c r="P19" s="282"/>
    </row>
    <row r="20" spans="2:18" ht="15" customHeight="1">
      <c r="B20" s="727" t="str">
        <f>IF(ISNUMBER((SEARCH("Over",C$5))),"Operating under budget","Operating over budget")</f>
        <v>Operating over budget</v>
      </c>
      <c r="C20" s="727"/>
      <c r="D20" s="759">
        <f>SUM(E21:E26)</f>
        <v>954.89</v>
      </c>
      <c r="E20" s="759"/>
      <c r="G20" s="305"/>
      <c r="I20" s="305"/>
      <c r="K20" s="305"/>
      <c r="M20" s="305"/>
      <c r="N20" s="285">
        <f>SUMIF(N21:N27,"&gt;0")</f>
        <v>625.50999999999954</v>
      </c>
      <c r="O20" s="285" t="s">
        <v>895</v>
      </c>
      <c r="P20" s="282">
        <f>SUM(P22:P26)</f>
        <v>0</v>
      </c>
      <c r="R20" s="11">
        <f>N20+N5</f>
        <v>642.78999999999951</v>
      </c>
    </row>
    <row r="21" spans="2:18" ht="15" customHeight="1" outlineLevel="1">
      <c r="B21" s="734" t="str">
        <f>"20% : " &amp; E$39*0.2</f>
        <v>20% : 839.9</v>
      </c>
      <c r="C21" s="734" t="str">
        <f>"20% : " &amp; E$39*0.2</f>
        <v>20% : 839.9</v>
      </c>
      <c r="D21" s="300" t="s">
        <v>896</v>
      </c>
      <c r="E21" s="365">
        <v>100</v>
      </c>
      <c r="G21" s="305"/>
      <c r="I21" s="305"/>
      <c r="K21" s="315">
        <f>21.59</f>
        <v>21.59</v>
      </c>
      <c r="M21" s="305"/>
      <c r="N21" s="274">
        <f>E21-SUM(F21:M21)-P39</f>
        <v>53.739999999999583</v>
      </c>
      <c r="O21" s="274" t="str">
        <f t="shared" ref="O21:O27" si="3">D21</f>
        <v>Contingency 20%</v>
      </c>
      <c r="P21" s="282">
        <f>SUM(P22:P28)</f>
        <v>0</v>
      </c>
    </row>
    <row r="22" spans="2:18" ht="15" customHeight="1" outlineLevel="1">
      <c r="B22" s="734"/>
      <c r="C22" s="734"/>
      <c r="D22" s="300" t="s">
        <v>897</v>
      </c>
      <c r="E22" s="365">
        <f>400-365.11</f>
        <v>34.889999999999986</v>
      </c>
      <c r="G22" s="305"/>
      <c r="I22" s="305"/>
      <c r="K22" s="305"/>
      <c r="M22" s="305"/>
      <c r="N22" s="274">
        <f t="shared" ref="N22:N27" si="4">E22-SUM(F22:M22)</f>
        <v>34.889999999999986</v>
      </c>
      <c r="O22" s="274" t="str">
        <f t="shared" si="3"/>
        <v>Holiday Fund 60%</v>
      </c>
      <c r="P22" s="282">
        <f t="shared" ref="P22:P27" si="5">IF(N22&lt;0,N22*-1,0)</f>
        <v>0</v>
      </c>
    </row>
    <row r="23" spans="2:18" ht="15" customHeight="1" outlineLevel="1">
      <c r="B23" s="734"/>
      <c r="C23" s="734"/>
      <c r="D23" s="300" t="s">
        <v>811</v>
      </c>
      <c r="E23" s="365">
        <v>250</v>
      </c>
      <c r="G23" s="305">
        <f>((119.42+10.99) - 80.41)</f>
        <v>50</v>
      </c>
      <c r="I23" s="305"/>
      <c r="K23" s="305"/>
      <c r="L23">
        <f>18.99</f>
        <v>18.989999999999998</v>
      </c>
      <c r="M23" s="305"/>
      <c r="N23" s="274">
        <f t="shared" si="4"/>
        <v>181.01</v>
      </c>
      <c r="O23" s="274" t="str">
        <f t="shared" si="3"/>
        <v>Gift Fund 20%</v>
      </c>
      <c r="P23" s="282">
        <f t="shared" si="5"/>
        <v>0</v>
      </c>
    </row>
    <row r="24" spans="2:18" ht="15" customHeight="1" outlineLevel="1">
      <c r="B24" s="734" t="s">
        <v>130</v>
      </c>
      <c r="C24" s="734"/>
      <c r="D24" s="300" t="s">
        <v>812</v>
      </c>
      <c r="E24" s="365">
        <v>20</v>
      </c>
      <c r="G24" s="305"/>
      <c r="H24">
        <v>20</v>
      </c>
      <c r="I24" s="305"/>
      <c r="K24" s="305"/>
      <c r="M24" s="305"/>
      <c r="N24" s="274">
        <f t="shared" si="4"/>
        <v>0</v>
      </c>
      <c r="O24" s="274" t="str">
        <f t="shared" si="3"/>
        <v>Wedding</v>
      </c>
      <c r="P24" s="282">
        <f t="shared" si="5"/>
        <v>0</v>
      </c>
    </row>
    <row r="25" spans="2:18" ht="15" customHeight="1" outlineLevel="1">
      <c r="B25" s="734"/>
      <c r="C25" s="734"/>
      <c r="D25" s="300" t="s">
        <v>174</v>
      </c>
      <c r="E25" s="365">
        <v>500</v>
      </c>
      <c r="F25" s="11"/>
      <c r="G25" s="306">
        <f>37.91+39.74+42.98+(65.54-20)</f>
        <v>166.17000000000002</v>
      </c>
      <c r="I25" s="305"/>
      <c r="K25" s="305">
        <f>(57.96-30)</f>
        <v>27.96</v>
      </c>
      <c r="M25" s="305"/>
      <c r="N25" s="274">
        <f t="shared" si="4"/>
        <v>305.87</v>
      </c>
      <c r="O25" s="274" t="str">
        <f t="shared" si="3"/>
        <v>House</v>
      </c>
      <c r="P25" s="282">
        <f t="shared" si="5"/>
        <v>0</v>
      </c>
    </row>
    <row r="26" spans="2:18" ht="15" customHeight="1" outlineLevel="1">
      <c r="B26" s="7"/>
      <c r="C26" s="7"/>
      <c r="D26" s="300" t="s">
        <v>953</v>
      </c>
      <c r="E26" s="365">
        <v>50</v>
      </c>
      <c r="F26" s="11"/>
      <c r="G26" s="306"/>
      <c r="I26" s="305"/>
      <c r="K26" s="305"/>
      <c r="M26" s="305"/>
      <c r="N26" s="274">
        <f t="shared" si="4"/>
        <v>50</v>
      </c>
      <c r="O26" s="274" t="str">
        <f t="shared" si="3"/>
        <v>Cars (Service / MOT) £45</v>
      </c>
      <c r="P26" s="282">
        <f t="shared" si="5"/>
        <v>0</v>
      </c>
    </row>
    <row r="27" spans="2:18" ht="15" customHeight="1" outlineLevel="1">
      <c r="B27" s="7"/>
      <c r="C27" s="7"/>
      <c r="D27" s="300" t="s">
        <v>814</v>
      </c>
      <c r="E27" s="365">
        <f>830+365.11+219.66</f>
        <v>1414.7700000000002</v>
      </c>
      <c r="F27" s="11"/>
      <c r="G27" s="306"/>
      <c r="H27" s="312">
        <f>830+(304.89-304.89)+365.11</f>
        <v>1195.1100000000001</v>
      </c>
      <c r="I27" s="305"/>
      <c r="J27" s="312"/>
      <c r="K27" s="305"/>
      <c r="L27">
        <v>219.66</v>
      </c>
      <c r="M27" s="305"/>
      <c r="N27" s="274">
        <f t="shared" si="4"/>
        <v>0</v>
      </c>
      <c r="O27" s="274" t="str">
        <f t="shared" si="3"/>
        <v>CC</v>
      </c>
      <c r="P27" s="282">
        <f t="shared" si="5"/>
        <v>0</v>
      </c>
    </row>
    <row r="28" spans="2:18" ht="15" customHeight="1">
      <c r="B28" s="118"/>
      <c r="C28" s="118"/>
      <c r="E28" s="365"/>
      <c r="G28" s="305"/>
      <c r="I28" s="305"/>
      <c r="K28" s="305"/>
      <c r="M28" s="305"/>
      <c r="N28" s="273"/>
      <c r="O28" s="273"/>
      <c r="P28" s="282"/>
    </row>
    <row r="29" spans="2:18" ht="15" customHeight="1">
      <c r="B29" s="727"/>
      <c r="C29" s="727"/>
      <c r="D29" s="727"/>
      <c r="E29" s="727"/>
      <c r="G29" s="305"/>
      <c r="I29" s="305"/>
      <c r="K29" s="305"/>
      <c r="M29" s="305"/>
      <c r="N29" s="273"/>
      <c r="O29" s="273"/>
      <c r="P29" s="282"/>
    </row>
    <row r="30" spans="2:18" ht="15" customHeight="1">
      <c r="B30" s="727" t="str">
        <f>IF(ISNUMBER((SEARCH("Over",B$5))),"Operating under budget","Operating over budget")</f>
        <v>Operating over budget</v>
      </c>
      <c r="C30" s="727"/>
      <c r="D30" s="759">
        <f>(E$39-D5-D20)</f>
        <v>1586.3399999999997</v>
      </c>
      <c r="E30" s="727"/>
      <c r="G30" s="305"/>
      <c r="I30" s="305"/>
      <c r="K30" s="305"/>
      <c r="M30" s="305"/>
      <c r="N30" s="285">
        <f>SUMIF(N31:N35,"&gt;0")</f>
        <v>0</v>
      </c>
      <c r="O30" s="285" t="s">
        <v>899</v>
      </c>
      <c r="P30" s="282">
        <f>SUM(P31:P36)</f>
        <v>23.390000000000413</v>
      </c>
    </row>
    <row r="31" spans="2:18" ht="18" outlineLevel="1">
      <c r="B31" s="734"/>
      <c r="C31" s="760"/>
      <c r="D31" s="13" t="s">
        <v>954</v>
      </c>
      <c r="E31" s="365">
        <v>0</v>
      </c>
      <c r="G31" s="305"/>
      <c r="I31" s="305"/>
      <c r="K31" s="305"/>
      <c r="M31" s="305"/>
      <c r="N31" s="274">
        <f t="shared" ref="N31:N35" si="6">E31-SUM(F31:M31)</f>
        <v>0</v>
      </c>
      <c r="O31" s="274" t="str">
        <f t="shared" ref="O31:O37" si="7">D31</f>
        <v>Haircut</v>
      </c>
      <c r="P31" s="282">
        <f t="shared" ref="P31:P34" si="8">IF(N31&lt;0,N31*-1,0)</f>
        <v>0</v>
      </c>
    </row>
    <row r="32" spans="2:18" ht="18" outlineLevel="1">
      <c r="B32" s="734"/>
      <c r="C32" s="760"/>
      <c r="D32" s="13" t="s">
        <v>943</v>
      </c>
      <c r="E32" s="365">
        <v>10</v>
      </c>
      <c r="G32" s="305"/>
      <c r="I32" s="305"/>
      <c r="J32">
        <v>10</v>
      </c>
      <c r="K32" s="305"/>
      <c r="M32" s="305"/>
      <c r="N32" s="274">
        <f t="shared" si="6"/>
        <v>0</v>
      </c>
      <c r="O32" s="274" t="str">
        <f t="shared" si="7"/>
        <v>Car wash</v>
      </c>
      <c r="P32" s="282">
        <f t="shared" si="8"/>
        <v>0</v>
      </c>
    </row>
    <row r="33" spans="2:16" ht="18" outlineLevel="1">
      <c r="B33" s="734"/>
      <c r="C33" s="760"/>
      <c r="D33" s="13" t="s">
        <v>944</v>
      </c>
      <c r="E33" s="365">
        <v>15</v>
      </c>
      <c r="G33" s="305"/>
      <c r="I33" s="305"/>
      <c r="K33" s="305"/>
      <c r="L33">
        <v>15</v>
      </c>
      <c r="M33" s="305"/>
      <c r="N33" s="274">
        <f t="shared" si="6"/>
        <v>0</v>
      </c>
      <c r="O33" s="274" t="str">
        <f t="shared" si="7"/>
        <v>Windows</v>
      </c>
      <c r="P33" s="282">
        <f t="shared" si="8"/>
        <v>0</v>
      </c>
    </row>
    <row r="34" spans="2:16" ht="18" outlineLevel="1">
      <c r="B34" s="734"/>
      <c r="C34" s="760"/>
      <c r="D34" s="13" t="s">
        <v>177</v>
      </c>
      <c r="E34" s="365">
        <v>0</v>
      </c>
      <c r="G34" s="305"/>
      <c r="I34" s="305"/>
      <c r="K34" s="305"/>
      <c r="M34" s="305"/>
      <c r="N34" s="274">
        <f t="shared" si="6"/>
        <v>0</v>
      </c>
      <c r="O34" s="274" t="str">
        <f t="shared" si="7"/>
        <v>Gym</v>
      </c>
      <c r="P34" s="282">
        <f t="shared" si="8"/>
        <v>0</v>
      </c>
    </row>
    <row r="35" spans="2:16" ht="15.75" customHeight="1" outlineLevel="1">
      <c r="B35" s="734"/>
      <c r="C35" s="760"/>
      <c r="D35" s="13" t="s">
        <v>781</v>
      </c>
      <c r="E35" s="365">
        <f>13+2+10.65+7.99+2.4+14.56</f>
        <v>50.6</v>
      </c>
      <c r="F35">
        <f>2.4+13</f>
        <v>15.4</v>
      </c>
      <c r="G35" s="305"/>
      <c r="H35">
        <f>14.56+7.99</f>
        <v>22.55</v>
      </c>
      <c r="I35" s="305"/>
      <c r="J35">
        <v>10.65</v>
      </c>
      <c r="K35" s="305"/>
      <c r="L35">
        <v>2</v>
      </c>
      <c r="M35" s="305"/>
      <c r="N35" s="274">
        <f t="shared" si="6"/>
        <v>0</v>
      </c>
      <c r="O35" s="274" t="str">
        <f t="shared" si="7"/>
        <v>Subscriptions</v>
      </c>
      <c r="P35" s="282">
        <f>IF(N35&lt;0,N35*-1,0)</f>
        <v>0</v>
      </c>
    </row>
    <row r="36" spans="2:16" ht="18" outlineLevel="1">
      <c r="B36" s="734"/>
      <c r="C36" s="760"/>
      <c r="D36" s="13" t="s">
        <v>922</v>
      </c>
      <c r="E36" s="365">
        <f>(D30-SUM(E31:E35))-E27-E37</f>
        <v>95.969999999999573</v>
      </c>
      <c r="G36" s="305"/>
      <c r="H36">
        <f>0.79+0.99+18.29+4.05+4.99</f>
        <v>29.11</v>
      </c>
      <c r="I36" s="78"/>
      <c r="J36">
        <f>14.18</f>
        <v>14.18</v>
      </c>
      <c r="K36" s="305">
        <f>(67.11-30)+(57.96-27.96)+8.96</f>
        <v>76.069999999999993</v>
      </c>
      <c r="M36" s="305"/>
      <c r="N36" s="274">
        <f>IF(E36-SUM(F36:M36)&lt;=0,0,E36-SUM(F36:M36))</f>
        <v>0</v>
      </c>
      <c r="O36" s="274" t="str">
        <f t="shared" si="7"/>
        <v>Matt Fun</v>
      </c>
      <c r="P36" s="282">
        <f>IF(E36-SUM(F36:M36)&lt;=0,(E36-SUM(F36:M36))*-1,0)</f>
        <v>23.390000000000413</v>
      </c>
    </row>
    <row r="37" spans="2:16" ht="18" outlineLevel="1">
      <c r="B37" s="7"/>
      <c r="C37" s="284"/>
      <c r="D37" s="13" t="s">
        <v>152</v>
      </c>
      <c r="E37" s="365">
        <v>0</v>
      </c>
      <c r="G37" s="305"/>
      <c r="I37" s="305"/>
      <c r="K37" s="305"/>
      <c r="M37" s="305"/>
      <c r="N37" s="274">
        <f>E37-F37-H37-J37-L37-M37</f>
        <v>0</v>
      </c>
      <c r="O37" s="274" t="str">
        <f t="shared" si="7"/>
        <v>Kris</v>
      </c>
      <c r="P37" s="271"/>
    </row>
    <row r="38" spans="2:16">
      <c r="B38" s="118"/>
      <c r="C38" s="118"/>
      <c r="E38" s="365"/>
      <c r="G38" s="313" t="s">
        <v>986</v>
      </c>
      <c r="I38" s="313" t="s">
        <v>986</v>
      </c>
      <c r="K38" s="313" t="s">
        <v>986</v>
      </c>
      <c r="M38" s="313" t="s">
        <v>986</v>
      </c>
      <c r="N38" s="273"/>
      <c r="O38" s="273"/>
      <c r="P38" s="282"/>
    </row>
    <row r="39" spans="2:16" ht="18">
      <c r="B39" s="728" t="s">
        <v>817</v>
      </c>
      <c r="C39" s="728"/>
      <c r="D39" s="728"/>
      <c r="E39" s="375">
        <f>F39+H39+J39+L39+M39</f>
        <v>4199.5</v>
      </c>
      <c r="F39" s="271">
        <f>569.92+988+2421.92</f>
        <v>3979.84</v>
      </c>
      <c r="G39" s="271"/>
      <c r="H39" s="271"/>
      <c r="I39" s="271"/>
      <c r="J39" s="271"/>
      <c r="K39" s="271"/>
      <c r="L39" s="271">
        <v>219.66</v>
      </c>
      <c r="M39" s="271"/>
      <c r="N39" s="314" t="str">
        <f>"£" &amp; ROUND(N5+N30+N20+N36+N37+N4,2) &amp; " / " &amp; "£" &amp; E39</f>
        <v>£642.79 / £4199.5</v>
      </c>
      <c r="O39" s="274"/>
      <c r="P39" s="282">
        <f>SUM(P30,P20,P5)</f>
        <v>24.670000000000414</v>
      </c>
    </row>
    <row r="40" spans="2:16">
      <c r="B40" s="118"/>
      <c r="C40" s="7"/>
      <c r="E40" s="365"/>
      <c r="F40" s="365">
        <f>2421.92</f>
        <v>2421.92</v>
      </c>
      <c r="G40" s="365"/>
    </row>
    <row r="41" spans="2:16" ht="14.4">
      <c r="B41" s="729"/>
      <c r="C41" s="729"/>
      <c r="D41" s="729"/>
      <c r="E41" s="729"/>
      <c r="F41" s="729"/>
      <c r="G41" s="297"/>
      <c r="J41" s="729"/>
      <c r="K41" s="729"/>
      <c r="L41" s="729"/>
      <c r="M41" s="729"/>
      <c r="N41" s="729"/>
      <c r="O41" s="297"/>
    </row>
    <row r="42" spans="2:16" ht="15" customHeight="1">
      <c r="B42" s="726" t="s">
        <v>955</v>
      </c>
      <c r="C42" s="726"/>
      <c r="D42" s="726" t="s">
        <v>956</v>
      </c>
      <c r="E42" s="726"/>
      <c r="J42" s="212"/>
      <c r="K42" s="212"/>
      <c r="L42" s="278"/>
      <c r="M42" s="212"/>
      <c r="N42" s="212" t="s">
        <v>987</v>
      </c>
      <c r="O42" s="316">
        <v>43941</v>
      </c>
      <c r="P42" s="7" t="s">
        <v>988</v>
      </c>
    </row>
    <row r="43" spans="2:16">
      <c r="B43" s="365"/>
      <c r="C43" s="38"/>
      <c r="E43"/>
      <c r="F43">
        <f>1088+(662.38+1810.33)</f>
        <v>3560.71</v>
      </c>
      <c r="J43" s="214"/>
      <c r="K43" s="214"/>
      <c r="L43" s="376"/>
      <c r="M43" s="214"/>
      <c r="N43" s="294" t="s">
        <v>989</v>
      </c>
      <c r="O43" s="42">
        <v>43941</v>
      </c>
      <c r="P43" s="7" t="str">
        <f>153.41 &amp; " with 52.03 pending"</f>
        <v>153.41 with 52.03 pending</v>
      </c>
    </row>
    <row r="44" spans="2:16">
      <c r="E44"/>
      <c r="L44" s="365"/>
      <c r="N44"/>
      <c r="O44"/>
    </row>
    <row r="45" spans="2:16" ht="16.2" customHeight="1">
      <c r="E45" s="214"/>
      <c r="H45" s="760" t="s">
        <v>887</v>
      </c>
      <c r="I45" s="760"/>
      <c r="J45" s="760"/>
      <c r="K45" s="760"/>
      <c r="L45" s="760"/>
      <c r="M45" s="212"/>
      <c r="N45" s="212">
        <f>3.9+65.68</f>
        <v>69.580000000000013</v>
      </c>
      <c r="O45" s="212">
        <f>694.82-52.03</f>
        <v>642.79000000000008</v>
      </c>
    </row>
    <row r="46" spans="2:16">
      <c r="B46" s="378"/>
      <c r="E46"/>
      <c r="H46" s="11">
        <f>373.07-219.66</f>
        <v>153.41</v>
      </c>
      <c r="I46" s="11"/>
      <c r="J46" s="56"/>
      <c r="K46" s="56"/>
      <c r="L46" s="365"/>
      <c r="M46" s="56"/>
      <c r="N46" s="56">
        <f>694.82-52.03</f>
        <v>642.79000000000008</v>
      </c>
      <c r="O46" s="56"/>
    </row>
    <row r="47" spans="2:16">
      <c r="E47"/>
      <c r="H47" s="11">
        <f>H46-J47</f>
        <v>101.43</v>
      </c>
      <c r="I47" s="11"/>
      <c r="J47">
        <v>51.98</v>
      </c>
      <c r="K47">
        <v>51.98</v>
      </c>
      <c r="L47" s="365" t="s">
        <v>990</v>
      </c>
      <c r="M47" s="56"/>
      <c r="N47"/>
      <c r="O47"/>
    </row>
    <row r="48" spans="2:16">
      <c r="E48"/>
      <c r="H48" s="11">
        <f>H47-J48</f>
        <v>-25.639999999999986</v>
      </c>
      <c r="I48" s="11"/>
      <c r="J48">
        <v>127.07</v>
      </c>
      <c r="L48" s="365" t="s">
        <v>977</v>
      </c>
      <c r="M48" s="56"/>
      <c r="N48" s="212"/>
      <c r="O48" s="212"/>
      <c r="P48" s="212"/>
    </row>
    <row r="49" spans="2:16">
      <c r="E49"/>
      <c r="H49" s="11">
        <f>H48-J49</f>
        <v>-220.64</v>
      </c>
      <c r="I49" s="11"/>
      <c r="J49">
        <v>195</v>
      </c>
      <c r="L49" s="365" t="s">
        <v>978</v>
      </c>
      <c r="M49" s="56"/>
      <c r="N49" s="56"/>
      <c r="O49" s="56"/>
      <c r="P49" s="38"/>
    </row>
    <row r="50" spans="2:16" ht="14.4">
      <c r="E50"/>
      <c r="H50" s="11"/>
      <c r="I50" s="11"/>
      <c r="J50">
        <f>SUM(J47:J49)</f>
        <v>374.04999999999995</v>
      </c>
      <c r="M50" s="56"/>
    </row>
    <row r="51" spans="2:16">
      <c r="E51" s="365"/>
      <c r="H51" s="11"/>
      <c r="I51" s="11"/>
      <c r="L51" s="365"/>
      <c r="M51" s="764"/>
    </row>
    <row r="52" spans="2:16">
      <c r="E52" s="365"/>
      <c r="H52" s="11"/>
      <c r="I52" s="11"/>
      <c r="M52" s="765"/>
      <c r="N52" s="275"/>
      <c r="O52" s="275"/>
    </row>
    <row r="53" spans="2:16">
      <c r="B53" s="11"/>
      <c r="E53" s="365"/>
      <c r="H53" s="11"/>
      <c r="I53" s="11"/>
      <c r="M53" s="765"/>
    </row>
    <row r="54" spans="2:16" ht="14.4">
      <c r="B54" s="11"/>
      <c r="D54" s="726"/>
      <c r="E54" s="726"/>
      <c r="F54" s="726"/>
      <c r="G54" s="726"/>
      <c r="H54" s="726"/>
      <c r="I54" s="726"/>
      <c r="J54" s="726"/>
      <c r="K54" s="79"/>
      <c r="L54" s="726"/>
      <c r="M54" s="726"/>
      <c r="N54" s="726"/>
      <c r="O54" s="726"/>
    </row>
    <row r="55" spans="2:16">
      <c r="E55"/>
      <c r="M55" s="278"/>
      <c r="N55" s="212"/>
      <c r="O55" s="212"/>
    </row>
    <row r="56" spans="2:16">
      <c r="B56" s="212"/>
      <c r="C56" s="212"/>
      <c r="E56"/>
      <c r="M56" s="376"/>
      <c r="N56" s="214"/>
      <c r="O56" s="214"/>
    </row>
    <row r="57" spans="2:16">
      <c r="C57" s="56"/>
      <c r="D57" s="243"/>
      <c r="E57"/>
      <c r="M57" s="365"/>
      <c r="N57"/>
      <c r="O57"/>
    </row>
    <row r="58" spans="2:16">
      <c r="C58" s="56"/>
      <c r="E58"/>
      <c r="M58" s="278"/>
      <c r="N58" s="212"/>
      <c r="O58" s="212"/>
    </row>
    <row r="59" spans="2:16">
      <c r="C59" s="56"/>
      <c r="D59" s="56"/>
      <c r="E59"/>
      <c r="M59" s="365"/>
      <c r="N59" s="56"/>
      <c r="O59" s="56"/>
    </row>
    <row r="60" spans="2:16">
      <c r="C60" s="56"/>
      <c r="E60"/>
      <c r="M60" s="365"/>
      <c r="N60"/>
      <c r="O60"/>
    </row>
    <row r="61" spans="2:16">
      <c r="C61" s="56"/>
      <c r="E61"/>
      <c r="M61" s="278"/>
      <c r="N61" s="212"/>
      <c r="O61" s="212"/>
    </row>
    <row r="62" spans="2:16">
      <c r="C62" s="56"/>
      <c r="E62"/>
      <c r="M62" s="365"/>
      <c r="N62" s="38"/>
      <c r="O62" s="56"/>
    </row>
    <row r="63" spans="2:16" ht="14.4">
      <c r="C63" s="56"/>
      <c r="E63"/>
      <c r="N63"/>
    </row>
    <row r="64" spans="2:16" ht="14.4">
      <c r="C64" s="56"/>
      <c r="E64"/>
    </row>
    <row r="65" spans="2:7" ht="14.4">
      <c r="C65" s="56"/>
      <c r="E65"/>
    </row>
    <row r="66" spans="2:7" ht="14.4">
      <c r="C66" s="56"/>
      <c r="E66"/>
    </row>
    <row r="67" spans="2:7" ht="14.4">
      <c r="C67" s="56"/>
      <c r="E67"/>
    </row>
    <row r="68" spans="2:7">
      <c r="E68" s="365"/>
    </row>
    <row r="69" spans="2:7" ht="14.4">
      <c r="B69" s="212"/>
      <c r="C69" s="294"/>
      <c r="D69" s="212"/>
      <c r="E69" s="212"/>
      <c r="F69" s="212"/>
      <c r="G69" s="212"/>
    </row>
    <row r="70" spans="2:7" ht="14.4">
      <c r="C70" s="56"/>
      <c r="D70" s="56"/>
      <c r="E70" s="56"/>
      <c r="F70" s="56"/>
      <c r="G70" s="56"/>
    </row>
    <row r="71" spans="2:7" ht="14.4">
      <c r="C71" s="56"/>
      <c r="D71" s="56"/>
      <c r="E71" s="56"/>
      <c r="F71" s="56"/>
      <c r="G71" s="56"/>
    </row>
    <row r="72" spans="2:7" ht="14.4">
      <c r="C72" s="56"/>
      <c r="D72" s="56"/>
      <c r="E72" s="56"/>
      <c r="F72" s="56"/>
      <c r="G72" s="56"/>
    </row>
    <row r="73" spans="2:7" ht="14.4">
      <c r="C73" s="56"/>
      <c r="D73" s="56"/>
      <c r="E73" s="56"/>
      <c r="F73" s="56"/>
      <c r="G73" s="56"/>
    </row>
    <row r="74" spans="2:7" ht="14.4">
      <c r="C74" s="56"/>
      <c r="D74" s="56"/>
      <c r="E74" s="56"/>
      <c r="F74" s="56"/>
      <c r="G74" s="56"/>
    </row>
    <row r="75" spans="2:7" ht="14.4">
      <c r="C75" s="56"/>
      <c r="E75" s="56"/>
    </row>
    <row r="77" spans="2:7" ht="14.4">
      <c r="E77" s="212"/>
      <c r="F77" s="212"/>
      <c r="G77" s="212"/>
    </row>
    <row r="78" spans="2:7" ht="14.4">
      <c r="E78" s="56"/>
      <c r="F78" s="56"/>
      <c r="G78" s="56"/>
    </row>
    <row r="79" spans="2:7" ht="14.4">
      <c r="E79" s="56"/>
      <c r="F79" s="56"/>
      <c r="G79" s="56"/>
    </row>
    <row r="80" spans="2:7" ht="14.4">
      <c r="E80" s="56"/>
      <c r="F80" s="56"/>
      <c r="G80" s="56"/>
    </row>
    <row r="81" spans="5:7" ht="14.4">
      <c r="E81" s="56"/>
      <c r="F81" s="56"/>
      <c r="G81" s="56"/>
    </row>
    <row r="82" spans="5:7" ht="14.4">
      <c r="E82" s="56"/>
      <c r="F82" s="56"/>
      <c r="G82" s="56"/>
    </row>
    <row r="83" spans="5:7" ht="14.4">
      <c r="E83" s="56"/>
    </row>
    <row r="85" spans="5:7" ht="14.4">
      <c r="E85" s="212"/>
      <c r="F85" s="212"/>
      <c r="G85" s="212"/>
    </row>
    <row r="86" spans="5:7" ht="14.4">
      <c r="E86" s="56"/>
      <c r="F86" s="56"/>
      <c r="G86" s="56"/>
    </row>
    <row r="87" spans="5:7" ht="14.4">
      <c r="E87" s="56"/>
      <c r="F87" s="56"/>
      <c r="G87" s="56"/>
    </row>
    <row r="88" spans="5:7" ht="14.4">
      <c r="E88" s="56"/>
      <c r="F88" s="56"/>
      <c r="G88" s="56"/>
    </row>
    <row r="89" spans="5:7" ht="14.4">
      <c r="E89" s="56"/>
      <c r="F89" s="56"/>
      <c r="G89" s="56"/>
    </row>
    <row r="90" spans="5:7" ht="14.4">
      <c r="E90" s="56"/>
      <c r="F90" s="56"/>
      <c r="G90" s="56"/>
    </row>
    <row r="91" spans="5:7" ht="14.4">
      <c r="E91" s="56"/>
    </row>
    <row r="92" spans="5:7">
      <c r="E92" s="365"/>
    </row>
  </sheetData>
  <mergeCells count="30">
    <mergeCell ref="D54:J54"/>
    <mergeCell ref="L54:O54"/>
    <mergeCell ref="B31:B36"/>
    <mergeCell ref="C31:C36"/>
    <mergeCell ref="B39:D39"/>
    <mergeCell ref="B41:F41"/>
    <mergeCell ref="J41:N41"/>
    <mergeCell ref="B42:C42"/>
    <mergeCell ref="D42:E42"/>
    <mergeCell ref="M51:M53"/>
    <mergeCell ref="H45:L45"/>
    <mergeCell ref="B21:B23"/>
    <mergeCell ref="C21:C23"/>
    <mergeCell ref="B24:C25"/>
    <mergeCell ref="B29:E29"/>
    <mergeCell ref="B30:C30"/>
    <mergeCell ref="D30:E30"/>
    <mergeCell ref="B20:C20"/>
    <mergeCell ref="D20:E20"/>
    <mergeCell ref="B1:N1"/>
    <mergeCell ref="F3:G3"/>
    <mergeCell ref="H3:I3"/>
    <mergeCell ref="J3:K3"/>
    <mergeCell ref="L3:M3"/>
    <mergeCell ref="B4:E4"/>
    <mergeCell ref="B5:C5"/>
    <mergeCell ref="D5:E5"/>
    <mergeCell ref="B6:B17"/>
    <mergeCell ref="C6:C17"/>
    <mergeCell ref="B19:E19"/>
  </mergeCells>
  <pageMargins left="0.7" right="0.7" top="0.75" bottom="0.75" header="0.3" footer="0.3"/>
  <pageSetup orientation="portrait" r:id="rId1"/>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B0AD-18D8-4DAC-A4DE-9892052B0826}">
  <dimension ref="A1:U92"/>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MAR-APR 2020</v>
      </c>
      <c r="B1" s="730" t="str">
        <f ca="1">MID(CELL("filename",B1),FIND("]",CELL("filename",B1))+1,255)</f>
        <v>APR-MAY 2020</v>
      </c>
      <c r="C1" s="731"/>
      <c r="D1" s="731"/>
      <c r="E1" s="731"/>
      <c r="F1" s="731"/>
      <c r="G1" s="731"/>
      <c r="H1" s="731"/>
      <c r="I1" s="731"/>
      <c r="J1" s="731"/>
      <c r="K1" s="731"/>
      <c r="L1" s="731"/>
      <c r="M1" s="731"/>
      <c r="N1" s="731"/>
      <c r="O1" s="731"/>
      <c r="P1" s="298"/>
      <c r="Q1" s="281"/>
      <c r="R1" s="272"/>
      <c r="S1" s="272"/>
      <c r="T1" s="272"/>
    </row>
    <row r="2" spans="1:21">
      <c r="B2" s="118"/>
      <c r="C2" s="118"/>
      <c r="D2">
        <f>1810.29-650</f>
        <v>1160.29</v>
      </c>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43946</v>
      </c>
      <c r="H3" s="732"/>
      <c r="I3" s="732">
        <f>G3+7</f>
        <v>43953</v>
      </c>
      <c r="J3" s="732"/>
      <c r="K3" s="732">
        <f>I3+7</f>
        <v>43960</v>
      </c>
      <c r="L3" s="732"/>
      <c r="M3" s="732">
        <f>K3+7</f>
        <v>43967</v>
      </c>
      <c r="N3" s="732"/>
      <c r="O3" s="273"/>
      <c r="P3" s="273"/>
      <c r="Q3" s="282"/>
    </row>
    <row r="4" spans="1:21" ht="15" customHeight="1">
      <c r="B4" s="727" t="s">
        <v>804</v>
      </c>
      <c r="C4" s="727"/>
      <c r="D4" s="727"/>
      <c r="E4" s="727"/>
      <c r="F4" s="318"/>
      <c r="H4" s="243">
        <f>SUM(H5:H37)</f>
        <v>176.3</v>
      </c>
      <c r="J4" s="243">
        <f>SUM(J5:J37)</f>
        <v>172.97000000000003</v>
      </c>
      <c r="L4" s="243">
        <f>SUM(L5:L37)</f>
        <v>330.71</v>
      </c>
      <c r="N4" s="243">
        <f>SUM(N5:N37)</f>
        <v>96.079999999999941</v>
      </c>
      <c r="O4" s="308">
        <f>IF(H38&lt;&gt;"PAID",H4,0)+IF(J38&lt;&gt;"PAID",J4,0)+IF(L38&lt;&gt;"PAID",L4,0)+IF(N38&lt;&gt;"PAID",N4,0)</f>
        <v>0</v>
      </c>
      <c r="P4" s="309" t="s">
        <v>973</v>
      </c>
      <c r="Q4" s="282"/>
    </row>
    <row r="5" spans="1:21" ht="15" customHeight="1">
      <c r="B5" s="733" t="str">
        <f>IF(D5&gt;E$39*0.5,ROUND(D5-E$39*0.5,2) &amp; " Over",ROUND(E$39*0.5-D5,2) &amp; " Under")</f>
        <v>416.42 Under</v>
      </c>
      <c r="C5" s="733"/>
      <c r="D5" s="761">
        <f>SUM(E6:F17)</f>
        <v>1841.2</v>
      </c>
      <c r="E5" s="761"/>
      <c r="F5" s="321"/>
      <c r="G5" s="284"/>
      <c r="H5" s="306"/>
      <c r="I5" s="79"/>
      <c r="J5" s="306"/>
      <c r="K5" s="79"/>
      <c r="L5" s="306"/>
      <c r="M5" s="79"/>
      <c r="N5" s="305"/>
      <c r="O5" s="285">
        <f>SUMIF(O6:O17,"&gt;0")</f>
        <v>176.07</v>
      </c>
      <c r="P5" s="285" t="s">
        <v>892</v>
      </c>
      <c r="Q5" s="282">
        <f>SUM(Q6:Q17)</f>
        <v>19.540000000000038</v>
      </c>
    </row>
    <row r="6" spans="1:21" ht="15" customHeight="1">
      <c r="B6" s="734" t="str">
        <f>"50%: " &amp; E$39*0.5</f>
        <v>50%: 2257.615</v>
      </c>
      <c r="C6" s="734" t="str">
        <f>ROUND((D5/E$39)*100,2) &amp; "%: " &amp;D5</f>
        <v>40.78%: 1841.2</v>
      </c>
      <c r="D6" s="13" t="s">
        <v>805</v>
      </c>
      <c r="E6" s="365">
        <v>0</v>
      </c>
      <c r="F6" s="374">
        <v>50</v>
      </c>
      <c r="H6" s="305">
        <v>25</v>
      </c>
      <c r="I6">
        <v>25</v>
      </c>
      <c r="J6" s="305"/>
      <c r="L6" s="305"/>
      <c r="N6" s="305"/>
      <c r="O6" s="274">
        <f>SUM(E6:F6)-SUM(G6:N6)</f>
        <v>0</v>
      </c>
      <c r="P6" s="274" t="str">
        <f t="shared" ref="P6:P17" si="0">D6</f>
        <v>Car Petrol / commuting</v>
      </c>
      <c r="Q6" s="282">
        <f t="shared" ref="Q6:Q17" si="1">IF(O6&lt;0,O6*-1,0)</f>
        <v>0</v>
      </c>
    </row>
    <row r="7" spans="1:21" ht="15" customHeight="1">
      <c r="B7" s="734"/>
      <c r="C7" s="734"/>
      <c r="D7" s="13" t="s">
        <v>169</v>
      </c>
      <c r="E7" s="365">
        <f>4.88</f>
        <v>4.88</v>
      </c>
      <c r="F7" s="365">
        <v>300</v>
      </c>
      <c r="G7">
        <f>3.9+65.68</f>
        <v>69.580000000000013</v>
      </c>
      <c r="H7" s="305">
        <v>45.18</v>
      </c>
      <c r="J7" s="305">
        <f>12.35+46.49+55.9</f>
        <v>114.74000000000001</v>
      </c>
      <c r="L7" s="305">
        <f>52.44+11.85+27.42</f>
        <v>91.71</v>
      </c>
      <c r="N7" s="305"/>
      <c r="O7" s="274">
        <f t="shared" ref="O7:O17" si="2">SUM(E7:F7)-SUM(G7:N7)</f>
        <v>-16.330000000000041</v>
      </c>
      <c r="P7" s="274" t="str">
        <f t="shared" si="0"/>
        <v>Food</v>
      </c>
      <c r="Q7" s="282">
        <f t="shared" si="1"/>
        <v>16.330000000000041</v>
      </c>
    </row>
    <row r="8" spans="1:21" ht="15" customHeight="1">
      <c r="B8" s="734"/>
      <c r="C8" s="734"/>
      <c r="D8" s="13" t="s">
        <v>919</v>
      </c>
      <c r="E8" s="365">
        <v>0</v>
      </c>
      <c r="F8" s="365">
        <v>40</v>
      </c>
      <c r="H8" s="305">
        <f>(32.44-20)</f>
        <v>12.439999999999998</v>
      </c>
      <c r="J8" s="305">
        <v>25.99</v>
      </c>
      <c r="L8" s="305"/>
      <c r="N8" s="305"/>
      <c r="O8" s="274">
        <f t="shared" si="2"/>
        <v>1.5700000000000074</v>
      </c>
      <c r="P8" s="274" t="str">
        <f t="shared" si="0"/>
        <v>Bun</v>
      </c>
      <c r="Q8" s="282">
        <f t="shared" si="1"/>
        <v>0</v>
      </c>
    </row>
    <row r="9" spans="1:21" ht="15" customHeight="1" outlineLevel="1">
      <c r="B9" s="734"/>
      <c r="C9" s="734"/>
      <c r="D9" s="201" t="s">
        <v>595</v>
      </c>
      <c r="E9" s="365">
        <v>0</v>
      </c>
      <c r="F9" s="365">
        <f>452.64+150</f>
        <v>602.64</v>
      </c>
      <c r="H9" s="305"/>
      <c r="J9" s="305"/>
      <c r="L9" s="305"/>
      <c r="M9">
        <v>452.64</v>
      </c>
      <c r="N9" s="305"/>
      <c r="O9" s="274">
        <f t="shared" si="2"/>
        <v>150</v>
      </c>
      <c r="P9" s="274" t="str">
        <f t="shared" si="0"/>
        <v>Mortgage</v>
      </c>
      <c r="Q9" s="282">
        <f t="shared" si="1"/>
        <v>0</v>
      </c>
      <c r="T9" s="242"/>
      <c r="U9" s="242"/>
    </row>
    <row r="10" spans="1:21" ht="15" customHeight="1" outlineLevel="1">
      <c r="B10" s="734"/>
      <c r="C10" s="734"/>
      <c r="D10" s="201" t="s">
        <v>596</v>
      </c>
      <c r="E10" s="365">
        <v>0</v>
      </c>
      <c r="F10" s="365">
        <v>129</v>
      </c>
      <c r="H10" s="305"/>
      <c r="J10" s="305"/>
      <c r="L10" s="305"/>
      <c r="M10">
        <v>129</v>
      </c>
      <c r="N10" s="305"/>
      <c r="O10" s="274">
        <f t="shared" si="2"/>
        <v>0</v>
      </c>
      <c r="P10" s="274" t="str">
        <f t="shared" si="0"/>
        <v>Council tax</v>
      </c>
      <c r="Q10" s="282">
        <f t="shared" si="1"/>
        <v>0</v>
      </c>
      <c r="T10" s="242"/>
      <c r="U10" s="242"/>
    </row>
    <row r="11" spans="1:21" ht="15" customHeight="1" outlineLevel="1">
      <c r="B11" s="734"/>
      <c r="C11" s="734"/>
      <c r="D11" s="201" t="s">
        <v>785</v>
      </c>
      <c r="E11" s="365">
        <v>0</v>
      </c>
      <c r="F11" s="365">
        <f>16+45+1+15</f>
        <v>77</v>
      </c>
      <c r="G11">
        <v>1</v>
      </c>
      <c r="H11" s="305"/>
      <c r="J11" s="305"/>
      <c r="L11" s="305"/>
      <c r="M11">
        <f>15+16+45</f>
        <v>76</v>
      </c>
      <c r="N11" s="305"/>
      <c r="O11" s="274">
        <f t="shared" si="2"/>
        <v>0</v>
      </c>
      <c r="P11" s="274" t="str">
        <f t="shared" si="0"/>
        <v>Utilities (G,W,E,TV)</v>
      </c>
      <c r="Q11" s="282">
        <f t="shared" si="1"/>
        <v>0</v>
      </c>
    </row>
    <row r="12" spans="1:21" ht="15" customHeight="1" outlineLevel="1">
      <c r="B12" s="734"/>
      <c r="C12" s="734"/>
      <c r="D12" s="201" t="s">
        <v>894</v>
      </c>
      <c r="E12" s="365">
        <v>0</v>
      </c>
      <c r="F12" s="365">
        <f>4.52+15.97+8.56+20.78+8</f>
        <v>57.830000000000005</v>
      </c>
      <c r="G12">
        <f>8.56+15.97+4.52</f>
        <v>29.05</v>
      </c>
      <c r="H12" s="305"/>
      <c r="J12" s="305"/>
      <c r="L12" s="305"/>
      <c r="M12">
        <f>8+20.78</f>
        <v>28.78</v>
      </c>
      <c r="N12" s="305"/>
      <c r="O12" s="274">
        <f t="shared" si="2"/>
        <v>0</v>
      </c>
      <c r="P12" s="274" t="str">
        <f t="shared" si="0"/>
        <v>Insurances</v>
      </c>
      <c r="Q12" s="282">
        <f t="shared" si="1"/>
        <v>0</v>
      </c>
    </row>
    <row r="13" spans="1:21" ht="15" customHeight="1" outlineLevel="1">
      <c r="B13" s="734"/>
      <c r="C13" s="734"/>
      <c r="D13" s="201" t="s">
        <v>602</v>
      </c>
      <c r="E13" s="365">
        <v>0</v>
      </c>
      <c r="F13" s="365">
        <v>39.99</v>
      </c>
      <c r="H13" s="305"/>
      <c r="J13" s="305"/>
      <c r="L13" s="305"/>
      <c r="M13">
        <v>43.07</v>
      </c>
      <c r="N13" s="305"/>
      <c r="O13" s="274">
        <f t="shared" si="2"/>
        <v>-3.0799999999999983</v>
      </c>
      <c r="P13" s="274" t="str">
        <f t="shared" si="0"/>
        <v>Broadband / TV</v>
      </c>
      <c r="Q13" s="282">
        <f t="shared" si="1"/>
        <v>3.0799999999999983</v>
      </c>
      <c r="T13" s="242"/>
      <c r="U13" s="242"/>
    </row>
    <row r="14" spans="1:21" ht="15" customHeight="1" outlineLevel="1">
      <c r="B14" s="734"/>
      <c r="C14" s="734"/>
      <c r="D14" s="201" t="s">
        <v>582</v>
      </c>
      <c r="E14" s="365">
        <v>0</v>
      </c>
      <c r="F14" s="365">
        <v>7.99</v>
      </c>
      <c r="H14" s="305"/>
      <c r="I14">
        <v>7.99</v>
      </c>
      <c r="J14" s="305"/>
      <c r="L14" s="305"/>
      <c r="N14" s="305"/>
      <c r="O14" s="274">
        <f t="shared" si="2"/>
        <v>0</v>
      </c>
      <c r="P14" s="274" t="str">
        <f t="shared" si="0"/>
        <v>Onedrive (6th)</v>
      </c>
      <c r="Q14" s="282">
        <f t="shared" si="1"/>
        <v>0</v>
      </c>
    </row>
    <row r="15" spans="1:21" ht="15" customHeight="1" outlineLevel="1">
      <c r="B15" s="734"/>
      <c r="C15" s="734"/>
      <c r="D15" s="201" t="s">
        <v>788</v>
      </c>
      <c r="E15" s="365">
        <f>0.15</f>
        <v>0.15</v>
      </c>
      <c r="F15" s="365">
        <v>10.16</v>
      </c>
      <c r="G15">
        <v>10.44</v>
      </c>
      <c r="H15" s="305"/>
      <c r="J15" s="305"/>
      <c r="L15" s="305"/>
      <c r="N15" s="305"/>
      <c r="O15" s="274">
        <f t="shared" si="2"/>
        <v>-0.12999999999999901</v>
      </c>
      <c r="P15" s="274" t="str">
        <f t="shared" si="0"/>
        <v>Matt Phone</v>
      </c>
      <c r="Q15" s="282">
        <f t="shared" si="1"/>
        <v>0.12999999999999901</v>
      </c>
    </row>
    <row r="16" spans="1:21" ht="15" customHeight="1" outlineLevel="1">
      <c r="B16" s="734"/>
      <c r="C16" s="734"/>
      <c r="D16" s="201" t="s">
        <v>985</v>
      </c>
      <c r="E16" s="365">
        <f>12.25</f>
        <v>12.25</v>
      </c>
      <c r="F16" s="365">
        <f>28.43+12.25+65.87+93.72</f>
        <v>200.27</v>
      </c>
      <c r="G16">
        <f>65.87+93.72+28.43</f>
        <v>188.02</v>
      </c>
      <c r="H16" s="305"/>
      <c r="J16" s="305"/>
      <c r="L16" s="305"/>
      <c r="N16" s="305"/>
      <c r="O16" s="274">
        <f t="shared" si="2"/>
        <v>24.5</v>
      </c>
      <c r="P16" s="274" t="str">
        <f t="shared" si="0"/>
        <v>Car Tax / Insurance</v>
      </c>
      <c r="Q16" s="282">
        <f t="shared" si="1"/>
        <v>0</v>
      </c>
    </row>
    <row r="17" spans="2:17" ht="15" customHeight="1" outlineLevel="1">
      <c r="B17" s="734"/>
      <c r="C17" s="734"/>
      <c r="D17" s="293" t="s">
        <v>920</v>
      </c>
      <c r="E17" s="365">
        <v>0</v>
      </c>
      <c r="F17" s="277">
        <f>179.07+129.97</f>
        <v>309.03999999999996</v>
      </c>
      <c r="G17">
        <v>129.97</v>
      </c>
      <c r="H17" s="305"/>
      <c r="J17" s="305"/>
      <c r="L17" s="305"/>
      <c r="M17">
        <v>179.07</v>
      </c>
      <c r="N17" s="305"/>
      <c r="O17" s="274">
        <f t="shared" si="2"/>
        <v>0</v>
      </c>
      <c r="P17" s="274" t="str">
        <f t="shared" si="0"/>
        <v>Finance</v>
      </c>
      <c r="Q17" s="282">
        <f t="shared" si="1"/>
        <v>0</v>
      </c>
    </row>
    <row r="18" spans="2:17" ht="15" customHeight="1">
      <c r="B18" s="118"/>
      <c r="C18" s="118"/>
      <c r="D18" s="188"/>
      <c r="E18" s="365"/>
      <c r="F18" s="365"/>
      <c r="H18" s="305"/>
      <c r="J18" s="305"/>
      <c r="L18" s="305"/>
      <c r="N18" s="305"/>
      <c r="O18" s="273"/>
      <c r="P18" s="273"/>
      <c r="Q18" s="282"/>
    </row>
    <row r="19" spans="2:17" ht="15" customHeight="1">
      <c r="B19" s="736" t="s">
        <v>808</v>
      </c>
      <c r="C19" s="736"/>
      <c r="D19" s="736"/>
      <c r="E19" s="736"/>
      <c r="F19" s="320"/>
      <c r="H19" s="305"/>
      <c r="J19" s="305"/>
      <c r="L19" s="305"/>
      <c r="N19" s="305"/>
      <c r="O19" s="274"/>
      <c r="P19" s="274"/>
      <c r="Q19" s="282"/>
    </row>
    <row r="20" spans="2:17" ht="15" customHeight="1">
      <c r="B20" s="727" t="str">
        <f>IF(ISNUMBER((SEARCH("Over",C$5))),"Operating under budget","Operating over budget")</f>
        <v>Operating over budget</v>
      </c>
      <c r="C20" s="727"/>
      <c r="D20" s="759">
        <f>SUM(E21:F26)</f>
        <v>2090.62</v>
      </c>
      <c r="E20" s="759"/>
      <c r="F20" s="319"/>
      <c r="H20" s="305"/>
      <c r="J20" s="305"/>
      <c r="L20" s="305"/>
      <c r="N20" s="305"/>
      <c r="O20" s="285">
        <f>SUMIF(O21:O27,"&gt;0")</f>
        <v>899.67</v>
      </c>
      <c r="P20" s="285" t="s">
        <v>895</v>
      </c>
      <c r="Q20" s="282">
        <f>SUM(Q22:Q26)</f>
        <v>11.610000000000014</v>
      </c>
    </row>
    <row r="21" spans="2:17" ht="15" customHeight="1" outlineLevel="1">
      <c r="B21" s="734" t="str">
        <f>"20% : " &amp; E$39*0.2</f>
        <v>20% : 903.046</v>
      </c>
      <c r="C21" s="734" t="str">
        <f>"20% : " &amp; E$39*0.2</f>
        <v>20% : 903.046</v>
      </c>
      <c r="D21" s="300" t="s">
        <v>896</v>
      </c>
      <c r="E21" s="365">
        <f>53.74</f>
        <v>53.74</v>
      </c>
      <c r="F21" s="365">
        <f>50</f>
        <v>50</v>
      </c>
      <c r="H21" s="305"/>
      <c r="J21" s="305"/>
      <c r="L21" s="315"/>
      <c r="M21">
        <f>(40.64-15)</f>
        <v>25.64</v>
      </c>
      <c r="N21" s="305">
        <f>776.06-753.99</f>
        <v>22.069999999999936</v>
      </c>
      <c r="O21" s="274">
        <f>SUM(E21:F21)-SUM(G21:N21)-Q39</f>
        <v>24.88000000000002</v>
      </c>
      <c r="P21" s="274" t="str">
        <f t="shared" ref="P21:P27" si="3">D21</f>
        <v>Contingency 20%</v>
      </c>
      <c r="Q21" s="282">
        <f>SUM(Q22:Q28)</f>
        <v>11.610000000000014</v>
      </c>
    </row>
    <row r="22" spans="2:17" ht="15" customHeight="1" outlineLevel="1">
      <c r="B22" s="734"/>
      <c r="C22" s="734"/>
      <c r="D22" s="300" t="s">
        <v>897</v>
      </c>
      <c r="E22" s="365">
        <f>34.89</f>
        <v>34.89</v>
      </c>
      <c r="F22" s="365">
        <f>500+50-74.01-10.88</f>
        <v>465.11</v>
      </c>
      <c r="H22" s="305"/>
      <c r="J22" s="305"/>
      <c r="L22" s="305"/>
      <c r="M22">
        <f>102.48+53.74</f>
        <v>156.22</v>
      </c>
      <c r="N22" s="305"/>
      <c r="O22" s="274">
        <f t="shared" ref="O22:O27" si="4">SUM(E22:F22)-SUM(G22:N22)</f>
        <v>343.78</v>
      </c>
      <c r="P22" s="274" t="str">
        <f t="shared" si="3"/>
        <v>Holiday Fund 60%</v>
      </c>
      <c r="Q22" s="282">
        <f t="shared" ref="Q22:Q27" si="5">IF(O22&lt;0,O22*-1,0)</f>
        <v>0</v>
      </c>
    </row>
    <row r="23" spans="2:17" ht="15" customHeight="1" outlineLevel="1">
      <c r="B23" s="734"/>
      <c r="C23" s="734"/>
      <c r="D23" s="300" t="s">
        <v>811</v>
      </c>
      <c r="E23" s="365">
        <f>181.01</f>
        <v>181.01</v>
      </c>
      <c r="F23" s="365">
        <f>250</f>
        <v>250</v>
      </c>
      <c r="H23" s="305"/>
      <c r="J23" s="305"/>
      <c r="L23" s="305"/>
      <c r="N23" s="305"/>
      <c r="O23" s="274">
        <f t="shared" si="4"/>
        <v>431.01</v>
      </c>
      <c r="P23" s="274" t="str">
        <f t="shared" si="3"/>
        <v>Gift Fund 20%</v>
      </c>
      <c r="Q23" s="282">
        <f t="shared" si="5"/>
        <v>0</v>
      </c>
    </row>
    <row r="24" spans="2:17" ht="15" customHeight="1" outlineLevel="1">
      <c r="B24" s="734" t="s">
        <v>130</v>
      </c>
      <c r="C24" s="734"/>
      <c r="D24" s="300" t="s">
        <v>812</v>
      </c>
      <c r="E24" s="365">
        <v>0</v>
      </c>
      <c r="F24" s="365">
        <f>150+300+200</f>
        <v>650</v>
      </c>
      <c r="H24" s="305"/>
      <c r="J24" s="305"/>
      <c r="L24" s="305"/>
      <c r="M24">
        <v>650</v>
      </c>
      <c r="N24" s="305"/>
      <c r="O24" s="274">
        <f t="shared" si="4"/>
        <v>0</v>
      </c>
      <c r="P24" s="274" t="str">
        <f t="shared" si="3"/>
        <v>Wedding</v>
      </c>
      <c r="Q24" s="282">
        <f t="shared" si="5"/>
        <v>0</v>
      </c>
    </row>
    <row r="25" spans="2:17" ht="15" customHeight="1" outlineLevel="1">
      <c r="B25" s="734"/>
      <c r="C25" s="734"/>
      <c r="D25" s="300" t="s">
        <v>174</v>
      </c>
      <c r="E25" s="365">
        <f>305.87</f>
        <v>305.87</v>
      </c>
      <c r="F25" s="365">
        <v>0</v>
      </c>
      <c r="G25" s="11">
        <f>153.8+70</f>
        <v>223.8</v>
      </c>
      <c r="H25" s="306">
        <f>20+73.68</f>
        <v>93.68</v>
      </c>
      <c r="J25" s="305"/>
      <c r="L25" s="305"/>
      <c r="N25" s="305"/>
      <c r="O25" s="274">
        <f t="shared" si="4"/>
        <v>-11.610000000000014</v>
      </c>
      <c r="P25" s="274" t="str">
        <f t="shared" si="3"/>
        <v>House</v>
      </c>
      <c r="Q25" s="282">
        <f t="shared" si="5"/>
        <v>11.610000000000014</v>
      </c>
    </row>
    <row r="26" spans="2:17" ht="15" customHeight="1" outlineLevel="1">
      <c r="B26" s="7"/>
      <c r="C26" s="7"/>
      <c r="D26" s="300" t="s">
        <v>953</v>
      </c>
      <c r="E26" s="365">
        <f>50</f>
        <v>50</v>
      </c>
      <c r="F26" s="365">
        <v>50</v>
      </c>
      <c r="G26" s="11"/>
      <c r="H26" s="306"/>
      <c r="J26" s="305"/>
      <c r="L26" s="305"/>
      <c r="N26" s="305"/>
      <c r="O26" s="274">
        <f t="shared" si="4"/>
        <v>100</v>
      </c>
      <c r="P26" s="274" t="str">
        <f t="shared" si="3"/>
        <v>Cars (Service / MOT) £45</v>
      </c>
      <c r="Q26" s="282">
        <f t="shared" si="5"/>
        <v>0</v>
      </c>
    </row>
    <row r="27" spans="2:17" ht="15" customHeight="1" outlineLevel="1">
      <c r="B27" s="7"/>
      <c r="C27" s="7"/>
      <c r="D27" s="300" t="s">
        <v>814</v>
      </c>
      <c r="E27" s="365">
        <v>0</v>
      </c>
      <c r="F27" s="365">
        <f>74.01</f>
        <v>74.010000000000005</v>
      </c>
      <c r="G27" s="11"/>
      <c r="H27" s="306"/>
      <c r="J27" s="305"/>
      <c r="L27" s="305"/>
      <c r="N27" s="305">
        <v>74.010000000000005</v>
      </c>
      <c r="O27" s="274">
        <f t="shared" si="4"/>
        <v>0</v>
      </c>
      <c r="P27" s="274" t="str">
        <f t="shared" si="3"/>
        <v>CC</v>
      </c>
      <c r="Q27" s="282">
        <f t="shared" si="5"/>
        <v>0</v>
      </c>
    </row>
    <row r="28" spans="2:17" ht="15" customHeight="1">
      <c r="B28" s="118"/>
      <c r="C28" s="118"/>
      <c r="E28" s="365"/>
      <c r="F28" s="365"/>
      <c r="H28" s="305"/>
      <c r="J28" s="305"/>
      <c r="L28" s="305"/>
      <c r="N28" s="305"/>
      <c r="O28" s="273"/>
      <c r="P28" s="273"/>
      <c r="Q28" s="282"/>
    </row>
    <row r="29" spans="2:17" ht="15" customHeight="1">
      <c r="B29" s="727"/>
      <c r="C29" s="727"/>
      <c r="D29" s="727"/>
      <c r="E29" s="727"/>
      <c r="F29" s="318"/>
      <c r="H29" s="305"/>
      <c r="J29" s="305"/>
      <c r="L29" s="305"/>
      <c r="N29" s="305"/>
      <c r="O29" s="273"/>
      <c r="P29" s="273"/>
      <c r="Q29" s="282"/>
    </row>
    <row r="30" spans="2:17" ht="15" customHeight="1">
      <c r="B30" s="727" t="str">
        <f>IF(ISNUMBER((SEARCH("Over",B$5))),"Operating under budget","Operating over budget")</f>
        <v>Operating over budget</v>
      </c>
      <c r="C30" s="727"/>
      <c r="D30" s="759">
        <f>(E$39-D5-D20)</f>
        <v>583.40999999999985</v>
      </c>
      <c r="E30" s="727"/>
      <c r="F30" s="318"/>
      <c r="H30" s="305"/>
      <c r="J30" s="305"/>
      <c r="L30" s="305"/>
      <c r="N30" s="305"/>
      <c r="O30" s="285">
        <f>SUMIF(O31:O35,"&gt;0")</f>
        <v>0</v>
      </c>
      <c r="P30" s="285" t="s">
        <v>899</v>
      </c>
      <c r="Q30" s="282">
        <f>SUM(Q31:Q36)</f>
        <v>0</v>
      </c>
    </row>
    <row r="31" spans="2:17" ht="18" outlineLevel="1">
      <c r="B31" s="734"/>
      <c r="C31" s="760"/>
      <c r="D31" s="13" t="s">
        <v>954</v>
      </c>
      <c r="E31" s="365">
        <v>0</v>
      </c>
      <c r="F31" s="365">
        <v>0</v>
      </c>
      <c r="H31" s="305"/>
      <c r="J31" s="305"/>
      <c r="L31" s="305"/>
      <c r="N31" s="305"/>
      <c r="O31" s="274">
        <f t="shared" ref="O31:O37" si="6">SUM(E31:F31)-SUM(G31:N31)</f>
        <v>0</v>
      </c>
      <c r="P31" s="274" t="str">
        <f t="shared" ref="P31:P37" si="7">D31</f>
        <v>Haircut</v>
      </c>
      <c r="Q31" s="282">
        <f t="shared" ref="Q31:Q34" si="8">IF(O31&lt;0,O31*-1,0)</f>
        <v>0</v>
      </c>
    </row>
    <row r="32" spans="2:17" ht="18" outlineLevel="1">
      <c r="B32" s="734"/>
      <c r="C32" s="760"/>
      <c r="D32" s="13" t="s">
        <v>943</v>
      </c>
      <c r="E32" s="365">
        <v>0</v>
      </c>
      <c r="F32" s="365">
        <v>0</v>
      </c>
      <c r="H32" s="305"/>
      <c r="J32" s="305"/>
      <c r="L32" s="305"/>
      <c r="N32" s="305"/>
      <c r="O32" s="274">
        <f t="shared" si="6"/>
        <v>0</v>
      </c>
      <c r="P32" s="274" t="str">
        <f t="shared" si="7"/>
        <v>Car wash</v>
      </c>
      <c r="Q32" s="282">
        <f t="shared" si="8"/>
        <v>0</v>
      </c>
    </row>
    <row r="33" spans="2:17" ht="18" outlineLevel="1">
      <c r="B33" s="734"/>
      <c r="C33" s="760"/>
      <c r="D33" s="13" t="s">
        <v>944</v>
      </c>
      <c r="E33" s="365">
        <v>0</v>
      </c>
      <c r="F33" s="365">
        <v>15</v>
      </c>
      <c r="H33" s="305"/>
      <c r="J33" s="305"/>
      <c r="L33" s="305"/>
      <c r="M33">
        <v>15</v>
      </c>
      <c r="N33" s="305"/>
      <c r="O33" s="274">
        <f t="shared" si="6"/>
        <v>0</v>
      </c>
      <c r="P33" s="274" t="str">
        <f t="shared" si="7"/>
        <v>Windows</v>
      </c>
      <c r="Q33" s="282">
        <f t="shared" si="8"/>
        <v>0</v>
      </c>
    </row>
    <row r="34" spans="2:17" ht="18" outlineLevel="1">
      <c r="B34" s="734"/>
      <c r="C34" s="760"/>
      <c r="D34" s="13" t="s">
        <v>177</v>
      </c>
      <c r="E34" s="365">
        <v>0</v>
      </c>
      <c r="F34" s="365">
        <v>0</v>
      </c>
      <c r="H34" s="305"/>
      <c r="J34" s="305"/>
      <c r="L34" s="305"/>
      <c r="N34" s="305"/>
      <c r="O34" s="274">
        <f t="shared" si="6"/>
        <v>0</v>
      </c>
      <c r="P34" s="274" t="str">
        <f t="shared" si="7"/>
        <v>Gym</v>
      </c>
      <c r="Q34" s="282">
        <f t="shared" si="8"/>
        <v>0</v>
      </c>
    </row>
    <row r="35" spans="2:17" ht="15.75" customHeight="1" outlineLevel="1">
      <c r="B35" s="734"/>
      <c r="C35" s="760"/>
      <c r="D35" s="13" t="s">
        <v>781</v>
      </c>
      <c r="E35" s="365">
        <v>0</v>
      </c>
      <c r="F35" s="365">
        <f>13+2+10.65+7.99+2.4+17.06</f>
        <v>53.099999999999994</v>
      </c>
      <c r="G35">
        <f>2+2.4+13+17.06</f>
        <v>34.459999999999994</v>
      </c>
      <c r="H35" s="305"/>
      <c r="I35">
        <f>7.99+10.65</f>
        <v>18.64</v>
      </c>
      <c r="J35" s="305"/>
      <c r="L35" s="305"/>
      <c r="N35" s="305"/>
      <c r="O35" s="274">
        <f t="shared" si="6"/>
        <v>0</v>
      </c>
      <c r="P35" s="274" t="str">
        <f t="shared" si="7"/>
        <v>Subscriptions</v>
      </c>
      <c r="Q35" s="282">
        <f>IF(O35&lt;0,O35*-1,0)</f>
        <v>0</v>
      </c>
    </row>
    <row r="36" spans="2:17" ht="18" outlineLevel="1">
      <c r="B36" s="734"/>
      <c r="C36" s="760"/>
      <c r="D36" s="13" t="s">
        <v>922</v>
      </c>
      <c r="E36" s="365">
        <v>0</v>
      </c>
      <c r="F36" s="365">
        <f>(D30-SUM(F31:F35))-F27-F37</f>
        <v>202.29999999999984</v>
      </c>
      <c r="G36">
        <f>1+5.99</f>
        <v>6.99</v>
      </c>
      <c r="H36" s="305"/>
      <c r="I36">
        <f>143.12+10.44</f>
        <v>153.56</v>
      </c>
      <c r="J36" s="305">
        <f>18.5+13.74</f>
        <v>32.24</v>
      </c>
      <c r="L36" s="305"/>
      <c r="N36" s="305"/>
      <c r="O36" s="274">
        <f t="shared" si="6"/>
        <v>9.5099999999998204</v>
      </c>
      <c r="P36" s="274" t="str">
        <f t="shared" si="7"/>
        <v>Matt Fun</v>
      </c>
      <c r="Q36" s="282">
        <f>IF(F36-SUM(G36:N36)&lt;=0,(F36-SUM(G36:N36))*-1,0)</f>
        <v>0</v>
      </c>
    </row>
    <row r="37" spans="2:17" ht="18" outlineLevel="1">
      <c r="B37" s="7"/>
      <c r="C37" s="284"/>
      <c r="D37" s="13" t="s">
        <v>152</v>
      </c>
      <c r="E37" s="365">
        <v>0</v>
      </c>
      <c r="F37" s="365">
        <v>239</v>
      </c>
      <c r="H37" s="305"/>
      <c r="J37" s="305"/>
      <c r="L37" s="305">
        <v>239</v>
      </c>
      <c r="N37" s="305"/>
      <c r="O37" s="274">
        <f t="shared" si="6"/>
        <v>0</v>
      </c>
      <c r="P37" s="274" t="str">
        <f t="shared" si="7"/>
        <v>Kris</v>
      </c>
      <c r="Q37" s="271"/>
    </row>
    <row r="38" spans="2:17">
      <c r="B38" s="118"/>
      <c r="C38" s="118"/>
      <c r="E38" s="365">
        <f>SUM(E31:E37)+SUM(E21:E27)+SUM(E6:E17)</f>
        <v>642.79</v>
      </c>
      <c r="F38" s="365"/>
      <c r="H38" s="7" t="s">
        <v>986</v>
      </c>
      <c r="J38" s="7" t="s">
        <v>986</v>
      </c>
      <c r="L38" s="7" t="s">
        <v>986</v>
      </c>
      <c r="N38" s="7" t="s">
        <v>986</v>
      </c>
      <c r="O38" s="273"/>
      <c r="P38" s="273"/>
      <c r="Q38" s="282"/>
    </row>
    <row r="39" spans="2:17" ht="18">
      <c r="B39" s="728" t="s">
        <v>817</v>
      </c>
      <c r="C39" s="728"/>
      <c r="D39" s="728"/>
      <c r="E39" s="375">
        <f>G39+I39+K39+M39+N39+E38</f>
        <v>4515.2299999999996</v>
      </c>
      <c r="F39" s="379"/>
      <c r="G39" s="271">
        <f>(2483.42+162.02)+988</f>
        <v>3633.44</v>
      </c>
      <c r="H39" s="271"/>
      <c r="I39" s="271"/>
      <c r="J39" s="271"/>
      <c r="K39" s="271">
        <f>75+14+150</f>
        <v>239</v>
      </c>
      <c r="L39" s="271"/>
      <c r="M39" s="271"/>
      <c r="N39" s="271"/>
      <c r="O39" s="314" t="str">
        <f>"£" &amp; ROUND(O5+O30+O20+O36+O37+O4,2) &amp; " / " &amp; "£" &amp; E39</f>
        <v>£1085.25 / £4515.23</v>
      </c>
      <c r="P39" s="274"/>
      <c r="Q39" s="282">
        <f>SUM(Q30,Q20,Q5)</f>
        <v>31.150000000000052</v>
      </c>
    </row>
    <row r="40" spans="2:17">
      <c r="B40" s="118"/>
      <c r="C40" s="7"/>
      <c r="E40" s="365"/>
      <c r="F40" s="365"/>
      <c r="G40" s="365"/>
      <c r="H40" s="365"/>
    </row>
    <row r="41" spans="2:17" ht="14.4">
      <c r="B41" s="729"/>
      <c r="C41" s="729"/>
      <c r="D41" s="729"/>
      <c r="E41" s="729"/>
      <c r="F41" s="729"/>
      <c r="G41" s="729"/>
      <c r="H41" s="297"/>
      <c r="K41" s="729"/>
      <c r="L41" s="729"/>
      <c r="M41" s="729"/>
      <c r="N41" s="729"/>
      <c r="O41" s="729"/>
      <c r="P41" s="297"/>
    </row>
    <row r="42" spans="2:17" ht="15" customHeight="1">
      <c r="B42" s="726" t="s">
        <v>955</v>
      </c>
      <c r="C42" s="726"/>
      <c r="D42" s="726" t="s">
        <v>956</v>
      </c>
      <c r="E42" s="726"/>
      <c r="F42" s="79"/>
      <c r="K42" s="212"/>
      <c r="L42" s="212"/>
      <c r="M42" s="278"/>
      <c r="N42" s="212"/>
      <c r="O42" s="212" t="s">
        <v>987</v>
      </c>
      <c r="P42" s="316">
        <v>43946</v>
      </c>
      <c r="Q42" s="7" t="s">
        <v>988</v>
      </c>
    </row>
    <row r="43" spans="2:17">
      <c r="B43" s="365"/>
      <c r="C43" s="38"/>
      <c r="E43"/>
      <c r="F43"/>
      <c r="K43" s="214"/>
      <c r="L43" s="214"/>
      <c r="M43" s="376"/>
      <c r="N43" s="214"/>
      <c r="O43" s="294" t="s">
        <v>989</v>
      </c>
      <c r="P43" s="42">
        <v>43946</v>
      </c>
      <c r="Q43" s="7" t="str">
        <f>153.41 &amp; " with 52.03 pending"</f>
        <v>153.41 with 52.03 pending</v>
      </c>
    </row>
    <row r="44" spans="2:17">
      <c r="E44"/>
      <c r="F44"/>
      <c r="M44" s="365"/>
      <c r="O44"/>
      <c r="P44"/>
    </row>
    <row r="45" spans="2:17" ht="16.2" customHeight="1">
      <c r="E45" s="214"/>
      <c r="F45" s="214"/>
      <c r="I45" s="760" t="s">
        <v>887</v>
      </c>
      <c r="J45" s="760"/>
      <c r="K45" s="760"/>
      <c r="L45" s="760"/>
      <c r="M45" s="760"/>
      <c r="N45" s="212"/>
      <c r="O45" s="212"/>
      <c r="P45" s="212"/>
    </row>
    <row r="46" spans="2:17">
      <c r="B46" s="378"/>
      <c r="E46"/>
      <c r="F46"/>
      <c r="I46" s="11">
        <v>124.42</v>
      </c>
      <c r="J46" s="11"/>
      <c r="K46" s="56"/>
      <c r="L46" s="56"/>
      <c r="M46" s="365"/>
      <c r="N46" s="56"/>
      <c r="O46" s="56"/>
      <c r="P46" s="56"/>
    </row>
    <row r="47" spans="2:17">
      <c r="E47"/>
      <c r="F47"/>
      <c r="I47" s="11">
        <f>I46-K47</f>
        <v>101.43</v>
      </c>
      <c r="J47" s="11"/>
      <c r="K47">
        <f>51.98-28.99</f>
        <v>22.99</v>
      </c>
      <c r="L47">
        <v>51.98</v>
      </c>
      <c r="M47" s="365" t="s">
        <v>990</v>
      </c>
      <c r="N47" s="56"/>
      <c r="O47"/>
      <c r="P47"/>
    </row>
    <row r="48" spans="2:17">
      <c r="E48"/>
      <c r="F48"/>
      <c r="I48" s="11">
        <f>I47-K48</f>
        <v>-25.639999999999986</v>
      </c>
      <c r="J48" s="11"/>
      <c r="K48">
        <v>127.07</v>
      </c>
      <c r="M48" s="365" t="s">
        <v>977</v>
      </c>
      <c r="N48" s="56"/>
      <c r="O48" s="212"/>
      <c r="P48" s="212"/>
      <c r="Q48" s="212"/>
    </row>
    <row r="49" spans="2:17">
      <c r="E49"/>
      <c r="F49"/>
      <c r="I49" s="11">
        <f>I48-K49</f>
        <v>-220.64</v>
      </c>
      <c r="J49" s="11"/>
      <c r="K49">
        <v>195</v>
      </c>
      <c r="M49" s="365" t="s">
        <v>978</v>
      </c>
      <c r="N49" s="56"/>
      <c r="O49" s="56"/>
      <c r="P49" s="56"/>
      <c r="Q49" s="38"/>
    </row>
    <row r="50" spans="2:17" ht="14.4">
      <c r="E50"/>
      <c r="F50"/>
      <c r="I50" s="11"/>
      <c r="J50" s="11"/>
      <c r="K50">
        <f>SUM(K47:K49)</f>
        <v>345.06</v>
      </c>
      <c r="N50" s="56"/>
    </row>
    <row r="51" spans="2:17">
      <c r="E51" s="365"/>
      <c r="F51" s="365"/>
      <c r="I51" s="11">
        <f>537.98-O4</f>
        <v>537.98</v>
      </c>
      <c r="J51" s="11"/>
      <c r="M51" s="365"/>
      <c r="N51" s="764"/>
    </row>
    <row r="52" spans="2:17">
      <c r="E52" s="365"/>
      <c r="F52" s="365"/>
      <c r="I52" s="11">
        <f>I51-K47</f>
        <v>514.99</v>
      </c>
      <c r="J52" s="11"/>
      <c r="N52" s="765"/>
      <c r="O52" s="275"/>
      <c r="P52" s="275"/>
    </row>
    <row r="53" spans="2:17">
      <c r="B53" s="11"/>
      <c r="E53" s="365"/>
      <c r="F53" s="365"/>
      <c r="I53" s="11"/>
      <c r="J53" s="11"/>
      <c r="N53" s="765"/>
    </row>
    <row r="54" spans="2:17" ht="14.4">
      <c r="B54" s="11"/>
      <c r="D54" s="726"/>
      <c r="E54" s="726"/>
      <c r="F54" s="726"/>
      <c r="G54" s="726"/>
      <c r="H54" s="726"/>
      <c r="I54" s="726"/>
      <c r="J54" s="726"/>
      <c r="K54" s="726"/>
      <c r="L54" s="79"/>
      <c r="M54" s="726"/>
      <c r="N54" s="726"/>
      <c r="O54" s="726"/>
      <c r="P54" s="726"/>
    </row>
    <row r="55" spans="2:17">
      <c r="E55"/>
      <c r="F55"/>
      <c r="N55" s="278"/>
      <c r="O55" s="212"/>
      <c r="P55" s="212"/>
    </row>
    <row r="56" spans="2:17">
      <c r="B56" s="212"/>
      <c r="C56" s="212"/>
      <c r="E56"/>
      <c r="F56"/>
      <c r="N56" s="376"/>
      <c r="O56" s="214"/>
      <c r="P56" s="214"/>
    </row>
    <row r="57" spans="2:17">
      <c r="C57" s="56"/>
      <c r="D57" s="243"/>
      <c r="E57"/>
      <c r="F57"/>
      <c r="N57" s="365"/>
      <c r="O57"/>
      <c r="P57"/>
    </row>
    <row r="58" spans="2:17">
      <c r="C58" s="56"/>
      <c r="E58"/>
      <c r="F58"/>
      <c r="N58" s="278"/>
      <c r="O58" s="212"/>
      <c r="P58" s="212"/>
    </row>
    <row r="59" spans="2:17">
      <c r="C59" s="56"/>
      <c r="D59" s="56"/>
      <c r="E59"/>
      <c r="F59"/>
      <c r="N59" s="365"/>
      <c r="O59" s="56"/>
      <c r="P59" s="56"/>
    </row>
    <row r="60" spans="2:17">
      <c r="C60" s="56"/>
      <c r="E60"/>
      <c r="F60"/>
      <c r="N60" s="365"/>
      <c r="O60"/>
      <c r="P60"/>
    </row>
    <row r="61" spans="2:17">
      <c r="C61" s="56"/>
      <c r="E61"/>
      <c r="F61"/>
      <c r="N61" s="278"/>
      <c r="O61" s="212"/>
      <c r="P61" s="212"/>
    </row>
    <row r="62" spans="2:17">
      <c r="C62" s="56"/>
      <c r="E62"/>
      <c r="F62"/>
      <c r="N62" s="365"/>
      <c r="O62" s="38"/>
      <c r="P62" s="56"/>
    </row>
    <row r="63" spans="2:17" ht="14.4">
      <c r="C63" s="56"/>
      <c r="E63"/>
      <c r="F63"/>
      <c r="O63"/>
    </row>
    <row r="64" spans="2:17" ht="14.4">
      <c r="C64" s="56"/>
      <c r="E64"/>
      <c r="F64"/>
    </row>
    <row r="65" spans="2:8" ht="14.4">
      <c r="C65" s="56"/>
      <c r="E65"/>
      <c r="F65"/>
    </row>
    <row r="66" spans="2:8" ht="14.4">
      <c r="C66" s="56"/>
      <c r="E66"/>
      <c r="F66"/>
    </row>
    <row r="67" spans="2:8" ht="14.4">
      <c r="C67" s="56"/>
      <c r="E67"/>
      <c r="F67"/>
    </row>
    <row r="68" spans="2:8">
      <c r="E68" s="365"/>
      <c r="F68" s="365"/>
    </row>
    <row r="69" spans="2:8" ht="14.4">
      <c r="B69" s="212"/>
      <c r="C69" s="294"/>
      <c r="D69" s="212"/>
      <c r="E69" s="212"/>
      <c r="F69" s="212"/>
      <c r="G69" s="212"/>
      <c r="H69" s="212"/>
    </row>
    <row r="70" spans="2:8" ht="14.4">
      <c r="C70" s="56"/>
      <c r="D70" s="56"/>
      <c r="E70" s="56"/>
      <c r="F70" s="56"/>
      <c r="G70" s="56"/>
      <c r="H70" s="56"/>
    </row>
    <row r="71" spans="2:8" ht="14.4">
      <c r="C71" s="56"/>
      <c r="D71" s="56"/>
      <c r="E71" s="56"/>
      <c r="F71" s="56"/>
      <c r="G71" s="56"/>
      <c r="H71" s="56"/>
    </row>
    <row r="72" spans="2:8" ht="14.4">
      <c r="C72" s="56"/>
      <c r="D72" s="56"/>
      <c r="E72" s="56"/>
      <c r="F72" s="56"/>
      <c r="G72" s="56"/>
      <c r="H72" s="56"/>
    </row>
    <row r="73" spans="2:8" ht="14.4">
      <c r="C73" s="56"/>
      <c r="D73" s="56"/>
      <c r="E73" s="56"/>
      <c r="F73" s="56"/>
      <c r="G73" s="56"/>
      <c r="H73" s="56"/>
    </row>
    <row r="74" spans="2:8" ht="14.4">
      <c r="C74" s="56"/>
      <c r="D74" s="56"/>
      <c r="E74" s="56"/>
      <c r="F74" s="56"/>
      <c r="G74" s="56"/>
      <c r="H74" s="56"/>
    </row>
    <row r="75" spans="2:8" ht="14.4">
      <c r="C75" s="56"/>
      <c r="E75" s="56"/>
      <c r="F75" s="56"/>
    </row>
    <row r="77" spans="2:8" ht="14.4">
      <c r="E77" s="212"/>
      <c r="F77" s="212"/>
      <c r="G77" s="212"/>
      <c r="H77" s="212"/>
    </row>
    <row r="78" spans="2:8" ht="14.4">
      <c r="E78" s="56"/>
      <c r="F78" s="56"/>
      <c r="G78" s="56"/>
      <c r="H78" s="56"/>
    </row>
    <row r="79" spans="2:8" ht="14.4">
      <c r="E79" s="56"/>
      <c r="F79" s="56"/>
      <c r="G79" s="56"/>
      <c r="H79" s="56"/>
    </row>
    <row r="80" spans="2:8" ht="14.4">
      <c r="E80" s="56"/>
      <c r="F80" s="56"/>
      <c r="G80" s="56"/>
      <c r="H80" s="56"/>
    </row>
    <row r="81" spans="5:8" ht="14.4">
      <c r="E81" s="56"/>
      <c r="F81" s="56"/>
      <c r="G81" s="56"/>
      <c r="H81" s="56"/>
    </row>
    <row r="82" spans="5:8" ht="14.4">
      <c r="E82" s="56"/>
      <c r="F82" s="56"/>
      <c r="G82" s="56"/>
      <c r="H82" s="56"/>
    </row>
    <row r="83" spans="5:8" ht="14.4">
      <c r="E83" s="56"/>
      <c r="F83" s="56"/>
    </row>
    <row r="85" spans="5:8" ht="14.4">
      <c r="E85" s="212"/>
      <c r="F85" s="212"/>
      <c r="G85" s="212"/>
      <c r="H85" s="212"/>
    </row>
    <row r="86" spans="5:8" ht="14.4">
      <c r="E86" s="56"/>
      <c r="F86" s="56"/>
      <c r="G86" s="56"/>
      <c r="H86" s="56"/>
    </row>
    <row r="87" spans="5:8" ht="14.4">
      <c r="E87" s="56"/>
      <c r="F87" s="56"/>
      <c r="G87" s="56"/>
      <c r="H87" s="56"/>
    </row>
    <row r="88" spans="5:8" ht="14.4">
      <c r="E88" s="56"/>
      <c r="F88" s="56"/>
      <c r="G88" s="56"/>
      <c r="H88" s="56"/>
    </row>
    <row r="89" spans="5:8" ht="14.4">
      <c r="E89" s="56"/>
      <c r="F89" s="56"/>
      <c r="G89" s="56"/>
      <c r="H89" s="56"/>
    </row>
    <row r="90" spans="5:8" ht="14.4">
      <c r="E90" s="56"/>
      <c r="F90" s="56"/>
      <c r="G90" s="56"/>
      <c r="H90" s="56"/>
    </row>
    <row r="91" spans="5:8" ht="14.4">
      <c r="E91" s="56"/>
      <c r="F91" s="56"/>
    </row>
    <row r="92" spans="5:8">
      <c r="E92" s="365"/>
      <c r="F92" s="365"/>
    </row>
  </sheetData>
  <mergeCells count="30">
    <mergeCell ref="I45:M45"/>
    <mergeCell ref="N51:N53"/>
    <mergeCell ref="D54:K54"/>
    <mergeCell ref="M54:P54"/>
    <mergeCell ref="B31:B36"/>
    <mergeCell ref="C31:C36"/>
    <mergeCell ref="B39:D39"/>
    <mergeCell ref="B41:G41"/>
    <mergeCell ref="K41:O41"/>
    <mergeCell ref="B42:C42"/>
    <mergeCell ref="D42:E42"/>
    <mergeCell ref="B21:B23"/>
    <mergeCell ref="C21:C23"/>
    <mergeCell ref="B24:C25"/>
    <mergeCell ref="B29:E29"/>
    <mergeCell ref="B30:C30"/>
    <mergeCell ref="D30:E30"/>
    <mergeCell ref="B20:C20"/>
    <mergeCell ref="D20:E20"/>
    <mergeCell ref="B1:O1"/>
    <mergeCell ref="G3:H3"/>
    <mergeCell ref="I3:J3"/>
    <mergeCell ref="K3:L3"/>
    <mergeCell ref="M3:N3"/>
    <mergeCell ref="B4:E4"/>
    <mergeCell ref="B5:C5"/>
    <mergeCell ref="D5:E5"/>
    <mergeCell ref="B6:B17"/>
    <mergeCell ref="C6:C17"/>
    <mergeCell ref="B19:E19"/>
  </mergeCells>
  <pageMargins left="0.7" right="0.7" top="0.75" bottom="0.75" header="0.3" footer="0.3"/>
  <pageSetup orientation="portrait" r:id="rId1"/>
  <legacy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68DCF-9617-421D-BF34-0AA302B84E2A}">
  <dimension ref="A1:U92"/>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APR-MAY 2020</v>
      </c>
      <c r="B1" s="730" t="str">
        <f ca="1">MID(CELL("filename",B1),FIND("]",CELL("filename",B1))+1,255)</f>
        <v>MAY-JUN 2020</v>
      </c>
      <c r="C1" s="731"/>
      <c r="D1" s="731"/>
      <c r="E1" s="731"/>
      <c r="F1" s="731"/>
      <c r="G1" s="731"/>
      <c r="H1" s="731"/>
      <c r="I1" s="731"/>
      <c r="J1" s="731"/>
      <c r="K1" s="731"/>
      <c r="L1" s="731"/>
      <c r="M1" s="731"/>
      <c r="N1" s="731"/>
      <c r="O1" s="731"/>
      <c r="P1" s="298"/>
      <c r="Q1" s="281"/>
      <c r="R1" s="272"/>
      <c r="S1" s="272"/>
      <c r="T1" s="272"/>
    </row>
    <row r="2" spans="1:21">
      <c r="B2" s="118"/>
      <c r="C2" s="118"/>
      <c r="D2">
        <f>1810.29-650</f>
        <v>1160.29</v>
      </c>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43973</v>
      </c>
      <c r="H3" s="732"/>
      <c r="I3" s="732">
        <f>G3+7</f>
        <v>43980</v>
      </c>
      <c r="J3" s="732"/>
      <c r="K3" s="732">
        <f>I3+7</f>
        <v>43987</v>
      </c>
      <c r="L3" s="732"/>
      <c r="M3" s="732">
        <f>K3+7</f>
        <v>43994</v>
      </c>
      <c r="N3" s="732"/>
      <c r="O3" s="273"/>
      <c r="P3" s="273"/>
      <c r="Q3" s="282"/>
    </row>
    <row r="4" spans="1:21" ht="15" customHeight="1">
      <c r="B4" s="727" t="s">
        <v>804</v>
      </c>
      <c r="C4" s="727"/>
      <c r="D4" s="727"/>
      <c r="E4" s="727"/>
      <c r="F4" s="318"/>
      <c r="H4" s="243">
        <f>SUM(H5:H37)</f>
        <v>154.64999999999998</v>
      </c>
      <c r="J4" s="243">
        <f>SUM(J5:J37)</f>
        <v>208.43999999999997</v>
      </c>
      <c r="L4" s="243">
        <f>SUM(L5:L37)</f>
        <v>247.67000000000002</v>
      </c>
      <c r="N4" s="243">
        <f>SUM(N5:N37)</f>
        <v>211.54999999999998</v>
      </c>
      <c r="O4" s="308">
        <f>IF(H38&lt;&gt;"PAID",H4,0)+IF(J38&lt;&gt;"PAID",J4,0)+IF(L38&lt;&gt;"PAID",L4,0)+IF(N38&lt;&gt;"PAID",N4,0)</f>
        <v>822.31</v>
      </c>
      <c r="P4" s="309" t="s">
        <v>973</v>
      </c>
      <c r="Q4" s="282"/>
    </row>
    <row r="5" spans="1:21" ht="15" customHeight="1">
      <c r="B5" s="733" t="str">
        <f>IF(D5&gt;E$39*0.5,ROUND(D5-E$39*0.5,2) &amp; " Over",ROUND(E$39*0.5-D5,2) &amp; " Under")</f>
        <v>738.71 Under</v>
      </c>
      <c r="C5" s="733"/>
      <c r="D5" s="761">
        <f>SUM(F6:F17)</f>
        <v>2040.6</v>
      </c>
      <c r="E5" s="761"/>
      <c r="F5" s="321"/>
      <c r="G5" s="284"/>
      <c r="H5" s="306"/>
      <c r="I5" s="79"/>
      <c r="J5" s="306"/>
      <c r="K5" s="79"/>
      <c r="L5" s="306"/>
      <c r="M5" s="79"/>
      <c r="N5" s="305"/>
      <c r="O5" s="285">
        <f>SUMIF(O6:O17,"&gt;0")</f>
        <v>336.75</v>
      </c>
      <c r="P5" s="285" t="s">
        <v>892</v>
      </c>
      <c r="Q5" s="282">
        <f>SUM(Q6:Q17)</f>
        <v>56.279999999999944</v>
      </c>
    </row>
    <row r="6" spans="1:21" ht="15" customHeight="1">
      <c r="B6" s="734" t="str">
        <f>"50%: " &amp; E$39*0.5</f>
        <v>50%: 2779.31</v>
      </c>
      <c r="C6" s="734" t="str">
        <f>ROUND((D5/E$39)*100,2) &amp; "%: " &amp;D5</f>
        <v>36.71%: 2040.6</v>
      </c>
      <c r="D6" s="13" t="s">
        <v>805</v>
      </c>
      <c r="E6" s="365">
        <v>0</v>
      </c>
      <c r="F6" s="374">
        <v>50</v>
      </c>
      <c r="H6" s="305">
        <v>25</v>
      </c>
      <c r="J6" s="305"/>
      <c r="L6" s="305">
        <v>25</v>
      </c>
      <c r="N6" s="305"/>
      <c r="O6" s="274">
        <f>SUM(E6:F6)-SUM(G6:N6)</f>
        <v>0</v>
      </c>
      <c r="P6" s="274" t="str">
        <f t="shared" ref="P6:P17" si="0">D6</f>
        <v>Car Petrol / commuting</v>
      </c>
      <c r="Q6" s="282">
        <f t="shared" ref="Q6:Q17" si="1">IF(O6&lt;0,O6*-1,0)</f>
        <v>0</v>
      </c>
    </row>
    <row r="7" spans="1:21" ht="15" customHeight="1">
      <c r="B7" s="734"/>
      <c r="C7" s="734"/>
      <c r="D7" s="13" t="s">
        <v>169</v>
      </c>
      <c r="E7" s="365">
        <v>0</v>
      </c>
      <c r="F7" s="365">
        <f>400+16.68</f>
        <v>416.68</v>
      </c>
      <c r="G7">
        <f>7.62+6.12</f>
        <v>13.74</v>
      </c>
      <c r="H7" s="305">
        <f>46.18+24.64+13.03+3.97</f>
        <v>87.82</v>
      </c>
      <c r="J7" s="305">
        <f>25.35+49.57+9.1+32.44</f>
        <v>116.46</v>
      </c>
      <c r="K7">
        <f>0.62+11.26+1.59+3+5.6+3.1</f>
        <v>25.17</v>
      </c>
      <c r="L7" s="305">
        <f>55.86+11.6+17.94</f>
        <v>85.399999999999991</v>
      </c>
      <c r="M7">
        <f>1.25+8+3</f>
        <v>12.25</v>
      </c>
      <c r="N7" s="305">
        <f>10.88+21.74+53.45+5.89+15.75+20.61</f>
        <v>128.32</v>
      </c>
      <c r="O7" s="274">
        <f t="shared" ref="O7:O17" si="2">SUM(E7:F7)-SUM(G7:N7)</f>
        <v>-52.479999999999961</v>
      </c>
      <c r="P7" s="274" t="str">
        <f t="shared" si="0"/>
        <v>Food</v>
      </c>
      <c r="Q7" s="282">
        <f t="shared" si="1"/>
        <v>52.479999999999961</v>
      </c>
    </row>
    <row r="8" spans="1:21" ht="15" customHeight="1">
      <c r="B8" s="734"/>
      <c r="C8" s="734"/>
      <c r="D8" s="13" t="s">
        <v>919</v>
      </c>
      <c r="E8" s="365">
        <v>1.5700000000000074</v>
      </c>
      <c r="F8" s="365">
        <v>40</v>
      </c>
      <c r="H8" s="305">
        <f>28.44</f>
        <v>28.44</v>
      </c>
      <c r="J8" s="305"/>
      <c r="L8" s="305"/>
      <c r="N8" s="305">
        <f>(25.45-12.32)</f>
        <v>13.129999999999999</v>
      </c>
      <c r="O8" s="274">
        <f t="shared" si="2"/>
        <v>0</v>
      </c>
      <c r="P8" s="274" t="str">
        <f t="shared" si="0"/>
        <v>Bun</v>
      </c>
      <c r="Q8" s="282">
        <f t="shared" si="1"/>
        <v>0</v>
      </c>
    </row>
    <row r="9" spans="1:21" ht="15" customHeight="1" outlineLevel="1">
      <c r="B9" s="734"/>
      <c r="C9" s="734"/>
      <c r="D9" s="201" t="s">
        <v>595</v>
      </c>
      <c r="E9" s="365">
        <v>150</v>
      </c>
      <c r="F9" s="365">
        <f>452.64+150</f>
        <v>602.64</v>
      </c>
      <c r="H9" s="305"/>
      <c r="J9" s="305"/>
      <c r="L9" s="305"/>
      <c r="M9">
        <f>452.64</f>
        <v>452.64</v>
      </c>
      <c r="N9" s="305"/>
      <c r="O9" s="274">
        <f t="shared" si="2"/>
        <v>300</v>
      </c>
      <c r="P9" s="274" t="str">
        <f t="shared" si="0"/>
        <v>Mortgage</v>
      </c>
      <c r="Q9" s="282">
        <f t="shared" si="1"/>
        <v>0</v>
      </c>
    </row>
    <row r="10" spans="1:21" ht="15" customHeight="1" outlineLevel="1">
      <c r="B10" s="734"/>
      <c r="C10" s="734"/>
      <c r="D10" s="201" t="s">
        <v>596</v>
      </c>
      <c r="E10" s="365">
        <v>0</v>
      </c>
      <c r="F10" s="365">
        <v>129</v>
      </c>
      <c r="H10" s="305"/>
      <c r="J10" s="305"/>
      <c r="L10" s="305"/>
      <c r="M10">
        <v>129</v>
      </c>
      <c r="N10" s="305"/>
      <c r="O10" s="274">
        <f t="shared" si="2"/>
        <v>0</v>
      </c>
      <c r="P10" s="274" t="str">
        <f t="shared" si="0"/>
        <v>Council tax</v>
      </c>
      <c r="Q10" s="282">
        <f t="shared" si="1"/>
        <v>0</v>
      </c>
    </row>
    <row r="11" spans="1:21" ht="15" customHeight="1" outlineLevel="1">
      <c r="B11" s="734"/>
      <c r="C11" s="734"/>
      <c r="D11" s="201" t="s">
        <v>785</v>
      </c>
      <c r="E11" s="365">
        <v>0</v>
      </c>
      <c r="F11" s="365">
        <f>16+(45+100)+1+15</f>
        <v>177</v>
      </c>
      <c r="G11">
        <v>1</v>
      </c>
      <c r="H11" s="305"/>
      <c r="I11">
        <f>100</f>
        <v>100</v>
      </c>
      <c r="J11" s="305"/>
      <c r="L11" s="305"/>
      <c r="M11">
        <f>16+63.14</f>
        <v>79.14</v>
      </c>
      <c r="N11" s="305"/>
      <c r="O11" s="274">
        <f t="shared" si="2"/>
        <v>-3.1399999999999864</v>
      </c>
      <c r="P11" s="274" t="str">
        <f t="shared" si="0"/>
        <v>Utilities (G,W,E,TV)</v>
      </c>
      <c r="Q11" s="282">
        <f t="shared" si="1"/>
        <v>3.1399999999999864</v>
      </c>
    </row>
    <row r="12" spans="1:21" ht="15" customHeight="1" outlineLevel="1">
      <c r="B12" s="734"/>
      <c r="C12" s="734"/>
      <c r="D12" s="201" t="s">
        <v>894</v>
      </c>
      <c r="E12" s="365">
        <v>0</v>
      </c>
      <c r="F12" s="365">
        <f>4.52+15.97+8.56+20.78+8</f>
        <v>57.830000000000005</v>
      </c>
      <c r="G12">
        <v>29.05</v>
      </c>
      <c r="H12" s="305"/>
      <c r="J12" s="305"/>
      <c r="L12" s="305"/>
      <c r="M12">
        <f>8+20.78</f>
        <v>28.78</v>
      </c>
      <c r="N12" s="305"/>
      <c r="O12" s="274">
        <f t="shared" si="2"/>
        <v>0</v>
      </c>
      <c r="P12" s="274" t="str">
        <f t="shared" si="0"/>
        <v>Insurances</v>
      </c>
      <c r="Q12" s="282">
        <f t="shared" si="1"/>
        <v>0</v>
      </c>
    </row>
    <row r="13" spans="1:21" ht="15" customHeight="1" outlineLevel="1">
      <c r="B13" s="734"/>
      <c r="C13" s="734"/>
      <c r="D13" s="201" t="s">
        <v>602</v>
      </c>
      <c r="E13" s="365">
        <v>0</v>
      </c>
      <c r="F13" s="365">
        <v>39.99</v>
      </c>
      <c r="H13" s="305"/>
      <c r="J13" s="305"/>
      <c r="L13" s="305"/>
      <c r="M13">
        <v>40.369999999999997</v>
      </c>
      <c r="N13" s="305"/>
      <c r="O13" s="274">
        <f t="shared" si="2"/>
        <v>-0.37999999999999545</v>
      </c>
      <c r="P13" s="274" t="str">
        <f t="shared" si="0"/>
        <v>Broadband / TV</v>
      </c>
      <c r="Q13" s="282">
        <f t="shared" si="1"/>
        <v>0.37999999999999545</v>
      </c>
    </row>
    <row r="14" spans="1:21" ht="15" customHeight="1" outlineLevel="1">
      <c r="B14" s="734"/>
      <c r="C14" s="734"/>
      <c r="D14" s="201" t="s">
        <v>582</v>
      </c>
      <c r="E14" s="365">
        <v>0</v>
      </c>
      <c r="F14" s="365">
        <v>7.99</v>
      </c>
      <c r="H14" s="305"/>
      <c r="I14">
        <f>7.99</f>
        <v>7.99</v>
      </c>
      <c r="J14" s="305"/>
      <c r="L14" s="305"/>
      <c r="N14" s="305"/>
      <c r="O14" s="274">
        <f t="shared" si="2"/>
        <v>0</v>
      </c>
      <c r="P14" s="274" t="str">
        <f t="shared" si="0"/>
        <v>Onedrive (6th)</v>
      </c>
      <c r="Q14" s="282">
        <f t="shared" si="1"/>
        <v>0</v>
      </c>
    </row>
    <row r="15" spans="1:21" ht="15" customHeight="1" outlineLevel="1">
      <c r="B15" s="734"/>
      <c r="C15" s="734"/>
      <c r="D15" s="201" t="s">
        <v>788</v>
      </c>
      <c r="E15" s="365">
        <v>0</v>
      </c>
      <c r="F15" s="365">
        <v>10.16</v>
      </c>
      <c r="H15" s="305"/>
      <c r="I15">
        <f>10.44</f>
        <v>10.44</v>
      </c>
      <c r="J15" s="305"/>
      <c r="L15" s="305"/>
      <c r="N15" s="305"/>
      <c r="O15" s="274">
        <f t="shared" si="2"/>
        <v>-0.27999999999999936</v>
      </c>
      <c r="P15" s="274" t="str">
        <f t="shared" si="0"/>
        <v>Matt Phone</v>
      </c>
      <c r="Q15" s="282">
        <f t="shared" si="1"/>
        <v>0.27999999999999936</v>
      </c>
    </row>
    <row r="16" spans="1:21" ht="15" customHeight="1" outlineLevel="1">
      <c r="B16" s="734"/>
      <c r="C16" s="734"/>
      <c r="D16" s="201" t="s">
        <v>985</v>
      </c>
      <c r="E16" s="365">
        <v>24.5</v>
      </c>
      <c r="F16" s="365">
        <f>28.43+12.25+65.87+93.72</f>
        <v>200.27</v>
      </c>
      <c r="H16" s="305"/>
      <c r="I16">
        <f>28.43+65.87+93.72</f>
        <v>188.02</v>
      </c>
      <c r="J16" s="305"/>
      <c r="L16" s="305"/>
      <c r="N16" s="305"/>
      <c r="O16" s="274">
        <f t="shared" si="2"/>
        <v>36.75</v>
      </c>
      <c r="P16" s="274" t="str">
        <f t="shared" si="0"/>
        <v>Car Tax / Insurance</v>
      </c>
      <c r="Q16" s="282">
        <f t="shared" si="1"/>
        <v>0</v>
      </c>
    </row>
    <row r="17" spans="2:20" ht="15" customHeight="1" outlineLevel="1">
      <c r="B17" s="734"/>
      <c r="C17" s="734"/>
      <c r="D17" s="293" t="s">
        <v>920</v>
      </c>
      <c r="E17" s="365">
        <v>0</v>
      </c>
      <c r="F17" s="277">
        <f>179.07+129.97</f>
        <v>309.03999999999996</v>
      </c>
      <c r="G17">
        <v>129.97</v>
      </c>
      <c r="H17" s="305"/>
      <c r="J17" s="305"/>
      <c r="L17" s="305"/>
      <c r="M17">
        <v>179.07</v>
      </c>
      <c r="N17" s="305"/>
      <c r="O17" s="274">
        <f t="shared" si="2"/>
        <v>0</v>
      </c>
      <c r="P17" s="274" t="str">
        <f t="shared" si="0"/>
        <v>Finance</v>
      </c>
      <c r="Q17" s="282">
        <f t="shared" si="1"/>
        <v>0</v>
      </c>
    </row>
    <row r="18" spans="2:20" ht="15" customHeight="1">
      <c r="B18" s="118"/>
      <c r="C18" s="118"/>
      <c r="D18" s="188"/>
      <c r="E18" s="365"/>
      <c r="F18" s="365"/>
      <c r="H18" s="305"/>
      <c r="J18" s="305"/>
      <c r="L18" s="305"/>
      <c r="N18" s="305"/>
      <c r="O18" s="273"/>
      <c r="P18" s="273"/>
      <c r="Q18" s="282"/>
    </row>
    <row r="19" spans="2:20" ht="15" customHeight="1">
      <c r="B19" s="736" t="s">
        <v>808</v>
      </c>
      <c r="C19" s="736"/>
      <c r="D19" s="736"/>
      <c r="E19" s="736"/>
      <c r="F19" s="320"/>
      <c r="H19" s="305"/>
      <c r="J19" s="305"/>
      <c r="L19" s="305"/>
      <c r="N19" s="305"/>
      <c r="O19" s="274"/>
      <c r="P19" s="274"/>
      <c r="Q19" s="282"/>
    </row>
    <row r="20" spans="2:20" ht="15" customHeight="1">
      <c r="B20" s="727" t="str">
        <f>IF(ISNUMBER((SEARCH("Over",C$5))),"Operating under budget","Operating over budget")</f>
        <v>Operating over budget</v>
      </c>
      <c r="C20" s="727"/>
      <c r="D20" s="759">
        <f>SUM(F21:F26)</f>
        <v>1431.22</v>
      </c>
      <c r="E20" s="759"/>
      <c r="F20" s="319"/>
      <c r="H20" s="305"/>
      <c r="J20" s="305"/>
      <c r="L20" s="305"/>
      <c r="N20" s="305"/>
      <c r="O20" s="285">
        <f>SUMIF(O21:O27,"&gt;0")</f>
        <v>1674.77</v>
      </c>
      <c r="P20" s="285" t="s">
        <v>895</v>
      </c>
      <c r="Q20" s="282">
        <f>SUM(Q22:Q26)</f>
        <v>0</v>
      </c>
    </row>
    <row r="21" spans="2:20" ht="15" customHeight="1" outlineLevel="1">
      <c r="B21" s="734" t="str">
        <f>"20% : " &amp; E$39*0.2</f>
        <v>20% : 1111.724</v>
      </c>
      <c r="C21" s="734" t="str">
        <f>"20% : " &amp; E$39*0.2</f>
        <v>20% : 1111.724</v>
      </c>
      <c r="D21" s="300" t="s">
        <v>896</v>
      </c>
      <c r="E21" s="365">
        <v>24.88000000000002</v>
      </c>
      <c r="F21" s="365">
        <f>50</f>
        <v>50</v>
      </c>
      <c r="H21" s="305"/>
      <c r="J21" s="305"/>
      <c r="L21" s="315"/>
      <c r="N21" s="305">
        <f>12</f>
        <v>12</v>
      </c>
      <c r="O21" s="274">
        <f>SUM(E21:F21)-SUM(G21:N21)-Q39</f>
        <v>-2.9099999999994566</v>
      </c>
      <c r="P21" s="274" t="str">
        <f t="shared" ref="P21:P27" si="3">D21</f>
        <v>Contingency 20%</v>
      </c>
      <c r="Q21" s="282">
        <f>SUM(Q22:Q28)</f>
        <v>0</v>
      </c>
    </row>
    <row r="22" spans="2:20" ht="15" customHeight="1" outlineLevel="1">
      <c r="B22" s="734"/>
      <c r="C22" s="734"/>
      <c r="D22" s="300" t="s">
        <v>897</v>
      </c>
      <c r="E22" s="365">
        <v>343.78</v>
      </c>
      <c r="F22" s="365">
        <f>500+175+(500-E22)</f>
        <v>831.22</v>
      </c>
      <c r="H22" s="305"/>
      <c r="J22" s="305">
        <v>79</v>
      </c>
      <c r="L22" s="305">
        <f>33.99+33.99</f>
        <v>67.98</v>
      </c>
      <c r="M22">
        <f>2.68+4.19</f>
        <v>6.870000000000001</v>
      </c>
      <c r="N22" s="305"/>
      <c r="O22" s="274">
        <f t="shared" ref="O22:O27" si="4">SUM(E22:F22)-SUM(G22:N22)</f>
        <v>1021.15</v>
      </c>
      <c r="P22" s="274" t="str">
        <f t="shared" si="3"/>
        <v>Holiday Fund 60%</v>
      </c>
      <c r="Q22" s="282">
        <f t="shared" ref="Q22:Q27" si="5">IF(O22&lt;0,O22*-1,0)</f>
        <v>0</v>
      </c>
      <c r="S22" s="11"/>
      <c r="T22" s="11"/>
    </row>
    <row r="23" spans="2:20" ht="15" customHeight="1" outlineLevel="1">
      <c r="B23" s="734"/>
      <c r="C23" s="734"/>
      <c r="D23" s="300" t="s">
        <v>811</v>
      </c>
      <c r="E23" s="365">
        <v>431.01</v>
      </c>
      <c r="F23" s="365">
        <f>250</f>
        <v>250</v>
      </c>
      <c r="G23">
        <f>20</f>
        <v>20</v>
      </c>
      <c r="H23" s="305"/>
      <c r="I23">
        <f>10+20</f>
        <v>30</v>
      </c>
      <c r="J23" s="305"/>
      <c r="L23" s="305">
        <f>16.98+52.31</f>
        <v>69.290000000000006</v>
      </c>
      <c r="N23" s="305">
        <f>7.68+13.99+24.11+(25.45-13.13)</f>
        <v>58.1</v>
      </c>
      <c r="O23" s="274">
        <f t="shared" si="4"/>
        <v>503.62</v>
      </c>
      <c r="P23" s="274" t="str">
        <f t="shared" si="3"/>
        <v>Gift Fund 20%</v>
      </c>
      <c r="Q23" s="282">
        <f t="shared" si="5"/>
        <v>0</v>
      </c>
    </row>
    <row r="24" spans="2:20" ht="15" customHeight="1" outlineLevel="1">
      <c r="B24" s="734" t="s">
        <v>130</v>
      </c>
      <c r="C24" s="734"/>
      <c r="D24" s="300" t="s">
        <v>812</v>
      </c>
      <c r="E24" s="365">
        <v>0</v>
      </c>
      <c r="F24" s="365">
        <f>150+100</f>
        <v>250</v>
      </c>
      <c r="H24" s="305"/>
      <c r="J24" s="305"/>
      <c r="L24" s="305"/>
      <c r="M24">
        <v>250</v>
      </c>
      <c r="N24" s="305"/>
      <c r="O24" s="274">
        <f t="shared" si="4"/>
        <v>0</v>
      </c>
      <c r="P24" s="274" t="str">
        <f t="shared" si="3"/>
        <v>Wedding</v>
      </c>
      <c r="Q24" s="282">
        <f t="shared" si="5"/>
        <v>0</v>
      </c>
    </row>
    <row r="25" spans="2:20" ht="15" customHeight="1" outlineLevel="1">
      <c r="B25" s="734"/>
      <c r="C25" s="734"/>
      <c r="D25" s="300" t="s">
        <v>174</v>
      </c>
      <c r="E25" s="365">
        <v>0</v>
      </c>
      <c r="F25" s="365">
        <v>0</v>
      </c>
      <c r="G25" s="11"/>
      <c r="H25" s="306"/>
      <c r="J25" s="305"/>
      <c r="L25" s="305"/>
      <c r="N25" s="305"/>
      <c r="O25" s="274">
        <f t="shared" si="4"/>
        <v>0</v>
      </c>
      <c r="P25" s="274" t="str">
        <f t="shared" si="3"/>
        <v>House</v>
      </c>
      <c r="Q25" s="282">
        <f t="shared" si="5"/>
        <v>0</v>
      </c>
    </row>
    <row r="26" spans="2:20" ht="15" customHeight="1" outlineLevel="1">
      <c r="B26" s="7"/>
      <c r="C26" s="7"/>
      <c r="D26" s="300" t="s">
        <v>953</v>
      </c>
      <c r="E26" s="365">
        <v>100</v>
      </c>
      <c r="F26" s="365">
        <v>50</v>
      </c>
      <c r="G26" s="11"/>
      <c r="H26" s="306"/>
      <c r="J26" s="305"/>
      <c r="L26" s="305"/>
      <c r="N26" s="305"/>
      <c r="O26" s="274">
        <f t="shared" si="4"/>
        <v>150</v>
      </c>
      <c r="P26" s="274" t="str">
        <f t="shared" si="3"/>
        <v>Cars (Service / MOT) £45</v>
      </c>
      <c r="Q26" s="282">
        <f t="shared" si="5"/>
        <v>0</v>
      </c>
    </row>
    <row r="27" spans="2:20" ht="15" customHeight="1" outlineLevel="1">
      <c r="B27" s="7"/>
      <c r="C27" s="7"/>
      <c r="D27" s="300" t="s">
        <v>814</v>
      </c>
      <c r="E27" s="365">
        <v>776.06</v>
      </c>
      <c r="F27" s="365">
        <v>0</v>
      </c>
      <c r="G27" s="11">
        <v>776.06</v>
      </c>
      <c r="H27" s="306"/>
      <c r="J27" s="305"/>
      <c r="L27" s="305"/>
      <c r="N27" s="305"/>
      <c r="O27" s="274">
        <f t="shared" si="4"/>
        <v>0</v>
      </c>
      <c r="P27" s="274" t="str">
        <f t="shared" si="3"/>
        <v>CC</v>
      </c>
      <c r="Q27" s="282">
        <f t="shared" si="5"/>
        <v>0</v>
      </c>
    </row>
    <row r="28" spans="2:20" ht="15" customHeight="1">
      <c r="B28" s="118"/>
      <c r="C28" s="118"/>
      <c r="E28" s="365"/>
      <c r="F28" s="365"/>
      <c r="H28" s="305"/>
      <c r="J28" s="305"/>
      <c r="L28" s="305"/>
      <c r="N28" s="305"/>
      <c r="O28" s="273"/>
      <c r="P28" s="273"/>
      <c r="Q28" s="282"/>
    </row>
    <row r="29" spans="2:20" ht="15" customHeight="1">
      <c r="B29" s="727"/>
      <c r="C29" s="727"/>
      <c r="D29" s="727"/>
      <c r="E29" s="727"/>
      <c r="F29" s="318"/>
      <c r="H29" s="305"/>
      <c r="J29" s="305"/>
      <c r="L29" s="305"/>
      <c r="N29" s="305"/>
      <c r="O29" s="273"/>
      <c r="P29" s="273"/>
      <c r="Q29" s="282"/>
    </row>
    <row r="30" spans="2:20" ht="15" customHeight="1">
      <c r="B30" s="727" t="str">
        <f>IF(ISNUMBER((SEARCH("Over",B$5))),"Operating under budget","Operating over budget")</f>
        <v>Operating over budget</v>
      </c>
      <c r="C30" s="727"/>
      <c r="D30" s="759">
        <f>(E$39-D5-D20-E38)</f>
        <v>225.49000000000046</v>
      </c>
      <c r="E30" s="727"/>
      <c r="F30" s="318"/>
      <c r="H30" s="305"/>
      <c r="J30" s="305"/>
      <c r="L30" s="305"/>
      <c r="N30" s="305"/>
      <c r="O30" s="285">
        <f>SUMIF(O31:O35,"&gt;0")</f>
        <v>13.059999999999995</v>
      </c>
      <c r="P30" s="285" t="s">
        <v>899</v>
      </c>
      <c r="Q30" s="282">
        <f>SUM(Q31:Q36)</f>
        <v>9.5099999999995362</v>
      </c>
    </row>
    <row r="31" spans="2:20" ht="18" outlineLevel="1">
      <c r="B31" s="734"/>
      <c r="C31" s="760"/>
      <c r="D31" s="13" t="s">
        <v>954</v>
      </c>
      <c r="E31" s="365">
        <v>0</v>
      </c>
      <c r="F31" s="365">
        <v>0</v>
      </c>
      <c r="H31" s="305"/>
      <c r="J31" s="305"/>
      <c r="L31" s="305"/>
      <c r="N31" s="305"/>
      <c r="O31" s="274">
        <f t="shared" ref="O31:O37" si="6">SUM(E31:F31)-SUM(G31:N31)</f>
        <v>0</v>
      </c>
      <c r="P31" s="274" t="str">
        <f t="shared" ref="P31:P37" si="7">D31</f>
        <v>Haircut</v>
      </c>
      <c r="Q31" s="282">
        <f t="shared" ref="Q31:Q34" si="8">IF(O31&lt;0,O31*-1,0)</f>
        <v>0</v>
      </c>
    </row>
    <row r="32" spans="2:20" ht="18" outlineLevel="1">
      <c r="B32" s="734"/>
      <c r="C32" s="760"/>
      <c r="D32" s="13" t="s">
        <v>943</v>
      </c>
      <c r="E32" s="365">
        <v>0</v>
      </c>
      <c r="F32" s="365">
        <v>0</v>
      </c>
      <c r="H32" s="305"/>
      <c r="J32" s="305"/>
      <c r="L32" s="305"/>
      <c r="N32" s="305"/>
      <c r="O32" s="274">
        <f t="shared" si="6"/>
        <v>0</v>
      </c>
      <c r="P32" s="274" t="str">
        <f t="shared" si="7"/>
        <v>Car wash</v>
      </c>
      <c r="Q32" s="282">
        <f t="shared" si="8"/>
        <v>0</v>
      </c>
    </row>
    <row r="33" spans="2:17" ht="18" outlineLevel="1">
      <c r="B33" s="734"/>
      <c r="C33" s="760"/>
      <c r="D33" s="13" t="s">
        <v>944</v>
      </c>
      <c r="E33" s="365">
        <v>0</v>
      </c>
      <c r="F33" s="365">
        <v>15</v>
      </c>
      <c r="H33" s="305"/>
      <c r="J33" s="305"/>
      <c r="L33" s="305"/>
      <c r="M33">
        <v>15</v>
      </c>
      <c r="N33" s="305"/>
      <c r="O33" s="274">
        <f t="shared" si="6"/>
        <v>0</v>
      </c>
      <c r="P33" s="274" t="str">
        <f t="shared" si="7"/>
        <v>Windows</v>
      </c>
      <c r="Q33" s="282">
        <f t="shared" si="8"/>
        <v>0</v>
      </c>
    </row>
    <row r="34" spans="2:17" ht="18" outlineLevel="1">
      <c r="B34" s="734"/>
      <c r="C34" s="760"/>
      <c r="D34" s="13" t="s">
        <v>177</v>
      </c>
      <c r="E34" s="365">
        <v>0</v>
      </c>
      <c r="F34" s="365">
        <v>0</v>
      </c>
      <c r="H34" s="305"/>
      <c r="J34" s="305"/>
      <c r="L34" s="305"/>
      <c r="N34" s="305"/>
      <c r="O34" s="274">
        <f t="shared" si="6"/>
        <v>0</v>
      </c>
      <c r="P34" s="274" t="str">
        <f t="shared" si="7"/>
        <v>Gym</v>
      </c>
      <c r="Q34" s="282">
        <f t="shared" si="8"/>
        <v>0</v>
      </c>
    </row>
    <row r="35" spans="2:17" ht="15.75" customHeight="1" outlineLevel="1">
      <c r="B35" s="734"/>
      <c r="C35" s="760"/>
      <c r="D35" s="13" t="s">
        <v>781</v>
      </c>
      <c r="E35" s="365">
        <v>0</v>
      </c>
      <c r="F35" s="365">
        <f>13+2+10.65+7.99+2.4+17.06+5.99</f>
        <v>59.089999999999996</v>
      </c>
      <c r="G35">
        <v>2</v>
      </c>
      <c r="H35" s="305"/>
      <c r="I35">
        <f>17+2.4+5.99</f>
        <v>25.39</v>
      </c>
      <c r="J35" s="305"/>
      <c r="K35">
        <f>7.99+10.65</f>
        <v>18.64</v>
      </c>
      <c r="L35" s="305"/>
      <c r="N35" s="305"/>
      <c r="O35" s="274">
        <f t="shared" si="6"/>
        <v>13.059999999999995</v>
      </c>
      <c r="P35" s="274" t="str">
        <f t="shared" si="7"/>
        <v>Subscriptions</v>
      </c>
      <c r="Q35" s="282">
        <f>IF(O35&lt;0,O35*-1,0)</f>
        <v>0</v>
      </c>
    </row>
    <row r="36" spans="2:17" ht="18" outlineLevel="1">
      <c r="B36" s="734"/>
      <c r="C36" s="760"/>
      <c r="D36" s="13" t="s">
        <v>922</v>
      </c>
      <c r="E36" s="365">
        <v>9.5099999999998204</v>
      </c>
      <c r="F36" s="365">
        <f>(D30-SUM(F31:F35))-F27-F37</f>
        <v>151.40000000000046</v>
      </c>
      <c r="G36">
        <f>10+4.15+4.99+88.18</f>
        <v>107.32000000000001</v>
      </c>
      <c r="H36" s="305">
        <f>4.5+8.89</f>
        <v>13.39</v>
      </c>
      <c r="I36">
        <f>10.79+10.99+5.44</f>
        <v>27.220000000000002</v>
      </c>
      <c r="J36" s="305">
        <f>12.98</f>
        <v>12.98</v>
      </c>
      <c r="L36" s="305"/>
      <c r="N36" s="305"/>
      <c r="O36" s="274">
        <f>SUM(E36:F36)-SUM(G36:N36)</f>
        <v>2.8421709430404007E-13</v>
      </c>
      <c r="P36" s="274" t="str">
        <f t="shared" si="7"/>
        <v>Matt Fun</v>
      </c>
      <c r="Q36" s="282">
        <f>IF(F36-SUM(G36:N36)&lt;=0,(F36-SUM(G36:N36))*-1,0)</f>
        <v>9.5099999999995362</v>
      </c>
    </row>
    <row r="37" spans="2:17" ht="18" outlineLevel="1">
      <c r="B37" s="7"/>
      <c r="C37" s="284"/>
      <c r="D37" s="13" t="s">
        <v>152</v>
      </c>
      <c r="E37" s="365">
        <v>0</v>
      </c>
      <c r="F37" s="365">
        <v>0</v>
      </c>
      <c r="H37" s="305"/>
      <c r="J37" s="305"/>
      <c r="L37" s="305"/>
      <c r="N37" s="305"/>
      <c r="O37" s="274">
        <f t="shared" si="6"/>
        <v>0</v>
      </c>
      <c r="P37" s="274" t="str">
        <f t="shared" si="7"/>
        <v>Kris</v>
      </c>
      <c r="Q37" s="271"/>
    </row>
    <row r="38" spans="2:17">
      <c r="B38" s="118"/>
      <c r="C38" s="118"/>
      <c r="E38" s="365">
        <f>SUM(E31:E37)+SUM(E21:E27)+SUM(E6:E17)</f>
        <v>1861.3099999999997</v>
      </c>
      <c r="F38" s="365"/>
      <c r="H38" s="7"/>
      <c r="J38" s="7"/>
      <c r="L38" s="7"/>
      <c r="N38" s="7"/>
      <c r="O38" s="273"/>
      <c r="P38" s="273"/>
      <c r="Q38" s="282"/>
    </row>
    <row r="39" spans="2:17" ht="18">
      <c r="B39" s="728" t="s">
        <v>817</v>
      </c>
      <c r="C39" s="728"/>
      <c r="D39" s="728"/>
      <c r="E39" s="375">
        <f>G39+I39+K39+M39+N39+E38</f>
        <v>5558.62</v>
      </c>
      <c r="F39" s="379"/>
      <c r="G39" s="271">
        <f>(2647.31)+(1050)</f>
        <v>3697.31</v>
      </c>
      <c r="H39" s="271"/>
      <c r="I39" s="271"/>
      <c r="J39" s="271"/>
      <c r="K39" s="271"/>
      <c r="L39" s="271"/>
      <c r="M39" s="271"/>
      <c r="N39" s="271"/>
      <c r="O39" s="314" t="str">
        <f>"£" &amp; ROUND(O5+O30+O20+O36+O37+O4,2) &amp; " / " &amp; "£" &amp; E39</f>
        <v>£2846.89 / £5558.62</v>
      </c>
      <c r="P39" s="274"/>
      <c r="Q39" s="282">
        <f>SUM(Q30,Q20,Q5)</f>
        <v>65.78999999999948</v>
      </c>
    </row>
    <row r="40" spans="2:17">
      <c r="B40" s="118"/>
      <c r="C40" s="7"/>
      <c r="E40" s="365"/>
      <c r="F40" s="365"/>
      <c r="G40" s="365"/>
      <c r="H40" s="365"/>
    </row>
    <row r="41" spans="2:17" ht="14.4">
      <c r="B41" s="729"/>
      <c r="C41" s="729"/>
      <c r="D41" s="729"/>
      <c r="E41" s="729"/>
      <c r="F41" s="729"/>
      <c r="G41" s="729"/>
      <c r="H41" s="297"/>
      <c r="K41" s="729"/>
      <c r="L41" s="729"/>
      <c r="M41" s="729"/>
      <c r="N41" s="729"/>
      <c r="O41" s="729"/>
      <c r="P41" s="297"/>
    </row>
    <row r="42" spans="2:17" ht="15" customHeight="1">
      <c r="B42" s="726" t="s">
        <v>955</v>
      </c>
      <c r="C42" s="726"/>
      <c r="D42" s="726"/>
      <c r="E42" s="726"/>
      <c r="F42" s="79"/>
      <c r="K42" s="212"/>
      <c r="L42" s="212"/>
      <c r="M42" s="278"/>
      <c r="N42" s="212"/>
      <c r="O42" s="118" t="s">
        <v>991</v>
      </c>
      <c r="P42" s="316">
        <v>43998</v>
      </c>
      <c r="Q42" s="7"/>
    </row>
    <row r="43" spans="2:17">
      <c r="B43" s="365"/>
      <c r="C43" s="38"/>
      <c r="E43" s="11"/>
      <c r="F43"/>
      <c r="K43" s="214"/>
      <c r="L43" s="214"/>
      <c r="M43" s="376"/>
      <c r="N43" s="214"/>
      <c r="O43" s="322" t="s">
        <v>992</v>
      </c>
      <c r="P43" s="42">
        <v>43998</v>
      </c>
      <c r="Q43" s="212"/>
    </row>
    <row r="44" spans="2:17">
      <c r="E44"/>
      <c r="F44"/>
      <c r="M44" s="365">
        <f>4087.59-4077.42</f>
        <v>10.170000000000073</v>
      </c>
      <c r="O44" t="s">
        <v>993</v>
      </c>
      <c r="P44">
        <f>3189.67-3179.5</f>
        <v>10.170000000000073</v>
      </c>
    </row>
    <row r="45" spans="2:17" ht="16.2" customHeight="1">
      <c r="E45" s="214"/>
      <c r="F45" s="214"/>
      <c r="I45" s="760">
        <f>4466.48-4429.48</f>
        <v>37</v>
      </c>
      <c r="J45" s="760"/>
      <c r="K45" s="760"/>
      <c r="L45" s="760"/>
      <c r="M45" s="760"/>
      <c r="N45" s="212"/>
      <c r="O45" s="212"/>
      <c r="P45" s="212"/>
    </row>
    <row r="46" spans="2:17">
      <c r="B46" s="378"/>
      <c r="E46"/>
      <c r="F46"/>
      <c r="I46" s="11"/>
      <c r="J46" s="11"/>
      <c r="K46" s="56"/>
      <c r="L46" s="56"/>
      <c r="M46" s="365"/>
      <c r="N46" s="56"/>
      <c r="O46" s="56"/>
      <c r="P46" s="56"/>
    </row>
    <row r="47" spans="2:17">
      <c r="E47"/>
      <c r="F47"/>
      <c r="I47" s="11"/>
      <c r="J47" s="11"/>
      <c r="K47">
        <f>4479.48-4469.97</f>
        <v>9.5099999999993088</v>
      </c>
      <c r="M47" s="365"/>
      <c r="N47" s="56"/>
      <c r="O47"/>
      <c r="P47"/>
    </row>
    <row r="48" spans="2:17">
      <c r="E48"/>
      <c r="F48"/>
      <c r="I48" s="11"/>
      <c r="J48" s="11"/>
      <c r="M48" s="365"/>
      <c r="N48" s="56"/>
      <c r="O48" s="212"/>
      <c r="P48" s="212"/>
      <c r="Q48" s="212"/>
    </row>
    <row r="49" spans="2:17">
      <c r="E49"/>
      <c r="F49"/>
      <c r="I49" s="11"/>
      <c r="J49" s="11"/>
      <c r="M49" s="365"/>
      <c r="N49" s="56"/>
      <c r="O49" s="56"/>
      <c r="P49" s="56"/>
      <c r="Q49" s="38"/>
    </row>
    <row r="50" spans="2:17" ht="14.4">
      <c r="E50"/>
      <c r="F50"/>
      <c r="I50" s="11"/>
      <c r="J50" s="11"/>
      <c r="N50" s="56"/>
    </row>
    <row r="51" spans="2:17">
      <c r="E51" s="365"/>
      <c r="F51" s="365"/>
      <c r="I51" s="11"/>
      <c r="J51" s="11"/>
      <c r="M51" s="365"/>
      <c r="N51" s="764"/>
    </row>
    <row r="52" spans="2:17">
      <c r="E52" s="365"/>
      <c r="F52" s="365"/>
      <c r="I52" s="11"/>
      <c r="J52" s="11"/>
      <c r="N52" s="765"/>
      <c r="O52" s="275"/>
      <c r="P52" s="275"/>
    </row>
    <row r="53" spans="2:17">
      <c r="B53" s="11"/>
      <c r="E53" s="365"/>
      <c r="F53" s="365"/>
      <c r="I53" s="11"/>
      <c r="J53" s="11"/>
      <c r="N53" s="765"/>
    </row>
    <row r="54" spans="2:17" ht="14.4">
      <c r="B54" s="11"/>
      <c r="D54" s="726"/>
      <c r="E54" s="726"/>
      <c r="F54" s="726"/>
      <c r="G54" s="726"/>
      <c r="H54" s="726"/>
      <c r="I54" s="726"/>
      <c r="J54" s="726"/>
      <c r="K54" s="726"/>
      <c r="L54" s="79"/>
      <c r="M54" s="726"/>
      <c r="N54" s="726"/>
      <c r="O54" s="726"/>
      <c r="P54" s="726"/>
    </row>
    <row r="55" spans="2:17">
      <c r="E55"/>
      <c r="F55"/>
      <c r="N55" s="278"/>
      <c r="O55" s="212"/>
      <c r="P55" s="212"/>
    </row>
    <row r="56" spans="2:17">
      <c r="B56" s="212"/>
      <c r="C56" s="212"/>
      <c r="E56"/>
      <c r="F56"/>
      <c r="N56" s="376"/>
      <c r="O56" s="214"/>
      <c r="P56" s="214"/>
    </row>
    <row r="57" spans="2:17">
      <c r="C57" s="56"/>
      <c r="D57" s="243"/>
      <c r="E57"/>
      <c r="F57"/>
      <c r="N57" s="365"/>
      <c r="O57"/>
      <c r="P57"/>
    </row>
    <row r="58" spans="2:17">
      <c r="C58" s="56"/>
      <c r="E58"/>
      <c r="F58"/>
      <c r="N58" s="278"/>
      <c r="O58" s="212"/>
      <c r="P58" s="212"/>
    </row>
    <row r="59" spans="2:17">
      <c r="C59" s="56"/>
      <c r="D59" s="56"/>
      <c r="E59"/>
      <c r="F59"/>
      <c r="N59" s="365"/>
      <c r="O59" s="56"/>
      <c r="P59" s="56"/>
    </row>
    <row r="60" spans="2:17">
      <c r="C60" s="56"/>
      <c r="E60"/>
      <c r="F60"/>
      <c r="N60" s="365"/>
      <c r="O60"/>
      <c r="P60"/>
    </row>
    <row r="61" spans="2:17">
      <c r="C61" s="56"/>
      <c r="E61"/>
      <c r="F61"/>
      <c r="N61" s="278"/>
      <c r="O61" s="212"/>
      <c r="P61" s="212"/>
    </row>
    <row r="62" spans="2:17">
      <c r="C62" s="56"/>
      <c r="E62"/>
      <c r="F62"/>
      <c r="N62" s="365"/>
      <c r="O62" s="38"/>
      <c r="P62" s="56"/>
    </row>
    <row r="63" spans="2:17" ht="14.4">
      <c r="C63" s="56"/>
      <c r="E63"/>
      <c r="F63"/>
      <c r="O63"/>
    </row>
    <row r="64" spans="2:17" ht="14.4">
      <c r="C64" s="56"/>
      <c r="E64"/>
      <c r="F64"/>
    </row>
    <row r="65" spans="2:8" ht="14.4">
      <c r="C65" s="56"/>
      <c r="E65"/>
      <c r="F65"/>
    </row>
    <row r="66" spans="2:8" ht="14.4">
      <c r="C66" s="56"/>
      <c r="E66"/>
      <c r="F66"/>
    </row>
    <row r="67" spans="2:8" ht="14.4">
      <c r="C67" s="56"/>
      <c r="E67"/>
      <c r="F67"/>
    </row>
    <row r="68" spans="2:8">
      <c r="E68" s="365"/>
      <c r="F68" s="365"/>
    </row>
    <row r="69" spans="2:8" ht="14.4">
      <c r="B69" s="212"/>
      <c r="C69" s="294"/>
      <c r="D69" s="212"/>
      <c r="E69" s="212"/>
      <c r="F69" s="212"/>
      <c r="G69" s="212"/>
      <c r="H69" s="212"/>
    </row>
    <row r="70" spans="2:8" ht="14.4">
      <c r="C70" s="56"/>
      <c r="D70" s="56"/>
      <c r="E70" s="56"/>
      <c r="F70" s="56"/>
      <c r="G70" s="56"/>
      <c r="H70" s="56"/>
    </row>
    <row r="71" spans="2:8" ht="14.4">
      <c r="C71" s="56"/>
      <c r="D71" s="56"/>
      <c r="E71" s="56"/>
      <c r="F71" s="56"/>
      <c r="G71" s="56"/>
      <c r="H71" s="56"/>
    </row>
    <row r="72" spans="2:8" ht="14.4">
      <c r="C72" s="56"/>
      <c r="D72" s="56"/>
      <c r="E72" s="56"/>
      <c r="F72" s="56"/>
      <c r="G72" s="56"/>
      <c r="H72" s="56"/>
    </row>
    <row r="73" spans="2:8" ht="14.4">
      <c r="C73" s="56"/>
      <c r="D73" s="56"/>
      <c r="E73" s="56"/>
      <c r="F73" s="56"/>
      <c r="G73" s="56"/>
      <c r="H73" s="56"/>
    </row>
    <row r="74" spans="2:8" ht="14.4">
      <c r="C74" s="56"/>
      <c r="D74" s="56"/>
      <c r="E74" s="56"/>
      <c r="F74" s="56"/>
      <c r="G74" s="56"/>
      <c r="H74" s="56"/>
    </row>
    <row r="75" spans="2:8" ht="14.4">
      <c r="C75" s="56"/>
      <c r="E75" s="56"/>
      <c r="F75" s="56"/>
    </row>
    <row r="77" spans="2:8" ht="14.4">
      <c r="E77" s="212"/>
      <c r="F77" s="212"/>
      <c r="G77" s="212"/>
      <c r="H77" s="212"/>
    </row>
    <row r="78" spans="2:8" ht="14.4">
      <c r="E78" s="56"/>
      <c r="F78" s="56"/>
      <c r="G78" s="56"/>
      <c r="H78" s="56"/>
    </row>
    <row r="79" spans="2:8" ht="14.4">
      <c r="E79" s="56"/>
      <c r="F79" s="56"/>
      <c r="G79" s="56"/>
      <c r="H79" s="56"/>
    </row>
    <row r="80" spans="2:8" ht="14.4">
      <c r="E80" s="56"/>
      <c r="F80" s="56"/>
      <c r="G80" s="56"/>
      <c r="H80" s="56"/>
    </row>
    <row r="81" spans="5:8" ht="14.4">
      <c r="E81" s="56"/>
      <c r="F81" s="56"/>
      <c r="G81" s="56"/>
      <c r="H81" s="56"/>
    </row>
    <row r="82" spans="5:8" ht="14.4">
      <c r="E82" s="56"/>
      <c r="F82" s="56"/>
      <c r="G82" s="56"/>
      <c r="H82" s="56"/>
    </row>
    <row r="83" spans="5:8" ht="14.4">
      <c r="E83" s="56"/>
      <c r="F83" s="56"/>
    </row>
    <row r="85" spans="5:8" ht="14.4">
      <c r="E85" s="212"/>
      <c r="F85" s="212"/>
      <c r="G85" s="212"/>
      <c r="H85" s="212"/>
    </row>
    <row r="86" spans="5:8" ht="14.4">
      <c r="E86" s="56"/>
      <c r="F86" s="56"/>
      <c r="G86" s="56"/>
      <c r="H86" s="56"/>
    </row>
    <row r="87" spans="5:8" ht="14.4">
      <c r="E87" s="56"/>
      <c r="F87" s="56"/>
      <c r="G87" s="56"/>
      <c r="H87" s="56"/>
    </row>
    <row r="88" spans="5:8" ht="14.4">
      <c r="E88" s="56"/>
      <c r="F88" s="56"/>
      <c r="G88" s="56"/>
      <c r="H88" s="56"/>
    </row>
    <row r="89" spans="5:8" ht="14.4">
      <c r="E89" s="56"/>
      <c r="F89" s="56"/>
      <c r="G89" s="56"/>
      <c r="H89" s="56"/>
    </row>
    <row r="90" spans="5:8" ht="14.4">
      <c r="E90" s="56"/>
      <c r="F90" s="56"/>
      <c r="G90" s="56"/>
      <c r="H90" s="56"/>
    </row>
    <row r="91" spans="5:8" ht="14.4">
      <c r="E91" s="56"/>
      <c r="F91" s="56"/>
    </row>
    <row r="92" spans="5:8">
      <c r="E92" s="365"/>
      <c r="F92" s="365"/>
    </row>
  </sheetData>
  <mergeCells count="30">
    <mergeCell ref="I45:M45"/>
    <mergeCell ref="N51:N53"/>
    <mergeCell ref="D54:K54"/>
    <mergeCell ref="M54:P54"/>
    <mergeCell ref="B31:B36"/>
    <mergeCell ref="C31:C36"/>
    <mergeCell ref="B39:D39"/>
    <mergeCell ref="B41:G41"/>
    <mergeCell ref="K41:O41"/>
    <mergeCell ref="B42:C42"/>
    <mergeCell ref="D42:E42"/>
    <mergeCell ref="B21:B23"/>
    <mergeCell ref="C21:C23"/>
    <mergeCell ref="B24:C25"/>
    <mergeCell ref="B29:E29"/>
    <mergeCell ref="B30:C30"/>
    <mergeCell ref="D30:E30"/>
    <mergeCell ref="B20:C20"/>
    <mergeCell ref="D20:E20"/>
    <mergeCell ref="B1:O1"/>
    <mergeCell ref="G3:H3"/>
    <mergeCell ref="I3:J3"/>
    <mergeCell ref="K3:L3"/>
    <mergeCell ref="M3:N3"/>
    <mergeCell ref="B4:E4"/>
    <mergeCell ref="B5:C5"/>
    <mergeCell ref="D5:E5"/>
    <mergeCell ref="B6:B17"/>
    <mergeCell ref="C6:C17"/>
    <mergeCell ref="B19:E19"/>
  </mergeCells>
  <pageMargins left="0.7" right="0.7" top="0.75" bottom="0.75" header="0.3" footer="0.3"/>
  <pageSetup orientation="portrait" r:id="rId1"/>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9199D-8C9B-B249-AD03-BFFB9AEF11DD}">
  <dimension ref="A1:U92"/>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MAY-JUN 2020</v>
      </c>
      <c r="B1" s="730" t="str">
        <f ca="1">MID(CELL("filename",B1),FIND("]",CELL("filename",B1))+1,255)</f>
        <v>JUN-JUL 2020</v>
      </c>
      <c r="C1" s="731"/>
      <c r="D1" s="731"/>
      <c r="E1" s="731"/>
      <c r="F1" s="731"/>
      <c r="G1" s="731"/>
      <c r="H1" s="731"/>
      <c r="I1" s="731"/>
      <c r="J1" s="731"/>
      <c r="K1" s="731"/>
      <c r="L1" s="731"/>
      <c r="M1" s="731"/>
      <c r="N1" s="731"/>
      <c r="O1" s="731"/>
      <c r="P1" s="298"/>
      <c r="Q1" s="281"/>
      <c r="R1" s="272"/>
      <c r="S1" s="272"/>
      <c r="T1" s="272"/>
    </row>
    <row r="2" spans="1:21">
      <c r="B2" s="118"/>
      <c r="C2" s="118"/>
      <c r="D2">
        <f>1810.29-650</f>
        <v>1160.29</v>
      </c>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43973</v>
      </c>
      <c r="H3" s="732"/>
      <c r="I3" s="732">
        <f>G3+7</f>
        <v>43980</v>
      </c>
      <c r="J3" s="732"/>
      <c r="K3" s="732">
        <f>I3+7</f>
        <v>43987</v>
      </c>
      <c r="L3" s="732"/>
      <c r="M3" s="732">
        <f>K3+7</f>
        <v>43994</v>
      </c>
      <c r="N3" s="732"/>
      <c r="O3" s="325" t="str">
        <f>1124.76 &amp; " / " &amp; ROUND(1124.76-O4,2)</f>
        <v>1124.76 / 1124.76</v>
      </c>
      <c r="P3" s="325" t="s">
        <v>994</v>
      </c>
      <c r="Q3" s="282"/>
    </row>
    <row r="4" spans="1:21" ht="15" customHeight="1">
      <c r="B4" s="727" t="s">
        <v>804</v>
      </c>
      <c r="C4" s="727"/>
      <c r="D4" s="727"/>
      <c r="E4" s="727"/>
      <c r="F4" s="318"/>
      <c r="H4" s="243">
        <f>SUM(H5:H37)</f>
        <v>404.14000000000004</v>
      </c>
      <c r="J4" s="243">
        <f>SUM(J5:J37)</f>
        <v>0.62000000000000455</v>
      </c>
      <c r="L4" s="243">
        <f>SUM(L5:L37)</f>
        <v>365.38</v>
      </c>
      <c r="N4" s="243">
        <f>SUM(N5:N37)</f>
        <v>354.62</v>
      </c>
      <c r="O4" s="308">
        <f>IF(H38&lt;&gt;"PAID",H4,0)+IF(J38&lt;&gt;"PAID",J4,0)+IF(L38&lt;&gt;"PAID",L4,0)+IF(N38&lt;&gt;"PAID",N4,0)</f>
        <v>0</v>
      </c>
      <c r="P4" s="309" t="s">
        <v>973</v>
      </c>
      <c r="Q4" s="282"/>
    </row>
    <row r="5" spans="1:21" ht="15" customHeight="1">
      <c r="B5" s="733" t="str">
        <f>IF(D5&gt;E$39*0.5,ROUND(D5-E$39*0.5,2) &amp; " Over",ROUND(E$39*0.5-D5,2) &amp; " Under")</f>
        <v>1202.24 Under</v>
      </c>
      <c r="C5" s="733"/>
      <c r="D5" s="761">
        <f>SUM(F6:F17)</f>
        <v>2143.67</v>
      </c>
      <c r="E5" s="761"/>
      <c r="F5" s="321"/>
      <c r="G5" s="284"/>
      <c r="H5" s="306"/>
      <c r="I5" s="79"/>
      <c r="J5" s="306"/>
      <c r="K5" s="79"/>
      <c r="L5" s="306"/>
      <c r="M5" s="79"/>
      <c r="N5" s="305"/>
      <c r="O5" s="285">
        <f>SUMIF(O6:O17,"&gt;0")</f>
        <v>457.58</v>
      </c>
      <c r="P5" s="285" t="s">
        <v>892</v>
      </c>
      <c r="Q5" s="282">
        <f>SUM(Q6:Q17)</f>
        <v>0.79999999999999716</v>
      </c>
    </row>
    <row r="6" spans="1:21" ht="15" customHeight="1">
      <c r="B6" s="734" t="str">
        <f>"50%: " &amp; E$39*0.5</f>
        <v>50%: 3345.91</v>
      </c>
      <c r="C6" s="734" t="str">
        <f>ROUND((D5/E$39)*100,2) &amp; "%: " &amp;D5</f>
        <v>32.03%: 2143.67</v>
      </c>
      <c r="D6" s="13" t="s">
        <v>805</v>
      </c>
      <c r="E6" s="365">
        <v>0</v>
      </c>
      <c r="F6" s="374">
        <f>150-30+0.04</f>
        <v>120.04</v>
      </c>
      <c r="H6" s="305">
        <f>25</f>
        <v>25</v>
      </c>
      <c r="J6" s="305">
        <v>30.02</v>
      </c>
      <c r="K6">
        <v>25.01</v>
      </c>
      <c r="L6" s="305"/>
      <c r="N6" s="305">
        <f>30.01+10</f>
        <v>40.010000000000005</v>
      </c>
      <c r="O6" s="274">
        <f>SUM(E6:F6)-SUM(G6:N6)</f>
        <v>0</v>
      </c>
      <c r="P6" s="274" t="str">
        <f t="shared" ref="P6:P17" si="0">D6</f>
        <v>Car Petrol / commuting</v>
      </c>
      <c r="Q6" s="282">
        <f t="shared" ref="Q6:Q17" si="1">IF(O6&lt;0,O6*-1,0)</f>
        <v>0</v>
      </c>
    </row>
    <row r="7" spans="1:21" ht="15" customHeight="1">
      <c r="B7" s="734"/>
      <c r="C7" s="734"/>
      <c r="D7" s="13" t="s">
        <v>169</v>
      </c>
      <c r="E7" s="365">
        <v>0</v>
      </c>
      <c r="F7" s="365">
        <f>410+6.78+30+9.89-0.04</f>
        <v>456.62999999999994</v>
      </c>
      <c r="G7">
        <f>1.89</f>
        <v>1.89</v>
      </c>
      <c r="H7" s="305">
        <f>72.55+3.9+0.85+13.85+26.22+2.5+2</f>
        <v>121.86999999999999</v>
      </c>
      <c r="I7">
        <f>4.95+2+2+2.33</f>
        <v>11.28</v>
      </c>
      <c r="J7" s="305">
        <f>15.1+46.79+35.45+10.5</f>
        <v>107.84</v>
      </c>
      <c r="K7">
        <f>2.49</f>
        <v>2.4900000000000002</v>
      </c>
      <c r="L7" s="305">
        <f>51.62+38.57</f>
        <v>90.19</v>
      </c>
      <c r="M7">
        <f>4.95+3.58</f>
        <v>8.5300000000000011</v>
      </c>
      <c r="N7" s="305">
        <f>26.74+63.23+10.5+(19.49-7.42)</f>
        <v>112.53999999999999</v>
      </c>
      <c r="O7" s="274">
        <f t="shared" ref="O7:O17" si="2">SUM(E7:F7)-SUM(G7:N7)</f>
        <v>0</v>
      </c>
      <c r="P7" s="274" t="str">
        <f t="shared" si="0"/>
        <v>Food</v>
      </c>
      <c r="Q7" s="282">
        <f t="shared" si="1"/>
        <v>0</v>
      </c>
    </row>
    <row r="8" spans="1:21" ht="15" customHeight="1">
      <c r="B8" s="734"/>
      <c r="C8" s="734"/>
      <c r="D8" s="13" t="s">
        <v>919</v>
      </c>
      <c r="E8" s="365">
        <v>0</v>
      </c>
      <c r="F8" s="365">
        <f>40+50+50-6.78</f>
        <v>133.22</v>
      </c>
      <c r="H8" s="305">
        <f>100+3.99+29.23</f>
        <v>133.22</v>
      </c>
      <c r="J8" s="305"/>
      <c r="L8" s="305"/>
      <c r="N8" s="305"/>
      <c r="O8" s="274">
        <f t="shared" si="2"/>
        <v>0</v>
      </c>
      <c r="P8" s="274" t="str">
        <f t="shared" si="0"/>
        <v>Bun</v>
      </c>
      <c r="Q8" s="282">
        <f t="shared" si="1"/>
        <v>0</v>
      </c>
    </row>
    <row r="9" spans="1:21" ht="15" customHeight="1" outlineLevel="1">
      <c r="B9" s="734"/>
      <c r="C9" s="734"/>
      <c r="D9" s="201" t="s">
        <v>595</v>
      </c>
      <c r="E9" s="365">
        <v>300</v>
      </c>
      <c r="F9" s="365">
        <f>452.64+150</f>
        <v>602.64</v>
      </c>
      <c r="H9" s="305"/>
      <c r="J9" s="305"/>
      <c r="L9" s="305"/>
      <c r="M9">
        <f>452.64</f>
        <v>452.64</v>
      </c>
      <c r="N9" s="305"/>
      <c r="O9" s="274">
        <f t="shared" si="2"/>
        <v>450</v>
      </c>
      <c r="P9" s="274" t="str">
        <f t="shared" si="0"/>
        <v>Mortgage</v>
      </c>
      <c r="Q9" s="282">
        <f t="shared" si="1"/>
        <v>0</v>
      </c>
    </row>
    <row r="10" spans="1:21" ht="15" customHeight="1" outlineLevel="1">
      <c r="B10" s="734"/>
      <c r="C10" s="734"/>
      <c r="D10" s="201" t="s">
        <v>596</v>
      </c>
      <c r="E10" s="365">
        <v>0</v>
      </c>
      <c r="F10" s="365">
        <v>129</v>
      </c>
      <c r="H10" s="305"/>
      <c r="J10" s="305"/>
      <c r="L10" s="305"/>
      <c r="M10">
        <v>129</v>
      </c>
      <c r="N10" s="305"/>
      <c r="O10" s="274">
        <f t="shared" si="2"/>
        <v>0</v>
      </c>
      <c r="P10" s="274" t="str">
        <f t="shared" si="0"/>
        <v>Council tax</v>
      </c>
      <c r="Q10" s="282">
        <f t="shared" si="1"/>
        <v>0</v>
      </c>
    </row>
    <row r="11" spans="1:21" ht="15" customHeight="1" outlineLevel="1">
      <c r="B11" s="734"/>
      <c r="C11" s="734"/>
      <c r="D11" s="201" t="s">
        <v>785</v>
      </c>
      <c r="E11" s="365">
        <v>0</v>
      </c>
      <c r="F11" s="365">
        <f>16+(56.83)+1+15</f>
        <v>88.83</v>
      </c>
      <c r="G11">
        <v>1</v>
      </c>
      <c r="H11" s="305"/>
      <c r="J11" s="305"/>
      <c r="L11" s="305"/>
      <c r="M11">
        <f>16+56.83</f>
        <v>72.83</v>
      </c>
      <c r="N11" s="305">
        <v>7.42</v>
      </c>
      <c r="O11" s="274">
        <f t="shared" si="2"/>
        <v>7.5799999999999983</v>
      </c>
      <c r="P11" s="274" t="str">
        <f t="shared" si="0"/>
        <v>Utilities (G,W,E,TV)</v>
      </c>
      <c r="Q11" s="282">
        <f t="shared" si="1"/>
        <v>0</v>
      </c>
    </row>
    <row r="12" spans="1:21" ht="15" customHeight="1" outlineLevel="1">
      <c r="B12" s="734"/>
      <c r="C12" s="734"/>
      <c r="D12" s="201" t="s">
        <v>894</v>
      </c>
      <c r="E12" s="365">
        <v>0</v>
      </c>
      <c r="F12" s="365">
        <f>4.52+15.97+8.56+20.78+8</f>
        <v>57.830000000000005</v>
      </c>
      <c r="G12">
        <v>29.05</v>
      </c>
      <c r="H12" s="305"/>
      <c r="J12" s="305"/>
      <c r="L12" s="305"/>
      <c r="M12">
        <f>8+20.78</f>
        <v>28.78</v>
      </c>
      <c r="N12" s="305"/>
      <c r="O12" s="274">
        <f t="shared" si="2"/>
        <v>0</v>
      </c>
      <c r="P12" s="274" t="str">
        <f t="shared" si="0"/>
        <v>Insurances</v>
      </c>
      <c r="Q12" s="282">
        <f t="shared" si="1"/>
        <v>0</v>
      </c>
    </row>
    <row r="13" spans="1:21" ht="15" customHeight="1" outlineLevel="1">
      <c r="B13" s="734"/>
      <c r="C13" s="734"/>
      <c r="D13" s="201" t="s">
        <v>602</v>
      </c>
      <c r="E13" s="365">
        <v>0</v>
      </c>
      <c r="F13" s="365">
        <v>39.99</v>
      </c>
      <c r="H13" s="305"/>
      <c r="J13" s="305"/>
      <c r="L13" s="305"/>
      <c r="M13">
        <f>40.79</f>
        <v>40.79</v>
      </c>
      <c r="N13" s="305"/>
      <c r="O13" s="274">
        <f t="shared" si="2"/>
        <v>-0.79999999999999716</v>
      </c>
      <c r="P13" s="274" t="str">
        <f t="shared" si="0"/>
        <v>Broadband / TV</v>
      </c>
      <c r="Q13" s="282">
        <f t="shared" si="1"/>
        <v>0.79999999999999716</v>
      </c>
    </row>
    <row r="14" spans="1:21" ht="15" customHeight="1" outlineLevel="1">
      <c r="B14" s="734"/>
      <c r="C14" s="734"/>
      <c r="D14" s="201" t="s">
        <v>582</v>
      </c>
      <c r="E14" s="365">
        <v>0</v>
      </c>
      <c r="F14" s="365">
        <v>7.99</v>
      </c>
      <c r="H14" s="305"/>
      <c r="I14">
        <v>7.99</v>
      </c>
      <c r="J14" s="305"/>
      <c r="L14" s="305"/>
      <c r="N14" s="305"/>
      <c r="O14" s="274">
        <f t="shared" si="2"/>
        <v>0</v>
      </c>
      <c r="P14" s="274" t="str">
        <f t="shared" si="0"/>
        <v>Onedrive (6th)</v>
      </c>
      <c r="Q14" s="282">
        <f t="shared" si="1"/>
        <v>0</v>
      </c>
    </row>
    <row r="15" spans="1:21" ht="15" customHeight="1" outlineLevel="1">
      <c r="B15" s="734"/>
      <c r="C15" s="734"/>
      <c r="D15" s="201" t="s">
        <v>788</v>
      </c>
      <c r="E15" s="365">
        <v>0</v>
      </c>
      <c r="F15" s="365">
        <v>10.44</v>
      </c>
      <c r="H15" s="305"/>
      <c r="I15">
        <v>10.44</v>
      </c>
      <c r="J15" s="305"/>
      <c r="L15" s="305"/>
      <c r="N15" s="305"/>
      <c r="O15" s="274">
        <f t="shared" si="2"/>
        <v>0</v>
      </c>
      <c r="P15" s="274" t="str">
        <f t="shared" si="0"/>
        <v>Matt Phone</v>
      </c>
      <c r="Q15" s="282">
        <f t="shared" si="1"/>
        <v>0</v>
      </c>
    </row>
    <row r="16" spans="1:21" ht="15" customHeight="1" outlineLevel="1">
      <c r="B16" s="734"/>
      <c r="C16" s="734"/>
      <c r="D16" s="201" t="s">
        <v>985</v>
      </c>
      <c r="E16" s="365">
        <v>0</v>
      </c>
      <c r="F16" s="365">
        <f>28.43+65.87+93.72</f>
        <v>188.02</v>
      </c>
      <c r="H16" s="305"/>
      <c r="I16">
        <f>65.87+93.72+28.43</f>
        <v>188.02</v>
      </c>
      <c r="J16" s="305"/>
      <c r="L16" s="305"/>
      <c r="N16" s="305"/>
      <c r="O16" s="274">
        <f t="shared" si="2"/>
        <v>0</v>
      </c>
      <c r="P16" s="274" t="str">
        <f t="shared" si="0"/>
        <v>Car Tax / Insurance</v>
      </c>
      <c r="Q16" s="282">
        <f t="shared" si="1"/>
        <v>0</v>
      </c>
    </row>
    <row r="17" spans="2:20" ht="15" customHeight="1" outlineLevel="1">
      <c r="B17" s="734"/>
      <c r="C17" s="734"/>
      <c r="D17" s="293" t="s">
        <v>920</v>
      </c>
      <c r="E17" s="365">
        <v>0</v>
      </c>
      <c r="F17" s="277">
        <f>179.07+129.97</f>
        <v>309.03999999999996</v>
      </c>
      <c r="G17">
        <v>129.97</v>
      </c>
      <c r="H17" s="305"/>
      <c r="J17" s="305"/>
      <c r="L17" s="305"/>
      <c r="M17">
        <f>179.07</f>
        <v>179.07</v>
      </c>
      <c r="N17" s="305"/>
      <c r="O17" s="274">
        <f t="shared" si="2"/>
        <v>0</v>
      </c>
      <c r="P17" s="274" t="str">
        <f t="shared" si="0"/>
        <v>Finance</v>
      </c>
      <c r="Q17" s="282">
        <f t="shared" si="1"/>
        <v>0</v>
      </c>
    </row>
    <row r="18" spans="2:20" ht="15" customHeight="1">
      <c r="B18" s="118"/>
      <c r="C18" s="118"/>
      <c r="D18" s="188"/>
      <c r="E18" s="365"/>
      <c r="F18" s="365"/>
      <c r="H18" s="305"/>
      <c r="J18" s="305"/>
      <c r="L18" s="305"/>
      <c r="N18" s="305"/>
      <c r="O18" s="273"/>
      <c r="P18" s="273"/>
      <c r="Q18" s="282"/>
    </row>
    <row r="19" spans="2:20" ht="15" customHeight="1">
      <c r="B19" s="736" t="s">
        <v>808</v>
      </c>
      <c r="C19" s="736"/>
      <c r="D19" s="736"/>
      <c r="E19" s="736"/>
      <c r="F19" s="320"/>
      <c r="H19" s="305"/>
      <c r="J19" s="305"/>
      <c r="L19" s="305"/>
      <c r="N19" s="305"/>
      <c r="O19" s="274"/>
      <c r="P19" s="274"/>
      <c r="Q19" s="282"/>
    </row>
    <row r="20" spans="2:20" ht="15" customHeight="1">
      <c r="B20" s="727" t="str">
        <f>IF(ISNUMBER((SEARCH("Over",C$5))),"Operating under budget","Operating over budget")</f>
        <v>Operating over budget</v>
      </c>
      <c r="C20" s="727"/>
      <c r="D20" s="759">
        <f>SUM(F21:F26)</f>
        <v>1237.8200000000002</v>
      </c>
      <c r="E20" s="759"/>
      <c r="F20" s="319"/>
      <c r="H20" s="305"/>
      <c r="J20" s="305"/>
      <c r="L20" s="305"/>
      <c r="N20" s="305"/>
      <c r="O20" s="285">
        <f>SUMIF(O21:O27,"&gt;0")</f>
        <v>1255.55</v>
      </c>
      <c r="P20" s="285" t="s">
        <v>895</v>
      </c>
      <c r="Q20" s="282">
        <f>SUM(Q22:Q26)</f>
        <v>0</v>
      </c>
    </row>
    <row r="21" spans="2:20" ht="15" customHeight="1" outlineLevel="1">
      <c r="B21" s="734" t="str">
        <f>"20% : " &amp; E$39*0.2</f>
        <v>20% : 1338.364</v>
      </c>
      <c r="C21" s="734" t="str">
        <f>"20% : " &amp; E$39*0.2</f>
        <v>20% : 1338.364</v>
      </c>
      <c r="D21" s="300" t="s">
        <v>896</v>
      </c>
      <c r="E21" s="365">
        <v>0</v>
      </c>
      <c r="F21" s="365">
        <f>10.27-9.47</f>
        <v>0.79999999999999893</v>
      </c>
      <c r="H21" s="305"/>
      <c r="J21" s="305"/>
      <c r="L21" s="315"/>
      <c r="N21" s="305"/>
      <c r="O21" s="274">
        <f>SUM(E21:F21)-SUM(G21:N21)-Q39</f>
        <v>-80.000000000000341</v>
      </c>
      <c r="P21" s="274" t="str">
        <f t="shared" ref="P21:P27" si="3">D21</f>
        <v>Contingency 20%</v>
      </c>
      <c r="Q21" s="282">
        <f>SUM(Q22:Q28)</f>
        <v>0</v>
      </c>
    </row>
    <row r="22" spans="2:20" ht="15" customHeight="1" outlineLevel="1">
      <c r="B22" s="734"/>
      <c r="C22" s="734"/>
      <c r="D22" s="300" t="s">
        <v>897</v>
      </c>
      <c r="E22" s="365">
        <v>1021.51</v>
      </c>
      <c r="F22" s="365">
        <v>162.02000000000001</v>
      </c>
      <c r="H22" s="305"/>
      <c r="J22" s="305">
        <f>(-222.21+25)</f>
        <v>-197.21</v>
      </c>
      <c r="K22">
        <v>478.98</v>
      </c>
      <c r="L22" s="305">
        <f>175.18+(-59.99)</f>
        <v>115.19</v>
      </c>
      <c r="M22">
        <f>162.02</f>
        <v>162.02000000000001</v>
      </c>
      <c r="N22" s="305">
        <f>15+84.98+42.67</f>
        <v>142.65</v>
      </c>
      <c r="O22" s="274">
        <f t="shared" ref="O22:O27" si="4">SUM(E22:F22)-SUM(G22:N22)</f>
        <v>481.9</v>
      </c>
      <c r="P22" s="274" t="str">
        <f t="shared" si="3"/>
        <v>Holiday Fund 60%</v>
      </c>
      <c r="Q22" s="282">
        <f t="shared" ref="Q22:Q27" si="5">IF(O22&lt;0,O22*-1,0)</f>
        <v>0</v>
      </c>
      <c r="S22" s="11"/>
      <c r="T22" s="11"/>
    </row>
    <row r="23" spans="2:20" ht="15" customHeight="1" outlineLevel="1">
      <c r="B23" s="734"/>
      <c r="C23" s="734"/>
      <c r="D23" s="300" t="s">
        <v>811</v>
      </c>
      <c r="E23" s="365">
        <v>503.62</v>
      </c>
      <c r="F23" s="365">
        <v>175</v>
      </c>
      <c r="H23" s="305">
        <f>(-7)</f>
        <v>-7</v>
      </c>
      <c r="J23" s="305">
        <f>59.97</f>
        <v>59.97</v>
      </c>
      <c r="L23" s="305"/>
      <c r="N23" s="305">
        <f>52</f>
        <v>52</v>
      </c>
      <c r="O23" s="274">
        <f t="shared" si="4"/>
        <v>573.65</v>
      </c>
      <c r="P23" s="274" t="str">
        <f t="shared" si="3"/>
        <v>Gift Fund 20%</v>
      </c>
      <c r="Q23" s="282">
        <f t="shared" si="5"/>
        <v>0</v>
      </c>
    </row>
    <row r="24" spans="2:20" ht="15" customHeight="1" outlineLevel="1">
      <c r="B24" s="734" t="s">
        <v>130</v>
      </c>
      <c r="C24" s="734"/>
      <c r="D24" s="300" t="s">
        <v>812</v>
      </c>
      <c r="E24" s="365">
        <v>0</v>
      </c>
      <c r="F24" s="365">
        <v>850</v>
      </c>
      <c r="G24">
        <f>250+300+250-50+100</f>
        <v>850</v>
      </c>
      <c r="H24" s="305"/>
      <c r="J24" s="305"/>
      <c r="L24" s="305"/>
      <c r="N24" s="305"/>
      <c r="O24" s="274">
        <f t="shared" si="4"/>
        <v>0</v>
      </c>
      <c r="P24" s="274" t="str">
        <f t="shared" si="3"/>
        <v>Wedding</v>
      </c>
      <c r="Q24" s="282">
        <f t="shared" si="5"/>
        <v>0</v>
      </c>
    </row>
    <row r="25" spans="2:20" ht="15" customHeight="1" outlineLevel="1">
      <c r="B25" s="734"/>
      <c r="C25" s="734"/>
      <c r="D25" s="300" t="s">
        <v>174</v>
      </c>
      <c r="E25" s="365">
        <v>0</v>
      </c>
      <c r="F25" s="365">
        <v>0</v>
      </c>
      <c r="G25" s="11"/>
      <c r="H25" s="306"/>
      <c r="J25" s="305"/>
      <c r="L25" s="305"/>
      <c r="N25" s="305"/>
      <c r="O25" s="274">
        <f t="shared" si="4"/>
        <v>0</v>
      </c>
      <c r="P25" s="274" t="str">
        <f t="shared" si="3"/>
        <v>House</v>
      </c>
      <c r="Q25" s="282">
        <f t="shared" si="5"/>
        <v>0</v>
      </c>
    </row>
    <row r="26" spans="2:20" ht="15" customHeight="1" outlineLevel="1">
      <c r="B26" s="7"/>
      <c r="C26" s="7"/>
      <c r="D26" s="300" t="s">
        <v>953</v>
      </c>
      <c r="E26" s="365">
        <v>150</v>
      </c>
      <c r="F26" s="365">
        <v>50</v>
      </c>
      <c r="G26" s="11"/>
      <c r="H26" s="306"/>
      <c r="J26" s="305"/>
      <c r="L26" s="305"/>
      <c r="N26" s="305"/>
      <c r="O26" s="274">
        <f t="shared" si="4"/>
        <v>200</v>
      </c>
      <c r="P26" s="274" t="str">
        <f t="shared" si="3"/>
        <v>Cars (Service / MOT) £45</v>
      </c>
      <c r="Q26" s="282">
        <f t="shared" si="5"/>
        <v>0</v>
      </c>
    </row>
    <row r="27" spans="2:20" ht="15" customHeight="1" outlineLevel="1">
      <c r="B27" s="7"/>
      <c r="C27" s="7"/>
      <c r="D27" s="300" t="s">
        <v>814</v>
      </c>
      <c r="E27" s="365">
        <f>822.31+5.81+0.49+36.75</f>
        <v>865.3599999999999</v>
      </c>
      <c r="F27" s="365">
        <v>36.85</v>
      </c>
      <c r="G27" s="11">
        <v>902.21</v>
      </c>
      <c r="H27" s="306"/>
      <c r="J27" s="305"/>
      <c r="L27" s="305"/>
      <c r="N27" s="305"/>
      <c r="O27" s="274">
        <f t="shared" si="4"/>
        <v>0</v>
      </c>
      <c r="P27" s="274" t="str">
        <f t="shared" si="3"/>
        <v>CC</v>
      </c>
      <c r="Q27" s="282">
        <f t="shared" si="5"/>
        <v>0</v>
      </c>
    </row>
    <row r="28" spans="2:20" ht="15" customHeight="1">
      <c r="B28" s="118"/>
      <c r="C28" s="118"/>
      <c r="E28" s="365"/>
      <c r="F28" s="365"/>
      <c r="H28" s="305"/>
      <c r="J28" s="305"/>
      <c r="L28" s="305"/>
      <c r="N28" s="305"/>
      <c r="O28" s="273"/>
      <c r="P28" s="273"/>
      <c r="Q28" s="282"/>
    </row>
    <row r="29" spans="2:20" ht="15" customHeight="1">
      <c r="B29" s="727"/>
      <c r="C29" s="727"/>
      <c r="D29" s="727"/>
      <c r="E29" s="727"/>
      <c r="F29" s="318"/>
      <c r="H29" s="305"/>
      <c r="J29" s="305"/>
      <c r="L29" s="305"/>
      <c r="N29" s="305"/>
      <c r="O29" s="273"/>
      <c r="P29" s="273"/>
      <c r="Q29" s="282"/>
    </row>
    <row r="30" spans="2:20" ht="15" customHeight="1">
      <c r="B30" s="727" t="str">
        <f>IF(ISNUMBER((SEARCH("Over",B$5))),"Operating under budget","Operating over budget")</f>
        <v>Operating over budget</v>
      </c>
      <c r="C30" s="727"/>
      <c r="D30" s="759">
        <f>(E$39-D5-D20-E38)</f>
        <v>469.83999999999969</v>
      </c>
      <c r="E30" s="727"/>
      <c r="F30" s="319">
        <f>SUM(F31:F36)</f>
        <v>272.98999999999967</v>
      </c>
      <c r="H30" s="305"/>
      <c r="J30" s="305"/>
      <c r="L30" s="305"/>
      <c r="N30" s="305"/>
      <c r="O30" s="285">
        <f>SUMIF(O31:O35,"&gt;0")</f>
        <v>0</v>
      </c>
      <c r="P30" s="285" t="s">
        <v>899</v>
      </c>
      <c r="Q30" s="282">
        <f>SUM(Q31:Q36)</f>
        <v>80.000000000000341</v>
      </c>
    </row>
    <row r="31" spans="2:20" ht="18" outlineLevel="1">
      <c r="B31" s="734"/>
      <c r="C31" s="760"/>
      <c r="D31" s="13" t="s">
        <v>954</v>
      </c>
      <c r="E31" s="365">
        <v>0</v>
      </c>
      <c r="F31" s="365">
        <v>0</v>
      </c>
      <c r="H31" s="305"/>
      <c r="J31" s="305"/>
      <c r="L31" s="305"/>
      <c r="N31" s="305"/>
      <c r="O31" s="274">
        <f t="shared" ref="O31:O37" si="6">SUM(E31:F31)-SUM(G31:N31)</f>
        <v>0</v>
      </c>
      <c r="P31" s="274" t="str">
        <f t="shared" ref="P31:P37" si="7">D31</f>
        <v>Haircut</v>
      </c>
      <c r="Q31" s="282">
        <f t="shared" ref="Q31:Q34" si="8">IF(O31&lt;0,O31*-1,0)</f>
        <v>0</v>
      </c>
    </row>
    <row r="32" spans="2:20" ht="18" outlineLevel="1">
      <c r="B32" s="734"/>
      <c r="C32" s="760"/>
      <c r="D32" s="13" t="s">
        <v>943</v>
      </c>
      <c r="E32" s="365">
        <v>0</v>
      </c>
      <c r="F32" s="365">
        <v>0</v>
      </c>
      <c r="H32" s="305"/>
      <c r="J32" s="305"/>
      <c r="L32" s="305"/>
      <c r="N32" s="305"/>
      <c r="O32" s="274">
        <f t="shared" si="6"/>
        <v>0</v>
      </c>
      <c r="P32" s="274" t="str">
        <f t="shared" si="7"/>
        <v>Car wash</v>
      </c>
      <c r="Q32" s="282">
        <f t="shared" si="8"/>
        <v>0</v>
      </c>
    </row>
    <row r="33" spans="2:17" ht="18" outlineLevel="1">
      <c r="B33" s="734"/>
      <c r="C33" s="760"/>
      <c r="D33" s="13" t="s">
        <v>944</v>
      </c>
      <c r="E33" s="365">
        <v>0</v>
      </c>
      <c r="F33" s="365">
        <v>15</v>
      </c>
      <c r="H33" s="305"/>
      <c r="J33" s="305"/>
      <c r="K33">
        <v>15</v>
      </c>
      <c r="L33" s="305"/>
      <c r="N33" s="305"/>
      <c r="O33" s="274">
        <f t="shared" si="6"/>
        <v>0</v>
      </c>
      <c r="P33" s="274" t="str">
        <f t="shared" si="7"/>
        <v>Windows</v>
      </c>
      <c r="Q33" s="282">
        <f t="shared" si="8"/>
        <v>0</v>
      </c>
    </row>
    <row r="34" spans="2:17" ht="18" outlineLevel="1">
      <c r="B34" s="734"/>
      <c r="C34" s="760"/>
      <c r="D34" s="13" t="s">
        <v>177</v>
      </c>
      <c r="E34" s="365">
        <v>0</v>
      </c>
      <c r="F34" s="365">
        <v>0</v>
      </c>
      <c r="H34" s="305"/>
      <c r="J34" s="305"/>
      <c r="L34" s="305"/>
      <c r="N34" s="305"/>
      <c r="O34" s="274">
        <f t="shared" si="6"/>
        <v>0</v>
      </c>
      <c r="P34" s="274" t="str">
        <f t="shared" si="7"/>
        <v>Gym</v>
      </c>
      <c r="Q34" s="282">
        <f t="shared" si="8"/>
        <v>0</v>
      </c>
    </row>
    <row r="35" spans="2:17" ht="15.75" customHeight="1" outlineLevel="1">
      <c r="B35" s="734"/>
      <c r="C35" s="760"/>
      <c r="D35" s="13" t="s">
        <v>781</v>
      </c>
      <c r="E35" s="365">
        <v>0</v>
      </c>
      <c r="F35" s="365">
        <f>13+2+10.65+17.06+5.99</f>
        <v>48.699999999999996</v>
      </c>
      <c r="G35">
        <v>2</v>
      </c>
      <c r="H35" s="305"/>
      <c r="I35">
        <f>13+17.06+5.99</f>
        <v>36.049999999999997</v>
      </c>
      <c r="J35" s="305"/>
      <c r="K35">
        <v>10.65</v>
      </c>
      <c r="L35" s="305"/>
      <c r="N35" s="305"/>
      <c r="O35" s="274">
        <f t="shared" si="6"/>
        <v>0</v>
      </c>
      <c r="P35" s="274" t="str">
        <f t="shared" si="7"/>
        <v>Subscriptions</v>
      </c>
      <c r="Q35" s="282">
        <f>IF(O35&lt;0,O35*-1,0)</f>
        <v>0</v>
      </c>
    </row>
    <row r="36" spans="2:17" ht="18" outlineLevel="1">
      <c r="B36" s="734"/>
      <c r="C36" s="760"/>
      <c r="D36" s="13" t="s">
        <v>922</v>
      </c>
      <c r="E36" s="365">
        <v>0</v>
      </c>
      <c r="F36" s="365">
        <f>(D30-SUM(F31:F35))-F27-F37</f>
        <v>209.28999999999968</v>
      </c>
      <c r="G36">
        <v>50</v>
      </c>
      <c r="H36" s="305">
        <f>21+75.98+55.05+(-20.98)</f>
        <v>131.05000000000001</v>
      </c>
      <c r="I36">
        <f>4.6+10.47+24.19+10.99+10</f>
        <v>60.250000000000007</v>
      </c>
      <c r="J36" s="305"/>
      <c r="L36" s="305"/>
      <c r="M36">
        <f>42+5.99</f>
        <v>47.99</v>
      </c>
      <c r="N36" s="305"/>
      <c r="O36" s="274">
        <f>SUM(E36:F36)-SUM(G36:N36)</f>
        <v>-80.000000000000341</v>
      </c>
      <c r="P36" s="274" t="str">
        <f t="shared" si="7"/>
        <v>Matt Fun</v>
      </c>
      <c r="Q36" s="282">
        <f>IF(F36-SUM(G36:N36)&lt;=0,(F36-SUM(G36:N36))*-1,0)</f>
        <v>80.000000000000341</v>
      </c>
    </row>
    <row r="37" spans="2:17" ht="18" outlineLevel="1">
      <c r="B37" s="7"/>
      <c r="C37" s="284"/>
      <c r="D37" s="13" t="s">
        <v>152</v>
      </c>
      <c r="E37" s="365">
        <v>0</v>
      </c>
      <c r="F37" s="365">
        <v>160</v>
      </c>
      <c r="H37" s="305"/>
      <c r="J37" s="305"/>
      <c r="L37" s="305">
        <v>160</v>
      </c>
      <c r="N37" s="305"/>
      <c r="O37" s="274">
        <f t="shared" si="6"/>
        <v>0</v>
      </c>
      <c r="P37" s="274" t="str">
        <f t="shared" si="7"/>
        <v>Kris</v>
      </c>
      <c r="Q37" s="271"/>
    </row>
    <row r="38" spans="2:17">
      <c r="B38" s="118"/>
      <c r="C38" s="118"/>
      <c r="E38" s="365">
        <f>SUM(E31:E37)+SUM(E21:E27)+SUM(E6:E17)</f>
        <v>2840.49</v>
      </c>
      <c r="F38" s="365"/>
      <c r="H38" s="7" t="s">
        <v>986</v>
      </c>
      <c r="J38" s="7" t="s">
        <v>986</v>
      </c>
      <c r="L38" s="7" t="s">
        <v>986</v>
      </c>
      <c r="N38" s="7" t="s">
        <v>986</v>
      </c>
      <c r="O38" s="273"/>
      <c r="P38" s="273"/>
      <c r="Q38" s="282"/>
    </row>
    <row r="39" spans="2:17" ht="18">
      <c r="B39" s="728" t="s">
        <v>817</v>
      </c>
      <c r="C39" s="728"/>
      <c r="D39" s="728"/>
      <c r="E39" s="375">
        <f>G39+I39+K39+M39+N39+E38</f>
        <v>6691.82</v>
      </c>
      <c r="F39" s="379"/>
      <c r="G39" s="271">
        <f>(2472.31)+1047</f>
        <v>3519.31</v>
      </c>
      <c r="H39" s="271"/>
      <c r="I39" s="271">
        <f>20</f>
        <v>20</v>
      </c>
      <c r="J39" s="271"/>
      <c r="K39" s="271">
        <v>150</v>
      </c>
      <c r="L39" s="271"/>
      <c r="M39" s="271">
        <v>162.02000000000001</v>
      </c>
      <c r="N39" s="271"/>
      <c r="O39" s="314" t="str">
        <f>"£" &amp; ROUND(O5+O30+O20+O36+O37+O4,2) &amp; " / " &amp; "£" &amp; E39</f>
        <v>£1633.13 / £6691.82</v>
      </c>
      <c r="P39" s="274"/>
      <c r="Q39" s="282">
        <f>SUM(Q30,Q20,Q5)</f>
        <v>80.800000000000338</v>
      </c>
    </row>
    <row r="40" spans="2:17">
      <c r="B40" s="118"/>
      <c r="C40" s="7"/>
      <c r="E40" s="365"/>
      <c r="F40" s="365"/>
      <c r="G40" s="365"/>
      <c r="H40" s="365"/>
    </row>
    <row r="41" spans="2:17" ht="14.4">
      <c r="B41" s="729"/>
      <c r="C41" s="729"/>
      <c r="D41" s="729"/>
      <c r="E41" s="729"/>
      <c r="F41" s="729"/>
      <c r="G41" s="729"/>
      <c r="H41" s="297"/>
      <c r="K41" s="729"/>
      <c r="L41" s="729"/>
      <c r="M41" s="729"/>
      <c r="N41" s="729"/>
      <c r="O41" s="729"/>
      <c r="P41" s="297"/>
    </row>
    <row r="42" spans="2:17" ht="15" customHeight="1">
      <c r="B42" s="726" t="s">
        <v>955</v>
      </c>
      <c r="C42" s="726"/>
      <c r="D42" s="726"/>
      <c r="E42" s="726"/>
      <c r="F42" s="79"/>
      <c r="K42" s="212"/>
      <c r="L42" s="212"/>
      <c r="M42" s="278"/>
      <c r="N42" s="212"/>
      <c r="O42" s="118" t="s">
        <v>991</v>
      </c>
      <c r="P42" s="316">
        <v>44030</v>
      </c>
      <c r="Q42" s="7"/>
    </row>
    <row r="43" spans="2:17">
      <c r="B43" s="365"/>
      <c r="C43" s="38"/>
      <c r="E43" s="11"/>
      <c r="F43" s="11">
        <f>SUM(F6:F17)</f>
        <v>2143.67</v>
      </c>
      <c r="K43" s="214"/>
      <c r="L43" s="214"/>
      <c r="M43" s="376"/>
      <c r="N43" s="214"/>
      <c r="O43" s="322" t="s">
        <v>992</v>
      </c>
      <c r="P43" s="42">
        <v>44030</v>
      </c>
      <c r="Q43" s="212"/>
    </row>
    <row r="44" spans="2:17">
      <c r="E44"/>
      <c r="F44"/>
      <c r="M44" s="365"/>
      <c r="O44" t="s">
        <v>993</v>
      </c>
      <c r="P44">
        <v>0</v>
      </c>
    </row>
    <row r="45" spans="2:17" ht="16.2" customHeight="1">
      <c r="E45" s="214"/>
      <c r="F45" s="214"/>
      <c r="I45" s="760"/>
      <c r="J45" s="760"/>
      <c r="K45" s="760"/>
      <c r="L45" s="760"/>
      <c r="M45" s="760"/>
      <c r="N45" s="212"/>
      <c r="O45" s="212"/>
      <c r="P45" s="212"/>
    </row>
    <row r="46" spans="2:17">
      <c r="B46" s="378"/>
      <c r="E46"/>
      <c r="F46"/>
      <c r="I46" s="11"/>
      <c r="J46" s="11"/>
      <c r="K46" s="56"/>
      <c r="L46" s="56"/>
      <c r="M46" s="365"/>
      <c r="N46" s="56"/>
      <c r="O46" s="56"/>
      <c r="P46" s="56"/>
    </row>
    <row r="47" spans="2:17">
      <c r="E47"/>
      <c r="F47"/>
      <c r="I47" s="11"/>
      <c r="J47" s="11"/>
      <c r="M47" s="365"/>
      <c r="N47" s="56"/>
      <c r="O47"/>
      <c r="P47"/>
    </row>
    <row r="48" spans="2:17">
      <c r="E48"/>
      <c r="F48"/>
      <c r="I48" s="11"/>
      <c r="J48" s="11"/>
      <c r="M48" s="365"/>
      <c r="N48" s="56"/>
      <c r="O48" s="212"/>
      <c r="P48" s="212"/>
      <c r="Q48" s="212"/>
    </row>
    <row r="49" spans="2:17">
      <c r="E49"/>
      <c r="F49"/>
      <c r="I49" s="11"/>
      <c r="J49" s="11"/>
      <c r="M49" s="365"/>
      <c r="N49" s="56"/>
      <c r="O49" s="56"/>
      <c r="P49" s="56"/>
      <c r="Q49" s="38"/>
    </row>
    <row r="50" spans="2:17" ht="14.4">
      <c r="E50"/>
      <c r="F50"/>
      <c r="I50" s="11"/>
      <c r="J50" s="11"/>
      <c r="N50" s="56"/>
    </row>
    <row r="51" spans="2:17">
      <c r="E51" s="365"/>
      <c r="F51" s="365"/>
      <c r="I51" s="11"/>
      <c r="J51" s="11"/>
      <c r="M51" s="365"/>
      <c r="N51" s="764"/>
    </row>
    <row r="52" spans="2:17">
      <c r="E52" s="365"/>
      <c r="F52" s="365"/>
      <c r="I52" s="11"/>
      <c r="J52" s="11"/>
      <c r="N52" s="765"/>
      <c r="O52" s="275"/>
      <c r="P52" s="275"/>
    </row>
    <row r="53" spans="2:17">
      <c r="B53" s="11"/>
      <c r="E53" s="365"/>
      <c r="F53" s="365"/>
      <c r="I53" s="11"/>
      <c r="J53" s="11"/>
      <c r="N53" s="765"/>
    </row>
    <row r="54" spans="2:17" ht="14.4">
      <c r="B54" s="11"/>
      <c r="D54" s="726"/>
      <c r="E54" s="726"/>
      <c r="F54" s="726"/>
      <c r="G54" s="726"/>
      <c r="H54" s="726"/>
      <c r="I54" s="726"/>
      <c r="J54" s="726"/>
      <c r="K54" s="726"/>
      <c r="L54" s="79"/>
      <c r="M54" s="726"/>
      <c r="N54" s="726"/>
      <c r="O54" s="726"/>
      <c r="P54" s="726"/>
    </row>
    <row r="55" spans="2:17">
      <c r="E55"/>
      <c r="F55"/>
      <c r="N55" s="278"/>
      <c r="O55" s="212"/>
      <c r="P55" s="212"/>
    </row>
    <row r="56" spans="2:17">
      <c r="B56" s="212"/>
      <c r="C56" s="212"/>
      <c r="E56"/>
      <c r="F56"/>
      <c r="N56" s="376"/>
      <c r="O56" s="214"/>
      <c r="P56" s="214"/>
    </row>
    <row r="57" spans="2:17">
      <c r="C57" s="56"/>
      <c r="D57" s="243"/>
      <c r="E57"/>
      <c r="F57"/>
      <c r="N57" s="365"/>
      <c r="O57"/>
      <c r="P57"/>
    </row>
    <row r="58" spans="2:17">
      <c r="C58" s="56"/>
      <c r="E58"/>
      <c r="F58"/>
      <c r="N58" s="278"/>
      <c r="O58" s="212"/>
      <c r="P58" s="212"/>
    </row>
    <row r="59" spans="2:17">
      <c r="C59" s="56"/>
      <c r="D59" s="56"/>
      <c r="E59"/>
      <c r="F59"/>
      <c r="N59" s="365"/>
      <c r="O59" s="56"/>
      <c r="P59" s="56"/>
    </row>
    <row r="60" spans="2:17">
      <c r="C60" s="56"/>
      <c r="E60"/>
      <c r="F60"/>
      <c r="N60" s="365"/>
      <c r="O60"/>
      <c r="P60"/>
    </row>
    <row r="61" spans="2:17">
      <c r="C61" s="56"/>
      <c r="E61"/>
      <c r="F61"/>
      <c r="N61" s="278"/>
      <c r="O61" s="212"/>
      <c r="P61" s="212"/>
    </row>
    <row r="62" spans="2:17">
      <c r="C62" s="56"/>
      <c r="E62"/>
      <c r="F62"/>
      <c r="N62" s="365"/>
      <c r="O62" s="38"/>
      <c r="P62" s="56"/>
    </row>
    <row r="63" spans="2:17" ht="14.4">
      <c r="C63" s="56"/>
      <c r="E63"/>
      <c r="F63"/>
      <c r="O63"/>
    </row>
    <row r="64" spans="2:17" ht="14.4">
      <c r="C64" s="56"/>
      <c r="E64"/>
      <c r="F64"/>
    </row>
    <row r="65" spans="2:8" ht="14.4">
      <c r="C65" s="56"/>
      <c r="E65"/>
      <c r="F65"/>
    </row>
    <row r="66" spans="2:8" ht="14.4">
      <c r="C66" s="56"/>
      <c r="E66"/>
      <c r="F66"/>
    </row>
    <row r="67" spans="2:8" ht="14.4">
      <c r="C67" s="56"/>
      <c r="E67"/>
      <c r="F67"/>
    </row>
    <row r="68" spans="2:8">
      <c r="E68" s="365"/>
      <c r="F68" s="365"/>
    </row>
    <row r="69" spans="2:8" ht="14.4">
      <c r="B69" s="212"/>
      <c r="C69" s="294"/>
      <c r="D69" s="212"/>
      <c r="E69" s="212"/>
      <c r="F69" s="212"/>
      <c r="G69" s="212"/>
      <c r="H69" s="212"/>
    </row>
    <row r="70" spans="2:8" ht="14.4">
      <c r="C70" s="56"/>
      <c r="D70" s="56"/>
      <c r="E70" s="56"/>
      <c r="F70" s="56"/>
      <c r="G70" s="56"/>
      <c r="H70" s="56"/>
    </row>
    <row r="71" spans="2:8" ht="14.4">
      <c r="C71" s="56"/>
      <c r="D71" s="56"/>
      <c r="E71" s="56"/>
      <c r="F71" s="56"/>
      <c r="G71" s="56"/>
      <c r="H71" s="56"/>
    </row>
    <row r="72" spans="2:8" ht="14.4">
      <c r="C72" s="56"/>
      <c r="D72" s="56"/>
      <c r="E72" s="56"/>
      <c r="F72" s="56"/>
      <c r="G72" s="56"/>
      <c r="H72" s="56"/>
    </row>
    <row r="73" spans="2:8" ht="14.4">
      <c r="C73" s="56"/>
      <c r="D73" s="56"/>
      <c r="E73" s="56"/>
      <c r="F73" s="56"/>
      <c r="G73" s="56"/>
      <c r="H73" s="56"/>
    </row>
    <row r="74" spans="2:8" ht="14.4">
      <c r="C74" s="56"/>
      <c r="D74" s="56"/>
      <c r="E74" s="56"/>
      <c r="F74" s="56"/>
      <c r="G74" s="56"/>
      <c r="H74" s="56"/>
    </row>
    <row r="75" spans="2:8" ht="14.4">
      <c r="C75" s="56"/>
      <c r="E75" s="56"/>
      <c r="F75" s="56"/>
    </row>
    <row r="77" spans="2:8" ht="14.4">
      <c r="E77" s="212"/>
      <c r="F77" s="212"/>
      <c r="G77" s="212"/>
      <c r="H77" s="212"/>
    </row>
    <row r="78" spans="2:8" ht="14.4">
      <c r="E78" s="56"/>
      <c r="F78" s="56"/>
      <c r="G78" s="56"/>
      <c r="H78" s="56"/>
    </row>
    <row r="79" spans="2:8" ht="14.4">
      <c r="E79" s="56"/>
      <c r="F79" s="56"/>
      <c r="G79" s="56"/>
      <c r="H79" s="56"/>
    </row>
    <row r="80" spans="2:8" ht="14.4">
      <c r="E80" s="56"/>
      <c r="F80" s="56"/>
      <c r="G80" s="56"/>
      <c r="H80" s="56"/>
    </row>
    <row r="81" spans="5:8" ht="14.4">
      <c r="E81" s="56"/>
      <c r="F81" s="56"/>
      <c r="G81" s="56"/>
      <c r="H81" s="56"/>
    </row>
    <row r="82" spans="5:8" ht="14.4">
      <c r="E82" s="56"/>
      <c r="F82" s="56"/>
      <c r="G82" s="56"/>
      <c r="H82" s="56"/>
    </row>
    <row r="83" spans="5:8" ht="14.4">
      <c r="E83" s="56"/>
      <c r="F83" s="56"/>
    </row>
    <row r="85" spans="5:8" ht="14.4">
      <c r="E85" s="212"/>
      <c r="F85" s="212"/>
      <c r="G85" s="212"/>
      <c r="H85" s="212"/>
    </row>
    <row r="86" spans="5:8" ht="14.4">
      <c r="E86" s="56"/>
      <c r="F86" s="56"/>
      <c r="G86" s="56"/>
      <c r="H86" s="56"/>
    </row>
    <row r="87" spans="5:8" ht="14.4">
      <c r="E87" s="56"/>
      <c r="F87" s="56"/>
      <c r="G87" s="56"/>
      <c r="H87" s="56"/>
    </row>
    <row r="88" spans="5:8" ht="14.4">
      <c r="E88" s="56"/>
      <c r="F88" s="56"/>
      <c r="G88" s="56"/>
      <c r="H88" s="56"/>
    </row>
    <row r="89" spans="5:8" ht="14.4">
      <c r="E89" s="56"/>
      <c r="F89" s="56"/>
      <c r="G89" s="56"/>
      <c r="H89" s="56"/>
    </row>
    <row r="90" spans="5:8" ht="14.4">
      <c r="E90" s="56"/>
      <c r="F90" s="56"/>
      <c r="G90" s="56"/>
      <c r="H90" s="56"/>
    </row>
    <row r="91" spans="5:8" ht="14.4">
      <c r="E91" s="56"/>
      <c r="F91" s="56"/>
    </row>
    <row r="92" spans="5:8">
      <c r="E92" s="365"/>
      <c r="F92" s="365"/>
    </row>
  </sheetData>
  <mergeCells count="30">
    <mergeCell ref="B20:C20"/>
    <mergeCell ref="D20:E20"/>
    <mergeCell ref="B1:O1"/>
    <mergeCell ref="G3:H3"/>
    <mergeCell ref="I3:J3"/>
    <mergeCell ref="K3:L3"/>
    <mergeCell ref="M3:N3"/>
    <mergeCell ref="B4:E4"/>
    <mergeCell ref="B5:C5"/>
    <mergeCell ref="D5:E5"/>
    <mergeCell ref="B6:B17"/>
    <mergeCell ref="C6:C17"/>
    <mergeCell ref="B19:E19"/>
    <mergeCell ref="B21:B23"/>
    <mergeCell ref="C21:C23"/>
    <mergeCell ref="B24:C25"/>
    <mergeCell ref="B29:E29"/>
    <mergeCell ref="B30:C30"/>
    <mergeCell ref="D30:E30"/>
    <mergeCell ref="I45:M45"/>
    <mergeCell ref="N51:N53"/>
    <mergeCell ref="D54:K54"/>
    <mergeCell ref="M54:P54"/>
    <mergeCell ref="B31:B36"/>
    <mergeCell ref="C31:C36"/>
    <mergeCell ref="B39:D39"/>
    <mergeCell ref="B41:G41"/>
    <mergeCell ref="K41:O41"/>
    <mergeCell ref="B42:C42"/>
    <mergeCell ref="D42:E42"/>
  </mergeCells>
  <pageMargins left="0.7" right="0.7" top="0.75" bottom="0.75" header="0.3" footer="0.3"/>
  <pageSetup orientation="portrait" r:id="rId1"/>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4809-1EB7-4DC1-80A2-6DA89AA60DCE}">
  <dimension ref="A1:V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7" width="22.44140625" style="7" customWidth="1"/>
    <col min="18" max="18" width="24.44140625" customWidth="1"/>
    <col min="22" max="22" width="16.109375" customWidth="1"/>
  </cols>
  <sheetData>
    <row r="1" spans="1:22" ht="25.5" customHeight="1">
      <c r="A1" t="str">
        <f ca="1">UPPER(TEXT((1&amp;LEFT(B$1,3))-1,"MMM"))&amp;"-"&amp;UPPER(TEXT((1&amp;RIGHT(LEFT(B$1,7),3))-1,"MMM"))&amp;" "&amp;RIGHT(B$1,4)</f>
        <v>JUN-JUL 2020</v>
      </c>
      <c r="B1" s="730" t="str">
        <f ca="1">MID(CELL("filename",B1),FIND("]",CELL("filename",B1))+1,255)</f>
        <v>JUL-AUG 2020</v>
      </c>
      <c r="C1" s="731"/>
      <c r="D1" s="731"/>
      <c r="E1" s="731"/>
      <c r="F1" s="731"/>
      <c r="G1" s="731"/>
      <c r="H1" s="731"/>
      <c r="I1" s="731"/>
      <c r="J1" s="731"/>
      <c r="K1" s="731"/>
      <c r="L1" s="731"/>
      <c r="M1" s="731"/>
      <c r="N1" s="731"/>
      <c r="O1" s="731"/>
      <c r="P1" s="298"/>
      <c r="Q1" s="298"/>
      <c r="R1" s="281"/>
      <c r="S1" s="272"/>
      <c r="T1" s="272"/>
      <c r="U1" s="272"/>
    </row>
    <row r="2" spans="1:22">
      <c r="B2" s="118"/>
      <c r="C2" s="118"/>
      <c r="D2">
        <f>1810.29-650</f>
        <v>1160.29</v>
      </c>
      <c r="E2" s="365"/>
      <c r="F2" s="365"/>
      <c r="G2" s="79" t="s">
        <v>798</v>
      </c>
      <c r="H2" s="307" t="s">
        <v>814</v>
      </c>
      <c r="I2" s="79" t="s">
        <v>799</v>
      </c>
      <c r="J2" s="307" t="s">
        <v>814</v>
      </c>
      <c r="K2" s="79" t="s">
        <v>800</v>
      </c>
      <c r="L2" s="307" t="s">
        <v>814</v>
      </c>
      <c r="M2" s="79" t="s">
        <v>801</v>
      </c>
      <c r="N2" s="307" t="s">
        <v>814</v>
      </c>
      <c r="O2" s="273" t="s">
        <v>10</v>
      </c>
      <c r="P2" s="273"/>
      <c r="Q2" s="273"/>
      <c r="R2" s="283" t="s">
        <v>803</v>
      </c>
    </row>
    <row r="3" spans="1:22">
      <c r="B3" s="118"/>
      <c r="C3" s="118"/>
      <c r="E3" s="365"/>
      <c r="F3" s="365"/>
      <c r="G3" s="732">
        <v>44036</v>
      </c>
      <c r="H3" s="732"/>
      <c r="I3" s="732">
        <f>G3+7</f>
        <v>44043</v>
      </c>
      <c r="J3" s="732"/>
      <c r="K3" s="732">
        <f>I3+7</f>
        <v>44050</v>
      </c>
      <c r="L3" s="732"/>
      <c r="M3" s="732">
        <f>K3+7</f>
        <v>44057</v>
      </c>
      <c r="N3" s="732"/>
      <c r="O3" s="325" t="str">
        <f>0 &amp; " / " &amp; ROUND(0-O4,2)</f>
        <v>0 / -543.23</v>
      </c>
      <c r="P3" s="325"/>
      <c r="Q3" s="325" t="s">
        <v>994</v>
      </c>
      <c r="R3" s="282"/>
    </row>
    <row r="4" spans="1:22" ht="15" customHeight="1">
      <c r="B4" s="727" t="str">
        <f>_xlfn.CONCAT("Expenses - 50 - ",G42*0.5," / Actual = ",D5," (",ROUND((D5/G42)*100,2),")")</f>
        <v>Expenses - 50 - 3861.76 / Actual = 1798.2 (23.28)</v>
      </c>
      <c r="C4" s="727"/>
      <c r="D4" s="727"/>
      <c r="E4" s="727"/>
      <c r="F4" s="318"/>
      <c r="H4" s="243">
        <f>SUM(H5:H40)</f>
        <v>234.6</v>
      </c>
      <c r="J4" s="243">
        <f>SUM(J5:J40)</f>
        <v>288.15999999999997</v>
      </c>
      <c r="L4" s="243">
        <f>SUM(L5:L40)</f>
        <v>-18.760000000000005</v>
      </c>
      <c r="N4" s="243">
        <f>SUM(N5:N40)</f>
        <v>39.230000000000004</v>
      </c>
      <c r="O4" s="308">
        <f>IF(H41&lt;&gt;"PAID",H4,0)+IF(J41&lt;&gt;"PAID",J4,0)+IF(L41&lt;&gt;"PAID",L4,0)+IF(N41&lt;&gt;"PAID",N4,0)</f>
        <v>543.23</v>
      </c>
      <c r="P4" s="308"/>
      <c r="Q4" s="309" t="s">
        <v>973</v>
      </c>
      <c r="R4" s="282"/>
      <c r="S4">
        <f>551.75-538</f>
        <v>13.75</v>
      </c>
    </row>
    <row r="5" spans="1:22" ht="15" customHeight="1">
      <c r="B5" s="733" t="str">
        <f>IF(D5&gt;E$42*0.5,ROUND(D5-E$42*0.5,2) &amp; " Over",ROUND(E$42*0.5-D5,2) &amp; " Under")</f>
        <v>3030.18 Under</v>
      </c>
      <c r="C5" s="733"/>
      <c r="D5" s="761">
        <f>SUM(F6:F20)</f>
        <v>1798.1999999999998</v>
      </c>
      <c r="E5" s="761"/>
      <c r="F5" s="321"/>
      <c r="G5" s="284"/>
      <c r="H5" s="306"/>
      <c r="I5" s="79"/>
      <c r="J5" s="306"/>
      <c r="K5" s="79"/>
      <c r="L5" s="306"/>
      <c r="M5" s="79"/>
      <c r="N5" s="305"/>
      <c r="O5" s="285">
        <f>SUMIF(O6:O20,"&gt;0")</f>
        <v>58.009999999999991</v>
      </c>
      <c r="P5" s="330" t="s">
        <v>995</v>
      </c>
      <c r="Q5" s="285" t="s">
        <v>892</v>
      </c>
      <c r="R5" s="282">
        <f>SUM(R6:R20)</f>
        <v>21.339999999999996</v>
      </c>
    </row>
    <row r="6" spans="1:22" ht="15" customHeight="1">
      <c r="B6" s="734" t="str">
        <f>"50%: " &amp; E$42*0.5</f>
        <v>50%: 4828.375</v>
      </c>
      <c r="C6" s="734" t="str">
        <f>ROUND((D5/E$42)*100,2) &amp; "%: " &amp;D5</f>
        <v>18.62%: 1798.2</v>
      </c>
      <c r="D6" s="13" t="s">
        <v>805</v>
      </c>
      <c r="E6" s="365">
        <v>0</v>
      </c>
      <c r="F6" s="374">
        <f>50</f>
        <v>50</v>
      </c>
      <c r="H6" s="305">
        <f>30</f>
        <v>30</v>
      </c>
      <c r="J6" s="305"/>
      <c r="L6" s="305">
        <f>20</f>
        <v>20</v>
      </c>
      <c r="N6" s="305"/>
      <c r="O6" s="274">
        <f>SUM(E6:F6)-SUM(G6:N6)</f>
        <v>0</v>
      </c>
      <c r="P6" s="274">
        <f>SUM(E6:F6)-O6</f>
        <v>50</v>
      </c>
      <c r="Q6" s="274" t="str">
        <f t="shared" ref="Q6:Q20" si="0">D6</f>
        <v>Car Petrol / commuting</v>
      </c>
      <c r="R6" s="282">
        <f t="shared" ref="R6:R20" si="1">IF(O6&lt;0,O6*-1,0)</f>
        <v>0</v>
      </c>
    </row>
    <row r="7" spans="1:22" ht="15" customHeight="1">
      <c r="B7" s="734"/>
      <c r="C7" s="734"/>
      <c r="D7" s="13" t="s">
        <v>169</v>
      </c>
      <c r="E7" s="365">
        <v>0</v>
      </c>
      <c r="F7" s="365">
        <f>400+3.06+12.25+13.96</f>
        <v>429.27</v>
      </c>
      <c r="G7">
        <f>10+1.8</f>
        <v>11.8</v>
      </c>
      <c r="H7" s="305">
        <f>47.39+40.96+13.75</f>
        <v>102.1</v>
      </c>
      <c r="I7">
        <f>9.32</f>
        <v>9.32</v>
      </c>
      <c r="J7" s="305">
        <f>14+18.05+45.63+25.2</f>
        <v>102.88000000000001</v>
      </c>
      <c r="K7">
        <f>1+16.7</f>
        <v>17.7</v>
      </c>
      <c r="L7" s="305">
        <f>1.98+37.27+20.01</f>
        <v>59.260000000000005</v>
      </c>
      <c r="M7">
        <f>1.58+3.45+8.44+2.84+3.78+3.88+5</f>
        <v>28.97</v>
      </c>
      <c r="N7" s="305">
        <f>12.8+26.43</f>
        <v>39.230000000000004</v>
      </c>
      <c r="O7" s="274">
        <f t="shared" ref="O7:O20" si="2">SUM(E7:F7)-SUM(G7:N7)</f>
        <v>58.009999999999991</v>
      </c>
      <c r="P7" s="274">
        <f t="shared" ref="P7:P20" si="3">SUM(E7:F7)-O7</f>
        <v>371.26</v>
      </c>
      <c r="Q7" s="274" t="str">
        <f t="shared" si="0"/>
        <v>Food</v>
      </c>
      <c r="R7" s="282">
        <f t="shared" si="1"/>
        <v>0</v>
      </c>
    </row>
    <row r="8" spans="1:22" ht="15" customHeight="1">
      <c r="B8" s="734"/>
      <c r="C8" s="734"/>
      <c r="D8" s="13" t="s">
        <v>919</v>
      </c>
      <c r="E8" s="365">
        <v>0</v>
      </c>
      <c r="F8" s="365">
        <f>40-3.06-13.96</f>
        <v>22.979999999999997</v>
      </c>
      <c r="H8" s="305"/>
      <c r="J8" s="305">
        <f>(53.3-38.3)</f>
        <v>15</v>
      </c>
      <c r="L8" s="305">
        <f>7.98</f>
        <v>7.98</v>
      </c>
      <c r="N8" s="305"/>
      <c r="O8" s="274">
        <f t="shared" si="2"/>
        <v>0</v>
      </c>
      <c r="P8" s="274">
        <f t="shared" si="3"/>
        <v>22.979999999999997</v>
      </c>
      <c r="Q8" s="274" t="str">
        <f t="shared" si="0"/>
        <v>Bun</v>
      </c>
      <c r="R8" s="282">
        <f t="shared" si="1"/>
        <v>0</v>
      </c>
    </row>
    <row r="9" spans="1:22" ht="15" customHeight="1" outlineLevel="1">
      <c r="B9" s="734"/>
      <c r="C9" s="734"/>
      <c r="D9" s="201" t="s">
        <v>595</v>
      </c>
      <c r="E9" s="365">
        <v>0</v>
      </c>
      <c r="F9" s="365">
        <f>452.64</f>
        <v>452.64</v>
      </c>
      <c r="H9" s="305"/>
      <c r="J9" s="305"/>
      <c r="L9" s="305"/>
      <c r="M9">
        <v>452.64</v>
      </c>
      <c r="N9" s="305"/>
      <c r="O9" s="274">
        <f t="shared" si="2"/>
        <v>0</v>
      </c>
      <c r="P9" s="274">
        <f t="shared" si="3"/>
        <v>452.64</v>
      </c>
      <c r="Q9" s="274" t="str">
        <f t="shared" si="0"/>
        <v>Mortgage</v>
      </c>
      <c r="R9" s="282">
        <f t="shared" si="1"/>
        <v>0</v>
      </c>
    </row>
    <row r="10" spans="1:22" ht="15" customHeight="1" outlineLevel="1">
      <c r="B10" s="734"/>
      <c r="C10" s="734"/>
      <c r="D10" s="201" t="s">
        <v>596</v>
      </c>
      <c r="E10" s="365">
        <v>0</v>
      </c>
      <c r="F10" s="365">
        <v>129</v>
      </c>
      <c r="H10" s="305"/>
      <c r="J10" s="305"/>
      <c r="L10" s="305"/>
      <c r="M10">
        <v>129</v>
      </c>
      <c r="N10" s="305"/>
      <c r="O10" s="274">
        <f t="shared" si="2"/>
        <v>0</v>
      </c>
      <c r="P10" s="274">
        <f t="shared" si="3"/>
        <v>129</v>
      </c>
      <c r="Q10" s="274" t="str">
        <f t="shared" si="0"/>
        <v>Council tax</v>
      </c>
      <c r="R10" s="282">
        <f t="shared" si="1"/>
        <v>0</v>
      </c>
    </row>
    <row r="11" spans="1:22" ht="15" customHeight="1" outlineLevel="1">
      <c r="B11" s="734"/>
      <c r="C11" s="734"/>
      <c r="D11" s="201" t="s">
        <v>785</v>
      </c>
      <c r="E11" s="365">
        <v>0</v>
      </c>
      <c r="F11" s="365">
        <f>16+55</f>
        <v>71</v>
      </c>
      <c r="H11" s="305"/>
      <c r="I11">
        <v>1</v>
      </c>
      <c r="J11" s="305"/>
      <c r="L11" s="305"/>
      <c r="M11">
        <f>16+55</f>
        <v>71</v>
      </c>
      <c r="N11" s="305"/>
      <c r="O11" s="274">
        <f t="shared" si="2"/>
        <v>-1</v>
      </c>
      <c r="P11" s="274">
        <f t="shared" si="3"/>
        <v>72</v>
      </c>
      <c r="Q11" s="274" t="str">
        <f t="shared" si="0"/>
        <v>Utilities (G,W,E,TV)</v>
      </c>
      <c r="R11" s="282">
        <f t="shared" si="1"/>
        <v>1</v>
      </c>
    </row>
    <row r="12" spans="1:22" ht="15" customHeight="1" outlineLevel="1">
      <c r="B12" s="734"/>
      <c r="C12" s="734"/>
      <c r="D12" s="201" t="s">
        <v>996</v>
      </c>
      <c r="E12" s="365">
        <v>0</v>
      </c>
      <c r="F12" s="365">
        <f>20.78</f>
        <v>20.78</v>
      </c>
      <c r="H12" s="305"/>
      <c r="J12" s="305"/>
      <c r="L12" s="305"/>
      <c r="M12">
        <f>20.78</f>
        <v>20.78</v>
      </c>
      <c r="N12" s="305"/>
      <c r="O12" s="274">
        <f t="shared" si="2"/>
        <v>0</v>
      </c>
      <c r="P12" s="274">
        <f t="shared" si="3"/>
        <v>20.78</v>
      </c>
      <c r="Q12" s="274" t="str">
        <f t="shared" si="0"/>
        <v>Home Insurance</v>
      </c>
      <c r="R12" s="282"/>
    </row>
    <row r="13" spans="1:22" ht="15" customHeight="1" outlineLevel="1">
      <c r="B13" s="734"/>
      <c r="C13" s="734"/>
      <c r="D13" s="201" t="s">
        <v>359</v>
      </c>
      <c r="E13" s="365">
        <v>7.58</v>
      </c>
      <c r="F13" s="365">
        <f>15</f>
        <v>15</v>
      </c>
      <c r="H13" s="305"/>
      <c r="J13" s="305"/>
      <c r="L13" s="305"/>
      <c r="M13">
        <f>40.62</f>
        <v>40.619999999999997</v>
      </c>
      <c r="N13" s="305"/>
      <c r="O13" s="274">
        <f t="shared" si="2"/>
        <v>-18.04</v>
      </c>
      <c r="P13" s="274">
        <f t="shared" si="3"/>
        <v>40.619999999999997</v>
      </c>
      <c r="Q13" s="274" t="str">
        <f t="shared" si="0"/>
        <v>TV License</v>
      </c>
      <c r="R13" s="282">
        <f t="shared" si="1"/>
        <v>18.04</v>
      </c>
    </row>
    <row r="14" spans="1:22" ht="15" customHeight="1" outlineLevel="1">
      <c r="B14" s="734"/>
      <c r="C14" s="734"/>
      <c r="D14" s="201" t="s">
        <v>997</v>
      </c>
      <c r="E14" s="365">
        <v>0</v>
      </c>
      <c r="F14" s="365">
        <f>4.52+15.97+8.56+8</f>
        <v>37.050000000000004</v>
      </c>
      <c r="H14" s="305"/>
      <c r="I14">
        <v>29.05</v>
      </c>
      <c r="J14" s="305"/>
      <c r="L14" s="305"/>
      <c r="M14">
        <v>8</v>
      </c>
      <c r="N14" s="305"/>
      <c r="O14" s="274">
        <f t="shared" si="2"/>
        <v>0</v>
      </c>
      <c r="P14" s="274">
        <f t="shared" si="3"/>
        <v>37.050000000000004</v>
      </c>
      <c r="Q14" s="274" t="str">
        <f t="shared" si="0"/>
        <v>Other insurances</v>
      </c>
      <c r="R14" s="282"/>
    </row>
    <row r="15" spans="1:22" ht="15" customHeight="1" outlineLevel="1">
      <c r="B15" s="734"/>
      <c r="C15" s="734"/>
      <c r="D15" s="201" t="s">
        <v>602</v>
      </c>
      <c r="E15" s="365">
        <v>0</v>
      </c>
      <c r="F15" s="365">
        <v>39.99</v>
      </c>
      <c r="H15" s="305"/>
      <c r="J15" s="305"/>
      <c r="L15" s="305"/>
      <c r="M15">
        <v>42.29</v>
      </c>
      <c r="N15" s="305"/>
      <c r="O15" s="274">
        <f t="shared" si="2"/>
        <v>-2.2999999999999972</v>
      </c>
      <c r="P15" s="274">
        <f t="shared" si="3"/>
        <v>42.29</v>
      </c>
      <c r="Q15" s="274" t="str">
        <f t="shared" si="0"/>
        <v>Broadband / TV</v>
      </c>
      <c r="R15" s="282">
        <f t="shared" si="1"/>
        <v>2.2999999999999972</v>
      </c>
    </row>
    <row r="16" spans="1:22" ht="15" customHeight="1" outlineLevel="1">
      <c r="B16" s="734"/>
      <c r="C16" s="734"/>
      <c r="D16" s="201" t="s">
        <v>582</v>
      </c>
      <c r="E16" s="365">
        <v>0</v>
      </c>
      <c r="F16" s="365">
        <v>7.99</v>
      </c>
      <c r="H16" s="305"/>
      <c r="I16">
        <f>7.99</f>
        <v>7.99</v>
      </c>
      <c r="J16" s="305"/>
      <c r="L16" s="305"/>
      <c r="N16" s="305"/>
      <c r="O16" s="274">
        <f t="shared" si="2"/>
        <v>0</v>
      </c>
      <c r="P16" s="274">
        <f t="shared" si="3"/>
        <v>7.99</v>
      </c>
      <c r="Q16" s="274" t="str">
        <f t="shared" si="0"/>
        <v>Onedrive (6th)</v>
      </c>
      <c r="R16" s="282">
        <f t="shared" si="1"/>
        <v>0</v>
      </c>
    </row>
    <row r="17" spans="2:21" ht="15" customHeight="1" outlineLevel="1">
      <c r="B17" s="734"/>
      <c r="C17" s="734"/>
      <c r="D17" s="201" t="s">
        <v>788</v>
      </c>
      <c r="E17" s="365">
        <v>0</v>
      </c>
      <c r="F17" s="365">
        <v>10.44</v>
      </c>
      <c r="H17" s="305"/>
      <c r="I17">
        <f>10.44</f>
        <v>10.44</v>
      </c>
      <c r="J17" s="305"/>
      <c r="L17" s="305"/>
      <c r="N17" s="305"/>
      <c r="O17" s="274">
        <f t="shared" si="2"/>
        <v>0</v>
      </c>
      <c r="P17" s="274">
        <f t="shared" si="3"/>
        <v>10.44</v>
      </c>
      <c r="Q17" s="274" t="str">
        <f t="shared" si="0"/>
        <v>Matt Phone</v>
      </c>
      <c r="R17" s="282">
        <f t="shared" si="1"/>
        <v>0</v>
      </c>
    </row>
    <row r="18" spans="2:21" ht="15" customHeight="1" outlineLevel="1">
      <c r="B18" s="734"/>
      <c r="C18" s="734"/>
      <c r="D18" s="201" t="s">
        <v>985</v>
      </c>
      <c r="E18" s="365">
        <v>0</v>
      </c>
      <c r="F18" s="365">
        <f>28.43+65.87+93.72</f>
        <v>188.02</v>
      </c>
      <c r="G18">
        <f>65.87+93.72</f>
        <v>159.59</v>
      </c>
      <c r="H18" s="305"/>
      <c r="I18">
        <f>28.43</f>
        <v>28.43</v>
      </c>
      <c r="J18" s="305"/>
      <c r="L18" s="305"/>
      <c r="N18" s="305"/>
      <c r="O18" s="274">
        <f t="shared" si="2"/>
        <v>0</v>
      </c>
      <c r="P18" s="274">
        <f t="shared" si="3"/>
        <v>188.02</v>
      </c>
      <c r="Q18" s="274" t="str">
        <f t="shared" si="0"/>
        <v>Car Tax / Insurance</v>
      </c>
      <c r="R18" s="282">
        <f t="shared" si="1"/>
        <v>0</v>
      </c>
    </row>
    <row r="19" spans="2:21" ht="15" customHeight="1" outlineLevel="1">
      <c r="B19" s="734"/>
      <c r="C19" s="734"/>
      <c r="D19" s="201" t="s">
        <v>944</v>
      </c>
      <c r="E19" s="365">
        <v>0</v>
      </c>
      <c r="F19" s="365">
        <v>15</v>
      </c>
      <c r="H19" s="305"/>
      <c r="J19" s="305"/>
      <c r="K19">
        <v>15</v>
      </c>
      <c r="L19" s="305"/>
      <c r="N19" s="305"/>
      <c r="O19" s="274">
        <f t="shared" si="2"/>
        <v>0</v>
      </c>
      <c r="P19" s="274">
        <f>SUM(E19:F19)-O19</f>
        <v>15</v>
      </c>
      <c r="Q19" s="274" t="str">
        <f t="shared" si="0"/>
        <v>Windows</v>
      </c>
      <c r="R19" s="282">
        <f t="shared" si="1"/>
        <v>0</v>
      </c>
    </row>
    <row r="20" spans="2:21" ht="15" customHeight="1" outlineLevel="1">
      <c r="B20" s="734"/>
      <c r="C20" s="734"/>
      <c r="D20" s="293" t="s">
        <v>920</v>
      </c>
      <c r="E20" s="365">
        <v>0</v>
      </c>
      <c r="F20" s="277">
        <f>179.07+129.97</f>
        <v>309.03999999999996</v>
      </c>
      <c r="H20" s="305"/>
      <c r="I20">
        <f>129.97</f>
        <v>129.97</v>
      </c>
      <c r="J20" s="305"/>
      <c r="L20" s="305"/>
      <c r="M20">
        <v>179.07</v>
      </c>
      <c r="N20" s="305"/>
      <c r="O20" s="274">
        <f t="shared" si="2"/>
        <v>0</v>
      </c>
      <c r="P20" s="274">
        <f t="shared" si="3"/>
        <v>309.03999999999996</v>
      </c>
      <c r="Q20" s="274" t="str">
        <f t="shared" si="0"/>
        <v>Finance</v>
      </c>
      <c r="R20" s="282">
        <f t="shared" si="1"/>
        <v>0</v>
      </c>
    </row>
    <row r="21" spans="2:21" ht="15" customHeight="1">
      <c r="B21" s="118"/>
      <c r="C21" s="118"/>
      <c r="D21" s="188"/>
      <c r="E21" s="365"/>
      <c r="F21" s="365"/>
      <c r="H21" s="305"/>
      <c r="J21" s="305"/>
      <c r="L21" s="305"/>
      <c r="N21" s="305"/>
      <c r="O21" s="273"/>
      <c r="P21" s="273"/>
      <c r="Q21" s="273"/>
      <c r="R21" s="282"/>
    </row>
    <row r="22" spans="2:21" ht="15" customHeight="1">
      <c r="B22" s="736" t="str">
        <f>_xlfn.CONCAT("Savings - 20 - ",G42*0.2," / Actual = ",D23," (",ROUND((D23/G42)*100,2),")")</f>
        <v>Savings - 20 - 1544.704 / Actual = 268.09 (3.47)</v>
      </c>
      <c r="C22" s="736"/>
      <c r="D22" s="736"/>
      <c r="E22" s="736"/>
      <c r="F22" s="320"/>
      <c r="H22" s="305"/>
      <c r="J22" s="305"/>
      <c r="L22" s="305"/>
      <c r="N22" s="305"/>
      <c r="O22" s="274"/>
      <c r="P22" s="274"/>
      <c r="Q22" s="274"/>
      <c r="R22" s="282"/>
    </row>
    <row r="23" spans="2:21" ht="15" customHeight="1">
      <c r="B23" s="727" t="str">
        <f>IF(ISNUMBER((SEARCH("Over",C$5))),"Operating under budget","Operating over budget")</f>
        <v>Operating over budget</v>
      </c>
      <c r="C23" s="727"/>
      <c r="D23" s="759">
        <f>SUM(F24:F28)</f>
        <v>268.09000000000003</v>
      </c>
      <c r="E23" s="759"/>
      <c r="F23" s="319"/>
      <c r="H23" s="305"/>
      <c r="J23" s="305"/>
      <c r="L23" s="305"/>
      <c r="N23" s="305"/>
      <c r="O23" s="285">
        <f>SUMIF(O24:O28,"&gt;0")</f>
        <v>850</v>
      </c>
      <c r="P23" s="285"/>
      <c r="Q23" s="285" t="s">
        <v>895</v>
      </c>
      <c r="R23" s="282">
        <f>SUM(R25:R25)</f>
        <v>0</v>
      </c>
    </row>
    <row r="24" spans="2:21" ht="15" customHeight="1" outlineLevel="1">
      <c r="B24" s="7" t="str">
        <f>"20% : " &amp; E$42*0.2</f>
        <v>20% : 1931.35</v>
      </c>
      <c r="C24" s="7" t="str">
        <f>"20% : " &amp; E$42*0.2</f>
        <v>20% : 1931.35</v>
      </c>
      <c r="D24" s="300" t="s">
        <v>590</v>
      </c>
      <c r="E24" s="365">
        <v>0</v>
      </c>
      <c r="F24" s="365">
        <f>50+20-1.91</f>
        <v>68.09</v>
      </c>
      <c r="H24" s="305"/>
      <c r="I24">
        <f>17</f>
        <v>17</v>
      </c>
      <c r="J24" s="305"/>
      <c r="K24">
        <f>20.85</f>
        <v>20.85</v>
      </c>
      <c r="L24" s="315"/>
      <c r="M24">
        <v>8.9</v>
      </c>
      <c r="N24" s="305"/>
      <c r="O24" s="274">
        <f>SUM(E24:F24)-SUM(G24:N24)-R42</f>
        <v>-58.009999999999422</v>
      </c>
      <c r="P24" s="274">
        <f t="shared" ref="P24:P28" si="4">SUM(E24:F24)-O24</f>
        <v>126.09999999999943</v>
      </c>
      <c r="Q24" s="274" t="str">
        <f t="shared" ref="Q24:Q28" si="5">D24</f>
        <v>Contingency</v>
      </c>
      <c r="R24" s="282">
        <f>SUM(R25:R29)</f>
        <v>0</v>
      </c>
    </row>
    <row r="25" spans="2:21" ht="15" customHeight="1" outlineLevel="1">
      <c r="B25" s="7"/>
      <c r="C25" s="7"/>
      <c r="D25" s="300" t="s">
        <v>998</v>
      </c>
      <c r="E25" s="365">
        <v>200</v>
      </c>
      <c r="F25" s="365">
        <v>50</v>
      </c>
      <c r="G25" s="11"/>
      <c r="H25" s="306"/>
      <c r="J25" s="305"/>
      <c r="L25" s="305"/>
      <c r="N25" s="305"/>
      <c r="O25" s="274">
        <f t="shared" ref="O25:O28" si="6">SUM(E25:F25)-SUM(G25:N25)</f>
        <v>250</v>
      </c>
      <c r="P25" s="274">
        <f t="shared" si="4"/>
        <v>0</v>
      </c>
      <c r="Q25" s="274" t="str">
        <f t="shared" si="5"/>
        <v>Cars (Service / MOT)</v>
      </c>
      <c r="R25" s="282">
        <f t="shared" ref="R25:R28" si="7">IF(O25&lt;0,O25*-1,0)</f>
        <v>0</v>
      </c>
    </row>
    <row r="26" spans="2:21" ht="15" customHeight="1" outlineLevel="1">
      <c r="B26" s="7"/>
      <c r="C26" s="7"/>
      <c r="D26" s="300" t="s">
        <v>999</v>
      </c>
      <c r="E26" s="365">
        <v>450</v>
      </c>
      <c r="F26" s="365">
        <v>150</v>
      </c>
      <c r="G26" s="11"/>
      <c r="H26" s="306"/>
      <c r="J26" s="305"/>
      <c r="L26" s="305"/>
      <c r="N26" s="305"/>
      <c r="O26" s="274">
        <f t="shared" si="6"/>
        <v>600</v>
      </c>
      <c r="P26" s="274">
        <f t="shared" si="4"/>
        <v>0</v>
      </c>
      <c r="Q26" s="274" t="str">
        <f t="shared" si="5"/>
        <v>Mortgage Overpayment</v>
      </c>
      <c r="R26" s="282">
        <f t="shared" si="7"/>
        <v>0</v>
      </c>
    </row>
    <row r="27" spans="2:21" ht="15" customHeight="1" outlineLevel="1">
      <c r="B27" s="7"/>
      <c r="C27" s="7"/>
      <c r="D27" s="300" t="s">
        <v>1000</v>
      </c>
      <c r="E27" s="365">
        <v>0</v>
      </c>
      <c r="F27" s="365">
        <v>0</v>
      </c>
      <c r="G27" s="11"/>
      <c r="H27" s="306"/>
      <c r="J27" s="305"/>
      <c r="L27" s="305"/>
      <c r="N27" s="305"/>
      <c r="O27" s="274">
        <f t="shared" si="6"/>
        <v>0</v>
      </c>
      <c r="P27" s="274">
        <f t="shared" si="4"/>
        <v>0</v>
      </c>
      <c r="Q27" s="274" t="str">
        <f t="shared" si="5"/>
        <v>Finance Overpayment</v>
      </c>
      <c r="R27" s="282">
        <f t="shared" si="7"/>
        <v>0</v>
      </c>
    </row>
    <row r="28" spans="2:21" ht="15" customHeight="1" outlineLevel="1">
      <c r="B28" s="7"/>
      <c r="C28" s="7"/>
      <c r="D28" s="300" t="s">
        <v>1001</v>
      </c>
      <c r="E28" s="365">
        <v>0</v>
      </c>
      <c r="F28" s="365">
        <v>0</v>
      </c>
      <c r="G28" s="11"/>
      <c r="H28" s="306"/>
      <c r="J28" s="305"/>
      <c r="L28" s="305"/>
      <c r="N28" s="305"/>
      <c r="O28" s="274">
        <f t="shared" si="6"/>
        <v>0</v>
      </c>
      <c r="P28" s="274">
        <f t="shared" si="4"/>
        <v>0</v>
      </c>
      <c r="Q28" s="274" t="str">
        <f t="shared" si="5"/>
        <v>CC Overpayment</v>
      </c>
      <c r="R28" s="282">
        <f t="shared" si="7"/>
        <v>0</v>
      </c>
    </row>
    <row r="29" spans="2:21" ht="15" customHeight="1">
      <c r="B29" s="118"/>
      <c r="C29" s="118"/>
      <c r="E29" s="365"/>
      <c r="F29" s="365"/>
      <c r="H29" s="305"/>
      <c r="J29" s="305"/>
      <c r="L29" s="305"/>
      <c r="N29" s="305"/>
      <c r="O29" s="273"/>
      <c r="P29" s="273"/>
      <c r="Q29" s="273"/>
      <c r="R29" s="282"/>
    </row>
    <row r="30" spans="2:21" ht="15" customHeight="1">
      <c r="B30" s="727" t="str">
        <f>_xlfn.CONCAT("Wants - 30 - ",G42*0.3," / Actual = ",D31," (",ROUND((D31/G42)*100,2),")")</f>
        <v>Wants - 30 - 2317.056 / Actual = 5877.33 (76.1)</v>
      </c>
      <c r="C30" s="727"/>
      <c r="D30" s="727"/>
      <c r="E30" s="727"/>
      <c r="F30" s="318"/>
      <c r="H30" s="305"/>
      <c r="J30" s="305"/>
      <c r="L30" s="305"/>
      <c r="N30" s="305"/>
      <c r="O30" s="273"/>
      <c r="P30" s="273"/>
      <c r="Q30" s="273"/>
      <c r="R30" s="282"/>
    </row>
    <row r="31" spans="2:21" ht="15" customHeight="1">
      <c r="B31" s="727" t="str">
        <f>IF(ISNUMBER((SEARCH("Over",B$5))),"Operating under budget","Operating over budget")</f>
        <v>Operating over budget</v>
      </c>
      <c r="C31" s="727"/>
      <c r="D31" s="759">
        <f>(E$42-D5-D23-E41)</f>
        <v>5877.33</v>
      </c>
      <c r="E31" s="727"/>
      <c r="F31" s="319">
        <f>SUM(F32:F39)</f>
        <v>5877.33</v>
      </c>
      <c r="H31" s="305"/>
      <c r="J31" s="305"/>
      <c r="L31" s="305"/>
      <c r="N31" s="305"/>
      <c r="O31" s="285">
        <f>SUMIF(O32:O38,"&gt;0")</f>
        <v>6307.1900000000005</v>
      </c>
      <c r="P31" s="285"/>
      <c r="Q31" s="285" t="s">
        <v>899</v>
      </c>
      <c r="R31" s="282">
        <f>SUM(R32:R39)</f>
        <v>58.009999999999422</v>
      </c>
    </row>
    <row r="32" spans="2:21" ht="15" customHeight="1" outlineLevel="1">
      <c r="B32" s="734"/>
      <c r="C32" s="760"/>
      <c r="D32" s="300" t="s">
        <v>354</v>
      </c>
      <c r="E32" s="365">
        <f>481.9</f>
        <v>481.9</v>
      </c>
      <c r="F32" s="365">
        <f>100+(85)+(42.67)+(478.98)-0.1+20+32+1+58.01+1.91</f>
        <v>819.47</v>
      </c>
      <c r="H32" s="305"/>
      <c r="J32" s="305">
        <f>131.98+(53.3-15)+(28.99-28.99)</f>
        <v>170.27999999999997</v>
      </c>
      <c r="K32">
        <f>3+24+35.95+35.95+4+5.25</f>
        <v>108.15</v>
      </c>
      <c r="L32" s="305">
        <f>-129.99+23.99</f>
        <v>-106.00000000000001</v>
      </c>
      <c r="M32">
        <f>10+20</f>
        <v>30</v>
      </c>
      <c r="N32" s="305"/>
      <c r="O32" s="274">
        <f>SUM(E32:F32)-SUM(G32:N32)</f>
        <v>1098.94</v>
      </c>
      <c r="P32" s="274">
        <f>SUM(E32:F32)-O32</f>
        <v>202.42999999999984</v>
      </c>
      <c r="Q32" s="274" t="str">
        <f t="shared" ref="Q32:Q40" si="8">D32</f>
        <v>Holiday</v>
      </c>
      <c r="R32" s="282">
        <f t="shared" ref="R32:R37" si="9">IF(O32&lt;0,O32*-1,0)</f>
        <v>0</v>
      </c>
      <c r="T32" s="11"/>
      <c r="U32" s="11"/>
    </row>
    <row r="33" spans="2:18" ht="15" customHeight="1" outlineLevel="1">
      <c r="B33" s="734"/>
      <c r="C33" s="760"/>
      <c r="D33" s="300" t="s">
        <v>170</v>
      </c>
      <c r="E33" s="365">
        <v>573.65</v>
      </c>
      <c r="F33" s="365">
        <f>185+83.1-20</f>
        <v>248.10000000000002</v>
      </c>
      <c r="H33" s="305">
        <f>81.5</f>
        <v>81.5</v>
      </c>
      <c r="I33">
        <f>22</f>
        <v>22</v>
      </c>
      <c r="J33" s="305"/>
      <c r="K33">
        <f>40</f>
        <v>40</v>
      </c>
      <c r="L33" s="305"/>
      <c r="O33" s="274">
        <f t="shared" ref="O33:O35" si="10">SUM(E33:F33)-SUM(G33:N33)</f>
        <v>678.25</v>
      </c>
      <c r="P33" s="274">
        <f t="shared" ref="P33:P40" si="11">SUM(E33:F33)-O33</f>
        <v>143.5</v>
      </c>
      <c r="Q33" s="274" t="str">
        <f t="shared" si="8"/>
        <v>Gift Fund</v>
      </c>
      <c r="R33" s="282">
        <f t="shared" si="9"/>
        <v>0</v>
      </c>
    </row>
    <row r="34" spans="2:18" ht="15" customHeight="1" outlineLevel="1">
      <c r="B34" s="734"/>
      <c r="C34" s="760"/>
      <c r="D34" s="300" t="s">
        <v>812</v>
      </c>
      <c r="E34" s="365">
        <v>0</v>
      </c>
      <c r="F34" s="365">
        <f>900+836.21+3.47+10.32-521.65-3.35+3315-10</f>
        <v>4530</v>
      </c>
      <c r="H34" s="305"/>
      <c r="J34" s="305"/>
      <c r="L34" s="305"/>
      <c r="N34" s="305"/>
      <c r="O34" s="274">
        <f t="shared" si="10"/>
        <v>4530</v>
      </c>
      <c r="P34" s="274">
        <f t="shared" si="11"/>
        <v>0</v>
      </c>
      <c r="Q34" s="274" t="str">
        <f t="shared" si="8"/>
        <v>Wedding</v>
      </c>
      <c r="R34" s="282">
        <f t="shared" si="9"/>
        <v>0</v>
      </c>
    </row>
    <row r="35" spans="2:18" ht="15" customHeight="1" outlineLevel="1">
      <c r="B35" s="734"/>
      <c r="C35" s="760"/>
      <c r="D35" s="300" t="s">
        <v>174</v>
      </c>
      <c r="E35" s="365">
        <v>0</v>
      </c>
      <c r="F35" s="365">
        <v>0</v>
      </c>
      <c r="G35" s="11"/>
      <c r="H35" s="306"/>
      <c r="J35" s="305"/>
      <c r="L35" s="305"/>
      <c r="N35" s="305"/>
      <c r="O35" s="274">
        <f t="shared" si="10"/>
        <v>0</v>
      </c>
      <c r="P35" s="274">
        <f t="shared" si="11"/>
        <v>0</v>
      </c>
      <c r="Q35" s="274" t="str">
        <f t="shared" si="8"/>
        <v>House</v>
      </c>
      <c r="R35" s="282">
        <f t="shared" si="9"/>
        <v>0</v>
      </c>
    </row>
    <row r="36" spans="2:18" ht="18" outlineLevel="1">
      <c r="B36" s="734"/>
      <c r="C36" s="760"/>
      <c r="D36" s="13" t="s">
        <v>943</v>
      </c>
      <c r="E36" s="365">
        <v>0</v>
      </c>
      <c r="F36" s="365">
        <v>0</v>
      </c>
      <c r="H36" s="305"/>
      <c r="J36" s="305"/>
      <c r="L36" s="305"/>
      <c r="N36" s="305"/>
      <c r="O36" s="274">
        <f t="shared" ref="O36:O40" si="12">SUM(E36:F36)-SUM(G36:N36)</f>
        <v>0</v>
      </c>
      <c r="P36" s="274">
        <f t="shared" si="11"/>
        <v>0</v>
      </c>
      <c r="Q36" s="274" t="str">
        <f t="shared" si="8"/>
        <v>Car wash</v>
      </c>
      <c r="R36" s="282">
        <f t="shared" si="9"/>
        <v>0</v>
      </c>
    </row>
    <row r="37" spans="2:18" ht="18" outlineLevel="1">
      <c r="B37" s="734"/>
      <c r="C37" s="760"/>
      <c r="D37" s="13" t="s">
        <v>177</v>
      </c>
      <c r="E37" s="365">
        <v>0</v>
      </c>
      <c r="F37" s="365">
        <v>0</v>
      </c>
      <c r="H37" s="305"/>
      <c r="J37" s="305"/>
      <c r="L37" s="305"/>
      <c r="N37" s="305"/>
      <c r="O37" s="274">
        <f t="shared" si="12"/>
        <v>0</v>
      </c>
      <c r="P37" s="274">
        <f t="shared" si="11"/>
        <v>0</v>
      </c>
      <c r="Q37" s="274" t="str">
        <f t="shared" si="8"/>
        <v>Gym</v>
      </c>
      <c r="R37" s="282">
        <f t="shared" si="9"/>
        <v>0</v>
      </c>
    </row>
    <row r="38" spans="2:18" ht="15.75" customHeight="1" outlineLevel="1">
      <c r="B38" s="734"/>
      <c r="C38" s="760"/>
      <c r="D38" s="13" t="s">
        <v>781</v>
      </c>
      <c r="E38" s="365">
        <v>0</v>
      </c>
      <c r="F38" s="365">
        <f>13+2+10.65+5.99+5.99+10.99+7.99</f>
        <v>56.610000000000007</v>
      </c>
      <c r="H38" s="305"/>
      <c r="I38">
        <f>13+10.99+7.99+2+5.99</f>
        <v>39.970000000000006</v>
      </c>
      <c r="J38" s="305"/>
      <c r="K38">
        <f>10.65</f>
        <v>10.65</v>
      </c>
      <c r="L38" s="305"/>
      <c r="M38">
        <v>5.99</v>
      </c>
      <c r="N38" s="305"/>
      <c r="O38" s="274">
        <f t="shared" si="12"/>
        <v>0</v>
      </c>
      <c r="P38" s="274">
        <f t="shared" si="11"/>
        <v>56.610000000000007</v>
      </c>
      <c r="Q38" s="274" t="str">
        <f t="shared" si="8"/>
        <v>Subscriptions</v>
      </c>
      <c r="R38" s="282">
        <f>IF(O38&lt;0,O38*-1,0)</f>
        <v>0</v>
      </c>
    </row>
    <row r="39" spans="2:18" ht="18" outlineLevel="1">
      <c r="B39" s="734"/>
      <c r="C39" s="760"/>
      <c r="D39" s="13" t="s">
        <v>922</v>
      </c>
      <c r="E39" s="365">
        <v>0</v>
      </c>
      <c r="F39" s="365">
        <f>(D31-SUM(F32:F38))-F40</f>
        <v>223.15000000000055</v>
      </c>
      <c r="G39">
        <f>20+2+5.95+9.3</f>
        <v>37.25</v>
      </c>
      <c r="H39" s="305">
        <f>21</f>
        <v>21</v>
      </c>
      <c r="I39">
        <f>220.91+2</f>
        <v>222.91</v>
      </c>
      <c r="J39" s="305"/>
      <c r="L39" s="305"/>
      <c r="N39" s="305"/>
      <c r="O39" s="274">
        <f>SUM(E39:F39)-SUM(G39:N39)</f>
        <v>-58.009999999999422</v>
      </c>
      <c r="P39" s="274">
        <f t="shared" si="11"/>
        <v>281.15999999999997</v>
      </c>
      <c r="Q39" s="274" t="str">
        <f t="shared" si="8"/>
        <v>Matt Fun</v>
      </c>
      <c r="R39" s="282">
        <f>IF(F39-SUM(G39:N39)&lt;=0,(F39-SUM(G39:N39))*-1,0)</f>
        <v>58.009999999999422</v>
      </c>
    </row>
    <row r="40" spans="2:18" ht="18" outlineLevel="1">
      <c r="B40" s="7"/>
      <c r="C40" s="284"/>
      <c r="D40" s="13" t="s">
        <v>152</v>
      </c>
      <c r="E40" s="365">
        <v>0</v>
      </c>
      <c r="F40" s="365"/>
      <c r="H40" s="305"/>
      <c r="J40" s="305"/>
      <c r="L40" s="305"/>
      <c r="N40" s="305"/>
      <c r="O40" s="274">
        <f t="shared" si="12"/>
        <v>0</v>
      </c>
      <c r="P40" s="274">
        <f t="shared" si="11"/>
        <v>0</v>
      </c>
      <c r="Q40" s="274" t="str">
        <f t="shared" si="8"/>
        <v>Kris</v>
      </c>
      <c r="R40" s="271"/>
    </row>
    <row r="41" spans="2:18">
      <c r="B41" s="118"/>
      <c r="C41" s="118"/>
      <c r="E41" s="365">
        <f>SUM(E32:E40)+SUM(E24:E28)+SUM(E6:E20)</f>
        <v>1713.1299999999999</v>
      </c>
      <c r="F41" s="365"/>
      <c r="H41" s="7"/>
      <c r="J41" s="7"/>
      <c r="L41" s="7"/>
      <c r="N41" s="7"/>
      <c r="O41" s="273"/>
      <c r="P41" s="273"/>
      <c r="Q41" s="273"/>
      <c r="R41" s="282"/>
    </row>
    <row r="42" spans="2:18" ht="18">
      <c r="B42" s="728" t="s">
        <v>817</v>
      </c>
      <c r="C42" s="728"/>
      <c r="D42" s="728"/>
      <c r="E42" s="375">
        <f>G42+I42+K42+M42+N42+E41</f>
        <v>9656.75</v>
      </c>
      <c r="F42" s="379"/>
      <c r="G42" s="271">
        <f>(3308.52)+1100+3315</f>
        <v>7723.52</v>
      </c>
      <c r="H42" s="271"/>
      <c r="I42" s="271">
        <f>85</f>
        <v>85</v>
      </c>
      <c r="J42" s="271"/>
      <c r="K42" s="271">
        <f>83.1+20</f>
        <v>103.1</v>
      </c>
      <c r="L42" s="271"/>
      <c r="M42" s="271">
        <f>32</f>
        <v>32</v>
      </c>
      <c r="N42" s="271"/>
      <c r="O42" s="314" t="str">
        <f>"£" &amp; ROUND((O5+O31+O23+O39+O40+O4),2) &amp; " / " &amp; "£" &amp; E42</f>
        <v>£7700.42 / £9656.75</v>
      </c>
      <c r="P42" s="314"/>
      <c r="Q42" s="274"/>
      <c r="R42" s="282">
        <f>SUM(R31,R23,R5)</f>
        <v>79.349999999999426</v>
      </c>
    </row>
    <row r="43" spans="2:18">
      <c r="B43" s="118"/>
      <c r="C43" s="7"/>
      <c r="E43" s="365"/>
      <c r="F43" s="365"/>
      <c r="G43" s="365"/>
      <c r="H43" s="365"/>
    </row>
    <row r="44" spans="2:18" ht="14.4">
      <c r="B44" s="729"/>
      <c r="C44" s="729"/>
      <c r="D44" s="729"/>
      <c r="E44" s="729"/>
      <c r="F44" s="729"/>
      <c r="G44" s="729"/>
      <c r="H44" s="297"/>
      <c r="K44" s="729"/>
      <c r="L44" s="729"/>
      <c r="M44" s="729"/>
      <c r="N44" s="729"/>
      <c r="O44" s="729"/>
      <c r="P44" s="297"/>
      <c r="Q44" s="297"/>
    </row>
    <row r="45" spans="2:18" ht="15" customHeight="1">
      <c r="B45" s="726" t="s">
        <v>955</v>
      </c>
      <c r="C45" s="726"/>
      <c r="D45" s="726"/>
      <c r="E45" s="726"/>
      <c r="F45" s="79"/>
      <c r="K45" s="212"/>
      <c r="L45" s="212"/>
      <c r="M45" s="278"/>
      <c r="N45" s="212"/>
      <c r="O45" s="118" t="s">
        <v>991</v>
      </c>
      <c r="P45" s="118"/>
      <c r="Q45" s="316">
        <v>44055</v>
      </c>
      <c r="R45" s="7"/>
    </row>
    <row r="46" spans="2:18">
      <c r="B46" s="365"/>
      <c r="C46" s="38"/>
      <c r="E46" s="11"/>
      <c r="F46" s="11"/>
      <c r="K46" s="214"/>
      <c r="L46" s="214"/>
      <c r="M46" s="376"/>
      <c r="N46" s="214"/>
      <c r="O46" s="322" t="s">
        <v>992</v>
      </c>
      <c r="P46" s="322"/>
      <c r="Q46" s="42">
        <v>44018</v>
      </c>
      <c r="R46" s="212"/>
    </row>
    <row r="47" spans="2:18">
      <c r="E47" s="11"/>
      <c r="F47"/>
      <c r="M47" s="365"/>
      <c r="O47" t="s">
        <v>993</v>
      </c>
      <c r="P47"/>
      <c r="Q47">
        <v>0</v>
      </c>
    </row>
    <row r="48" spans="2:18" ht="16.2" customHeight="1">
      <c r="E48" s="214"/>
      <c r="F48" s="214"/>
      <c r="I48" s="760"/>
      <c r="J48" s="760"/>
      <c r="K48" s="760"/>
      <c r="L48" s="760"/>
      <c r="M48" s="760"/>
      <c r="N48" s="212"/>
      <c r="O48" s="212"/>
      <c r="P48" s="212"/>
      <c r="Q48" s="212"/>
    </row>
    <row r="49" spans="2:18">
      <c r="B49" s="378"/>
      <c r="E49"/>
      <c r="F49"/>
      <c r="I49" s="11"/>
      <c r="J49" s="11"/>
      <c r="K49" s="56"/>
      <c r="L49" s="56"/>
      <c r="M49" s="365">
        <f>8680.65</f>
        <v>8680.65</v>
      </c>
      <c r="N49" s="56"/>
      <c r="O49" s="56">
        <f>SUM(O25,O26,O32,O33,O34,O24,O7)</f>
        <v>7157.1900000000014</v>
      </c>
      <c r="P49" s="56"/>
      <c r="Q49" s="56"/>
    </row>
    <row r="50" spans="2:18">
      <c r="E50"/>
      <c r="F50"/>
      <c r="I50" s="11"/>
      <c r="J50" s="11"/>
      <c r="M50" s="365">
        <v>8.9</v>
      </c>
      <c r="N50" s="56"/>
      <c r="O50"/>
      <c r="P50"/>
      <c r="Q50"/>
    </row>
    <row r="51" spans="2:18">
      <c r="E51"/>
      <c r="F51"/>
      <c r="I51" s="11"/>
      <c r="J51" s="11"/>
      <c r="M51" s="365">
        <v>5.99</v>
      </c>
      <c r="N51" s="56"/>
      <c r="O51" s="212"/>
      <c r="P51" s="212"/>
      <c r="Q51" s="212"/>
      <c r="R51" s="212"/>
    </row>
    <row r="52" spans="2:18">
      <c r="E52"/>
      <c r="F52"/>
      <c r="I52" s="11"/>
      <c r="J52" s="11"/>
      <c r="M52" s="365">
        <v>8.44</v>
      </c>
      <c r="N52" s="56"/>
      <c r="O52" s="56"/>
      <c r="P52" s="56"/>
      <c r="Q52" s="56"/>
      <c r="R52" s="38"/>
    </row>
    <row r="53" spans="2:18">
      <c r="E53"/>
      <c r="F53"/>
      <c r="I53" s="11"/>
      <c r="J53" s="11"/>
      <c r="M53" s="365">
        <v>8</v>
      </c>
      <c r="N53" s="56"/>
    </row>
    <row r="54" spans="2:18">
      <c r="E54" s="365"/>
      <c r="F54" s="365"/>
      <c r="I54" s="11"/>
      <c r="J54" s="11"/>
      <c r="M54" s="365">
        <v>20.78</v>
      </c>
      <c r="N54" s="764"/>
    </row>
    <row r="55" spans="2:18">
      <c r="E55" s="365"/>
      <c r="F55" s="365"/>
      <c r="I55" s="11"/>
      <c r="J55" s="11"/>
      <c r="M55" s="365">
        <v>40.619999999999997</v>
      </c>
      <c r="N55" s="765"/>
      <c r="O55" s="275"/>
      <c r="P55" s="275"/>
      <c r="Q55" s="275"/>
    </row>
    <row r="56" spans="2:18">
      <c r="B56" s="11"/>
      <c r="E56" s="365"/>
      <c r="F56" s="365"/>
      <c r="I56" s="11"/>
      <c r="J56" s="11"/>
      <c r="M56" s="365">
        <v>42.29</v>
      </c>
      <c r="N56" s="765"/>
    </row>
    <row r="57" spans="2:18" ht="14.4">
      <c r="B57" s="11"/>
      <c r="D57" s="726"/>
      <c r="E57" s="726"/>
      <c r="F57" s="726"/>
      <c r="G57" s="726"/>
      <c r="H57" s="726"/>
      <c r="I57" s="726"/>
      <c r="J57" s="726"/>
      <c r="K57" s="726"/>
      <c r="L57" s="79"/>
      <c r="M57" s="726"/>
      <c r="N57" s="726"/>
      <c r="O57" s="726"/>
      <c r="P57" s="726"/>
      <c r="Q57" s="726"/>
    </row>
    <row r="58" spans="2:18">
      <c r="E58"/>
      <c r="F58"/>
      <c r="M58" s="365">
        <v>129</v>
      </c>
      <c r="N58" s="278"/>
      <c r="O58" s="212"/>
      <c r="P58" s="212"/>
      <c r="Q58" s="212"/>
    </row>
    <row r="59" spans="2:18">
      <c r="B59" s="212"/>
      <c r="C59" s="212"/>
      <c r="E59"/>
      <c r="F59"/>
      <c r="L59" s="11">
        <f>M49-M59</f>
        <v>8416.6299999999992</v>
      </c>
      <c r="M59" s="11">
        <f>SUM(M50:Q58)</f>
        <v>264.02</v>
      </c>
      <c r="N59" s="376"/>
      <c r="O59" s="214">
        <f>8433.72-17.09</f>
        <v>8416.6299999999992</v>
      </c>
      <c r="P59" s="214"/>
      <c r="Q59" s="214"/>
    </row>
    <row r="60" spans="2:18">
      <c r="C60" s="56"/>
      <c r="D60" s="243"/>
      <c r="E60"/>
      <c r="F60"/>
      <c r="N60" s="365"/>
      <c r="O60"/>
      <c r="P60"/>
      <c r="Q60"/>
    </row>
    <row r="61" spans="2:18">
      <c r="C61" s="56"/>
      <c r="E61"/>
      <c r="F61"/>
      <c r="N61" s="278"/>
      <c r="O61" s="212"/>
      <c r="P61" s="212"/>
      <c r="Q61" s="212"/>
    </row>
    <row r="62" spans="2:18">
      <c r="C62" s="56"/>
      <c r="D62" s="56"/>
      <c r="E62"/>
      <c r="F62"/>
      <c r="N62" s="365"/>
      <c r="O62" s="56"/>
      <c r="P62" s="56"/>
      <c r="Q62" s="56"/>
    </row>
    <row r="63" spans="2:18">
      <c r="C63" s="56"/>
      <c r="E63"/>
      <c r="F63"/>
      <c r="N63" s="365"/>
      <c r="O63"/>
      <c r="P63"/>
      <c r="Q63"/>
    </row>
    <row r="64" spans="2:18">
      <c r="C64" s="56"/>
      <c r="E64"/>
      <c r="F64"/>
      <c r="N64" s="278"/>
      <c r="O64" s="212"/>
      <c r="P64" s="212"/>
      <c r="Q64" s="212"/>
    </row>
    <row r="65" spans="2:17">
      <c r="C65" s="56"/>
      <c r="E65"/>
      <c r="F65"/>
      <c r="N65" s="365"/>
      <c r="O65" s="38"/>
      <c r="P65" s="38"/>
      <c r="Q65" s="56"/>
    </row>
    <row r="66" spans="2:17" ht="14.4">
      <c r="C66" s="56"/>
      <c r="E66"/>
      <c r="F66"/>
      <c r="O66"/>
      <c r="P66"/>
    </row>
    <row r="67" spans="2:17" ht="14.4">
      <c r="C67" s="56"/>
      <c r="E67"/>
      <c r="F67"/>
    </row>
    <row r="68" spans="2:17" ht="14.4">
      <c r="C68" s="56"/>
      <c r="E68"/>
      <c r="F68"/>
    </row>
    <row r="69" spans="2:17" ht="14.4">
      <c r="C69" s="56"/>
      <c r="E69"/>
      <c r="F69"/>
    </row>
    <row r="70" spans="2:17" ht="14.4">
      <c r="C70" s="56"/>
      <c r="E70"/>
      <c r="F70"/>
    </row>
    <row r="71" spans="2:17">
      <c r="E71" s="365"/>
      <c r="F71" s="365"/>
    </row>
    <row r="72" spans="2:17" ht="14.4">
      <c r="B72" s="212"/>
      <c r="C72" s="294"/>
      <c r="D72" s="212"/>
      <c r="E72" s="212"/>
      <c r="F72" s="212"/>
      <c r="G72" s="212"/>
      <c r="H72" s="212"/>
    </row>
    <row r="73" spans="2:17" ht="14.4">
      <c r="C73" s="56"/>
      <c r="D73" s="56"/>
      <c r="E73" s="56"/>
      <c r="F73" s="56"/>
      <c r="G73" s="56"/>
      <c r="H73" s="56"/>
    </row>
    <row r="74" spans="2:17" ht="14.4">
      <c r="C74" s="56"/>
      <c r="D74" s="56"/>
      <c r="E74" s="56"/>
      <c r="F74" s="56"/>
      <c r="G74" s="56"/>
      <c r="H74" s="56"/>
    </row>
    <row r="75" spans="2:17" ht="14.4">
      <c r="C75" s="56"/>
      <c r="D75" s="56"/>
      <c r="E75" s="56"/>
      <c r="F75" s="56"/>
      <c r="G75" s="56"/>
      <c r="H75" s="56"/>
    </row>
    <row r="76" spans="2:17" ht="14.4">
      <c r="C76" s="56"/>
      <c r="D76" s="56"/>
      <c r="E76" s="56"/>
      <c r="F76" s="56"/>
      <c r="G76" s="56"/>
      <c r="H76" s="56"/>
    </row>
    <row r="77" spans="2:17" ht="14.4">
      <c r="C77" s="56"/>
      <c r="D77" s="56"/>
      <c r="E77" s="56"/>
      <c r="F77" s="56"/>
      <c r="G77" s="56"/>
      <c r="H77" s="56"/>
    </row>
    <row r="78" spans="2:17" ht="14.4">
      <c r="C78" s="56"/>
      <c r="E78" s="56"/>
      <c r="F78" s="56"/>
    </row>
    <row r="80" spans="2:17"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7">
    <mergeCell ref="I48:M48"/>
    <mergeCell ref="N54:N56"/>
    <mergeCell ref="D57:K57"/>
    <mergeCell ref="M57:Q57"/>
    <mergeCell ref="B32:B39"/>
    <mergeCell ref="C32:C39"/>
    <mergeCell ref="B42:D42"/>
    <mergeCell ref="B44:G44"/>
    <mergeCell ref="K44:O44"/>
    <mergeCell ref="B45:C45"/>
    <mergeCell ref="D45:E45"/>
    <mergeCell ref="B30:E30"/>
    <mergeCell ref="B31:C31"/>
    <mergeCell ref="D31:E31"/>
    <mergeCell ref="B5:C5"/>
    <mergeCell ref="D5:E5"/>
    <mergeCell ref="B6:B20"/>
    <mergeCell ref="C6:C20"/>
    <mergeCell ref="B22:E22"/>
    <mergeCell ref="B23:C23"/>
    <mergeCell ref="D23:E23"/>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F4103-98A4-4F07-AA3D-222382884674}">
  <dimension ref="A1:U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JUL-AUG 2020</v>
      </c>
      <c r="B1" s="730" t="str">
        <f ca="1">MID(CELL("filename",B1),FIND("]",CELL("filename",B1))+1,255)</f>
        <v>AUG-SEP 2020</v>
      </c>
      <c r="C1" s="731"/>
      <c r="D1" s="731"/>
      <c r="E1" s="731"/>
      <c r="F1" s="731"/>
      <c r="G1" s="731"/>
      <c r="H1" s="731"/>
      <c r="I1" s="731"/>
      <c r="J1" s="731"/>
      <c r="K1" s="731"/>
      <c r="L1" s="731"/>
      <c r="M1" s="731"/>
      <c r="N1" s="731"/>
      <c r="O1" s="731"/>
      <c r="P1" s="298"/>
      <c r="Q1" s="281"/>
      <c r="R1" s="272"/>
      <c r="S1" s="272"/>
      <c r="T1" s="272"/>
    </row>
    <row r="2" spans="1:21">
      <c r="B2" s="118"/>
      <c r="C2" s="118"/>
      <c r="E2" s="365"/>
      <c r="F2" s="365"/>
      <c r="G2" s="79" t="s">
        <v>798</v>
      </c>
      <c r="H2" s="307" t="s">
        <v>814</v>
      </c>
      <c r="I2" s="79" t="s">
        <v>799</v>
      </c>
      <c r="J2" s="307" t="s">
        <v>814</v>
      </c>
      <c r="K2" s="329" t="s">
        <v>800</v>
      </c>
      <c r="L2" s="307" t="s">
        <v>814</v>
      </c>
      <c r="M2" s="79" t="s">
        <v>801</v>
      </c>
      <c r="N2" s="307" t="s">
        <v>814</v>
      </c>
      <c r="O2" s="273" t="s">
        <v>10</v>
      </c>
      <c r="P2" s="273"/>
      <c r="Q2" s="283" t="s">
        <v>803</v>
      </c>
    </row>
    <row r="3" spans="1:21">
      <c r="B3" s="118"/>
      <c r="C3" s="118"/>
      <c r="E3" s="365"/>
      <c r="F3" s="365"/>
      <c r="G3" s="732">
        <v>44068</v>
      </c>
      <c r="H3" s="732"/>
      <c r="I3" s="732">
        <f>G3+7</f>
        <v>44075</v>
      </c>
      <c r="J3" s="732"/>
      <c r="K3" s="766">
        <f>I3+7</f>
        <v>44082</v>
      </c>
      <c r="L3" s="766"/>
      <c r="M3" s="732">
        <f>K3+7</f>
        <v>44089</v>
      </c>
      <c r="N3" s="732"/>
      <c r="O3" s="325" t="str">
        <f>714.37 &amp; " / " &amp; ROUND(714.37-O4,2)</f>
        <v>714.37 / 714.37</v>
      </c>
      <c r="P3" s="325" t="s">
        <v>994</v>
      </c>
      <c r="Q3" s="282"/>
    </row>
    <row r="4" spans="1:21" ht="15" customHeight="1">
      <c r="B4" s="727" t="str">
        <f>_xlfn.CONCAT("Expenses - 50 - ",G42*0.5," / Actual = ",D5," (",ROUND((D5/G42)*100,2),")")</f>
        <v>Expenses - 50 - 2028.89 / Actual = 1748.86 (43.1)</v>
      </c>
      <c r="C4" s="727"/>
      <c r="D4" s="727"/>
      <c r="E4" s="727"/>
      <c r="F4" s="318"/>
      <c r="H4" s="243">
        <f>SUM(H5:H40)</f>
        <v>84.580000000000013</v>
      </c>
      <c r="J4" s="243">
        <f>SUM(J5:J40)</f>
        <v>181.27</v>
      </c>
      <c r="L4" s="243">
        <f>SUM(L5:L40)</f>
        <v>430.85</v>
      </c>
      <c r="N4" s="243">
        <f>SUM(N5:N40)</f>
        <v>93.14</v>
      </c>
      <c r="O4" s="308">
        <f>IF(H41&lt;&gt;"PAID",H4,0)+IF(J41&lt;&gt;"PAID",J4,0)+IF(L41&lt;&gt;"PAID",L4,0)+IF(N41&lt;&gt;"PAID",N4,0)</f>
        <v>0</v>
      </c>
      <c r="P4" s="309" t="s">
        <v>973</v>
      </c>
      <c r="Q4" s="282"/>
      <c r="R4" s="243">
        <f>O4-789.84</f>
        <v>-789.84</v>
      </c>
    </row>
    <row r="5" spans="1:21" ht="15" customHeight="1">
      <c r="B5" s="733" t="str">
        <f>IF(D5&gt;E$42*0.5,ROUND(D5-E$42*0.5,2) &amp; " Over",ROUND(E$42*0.5-D5,2) &amp; " Under")</f>
        <v>4178.74 Under</v>
      </c>
      <c r="C5" s="733"/>
      <c r="D5" s="761">
        <f>SUM(F6:F20)</f>
        <v>1748.86</v>
      </c>
      <c r="E5" s="761"/>
      <c r="F5" s="321"/>
      <c r="G5" s="284"/>
      <c r="H5" s="306"/>
      <c r="I5" s="79"/>
      <c r="J5" s="306"/>
      <c r="K5" s="329"/>
      <c r="L5" s="306"/>
      <c r="M5" s="79"/>
      <c r="N5" s="305"/>
      <c r="O5" s="285">
        <f>SUMIF(O6:O20,"&gt;0")</f>
        <v>23.000000000000004</v>
      </c>
      <c r="P5" s="285" t="s">
        <v>892</v>
      </c>
      <c r="Q5" s="282">
        <f>SUM(Q6:Q20)</f>
        <v>0.37999999999999545</v>
      </c>
    </row>
    <row r="6" spans="1:21" ht="15" customHeight="1">
      <c r="B6" s="734" t="str">
        <f>"50%: " &amp; E$42*0.5</f>
        <v>50%: 5927.6</v>
      </c>
      <c r="C6" s="734" t="str">
        <f>ROUND((D5/E$42)*100,2) &amp; "%: " &amp;D5</f>
        <v>14.75%: 1748.86</v>
      </c>
      <c r="D6" s="13" t="s">
        <v>805</v>
      </c>
      <c r="E6" s="365">
        <v>0</v>
      </c>
      <c r="F6" s="374">
        <f>150-0.94</f>
        <v>149.06</v>
      </c>
      <c r="H6" s="305">
        <f>51.1</f>
        <v>51.1</v>
      </c>
      <c r="I6">
        <f>5.7+8.9</f>
        <v>14.600000000000001</v>
      </c>
      <c r="J6" s="305">
        <f>20+20.01</f>
        <v>40.010000000000005</v>
      </c>
      <c r="K6" s="242">
        <f>3.29</f>
        <v>3.29</v>
      </c>
      <c r="L6" s="305">
        <f>20</f>
        <v>20</v>
      </c>
      <c r="M6">
        <v>20.059999999999999</v>
      </c>
      <c r="N6" s="305"/>
      <c r="O6" s="274">
        <f>SUM(E6:F6)-SUM(G6:N6)</f>
        <v>0</v>
      </c>
      <c r="P6" s="274" t="str">
        <f t="shared" ref="P6:P20" si="0">D6</f>
        <v>Car Petrol / commuting</v>
      </c>
      <c r="Q6" s="282">
        <f t="shared" ref="Q6:Q20" si="1">IF(O6&lt;0,O6*-1,0)</f>
        <v>0</v>
      </c>
    </row>
    <row r="7" spans="1:21" ht="15" customHeight="1">
      <c r="B7" s="734"/>
      <c r="C7" s="734"/>
      <c r="D7" s="13" t="s">
        <v>169</v>
      </c>
      <c r="E7" s="365">
        <f>58.01-43.09-14.92</f>
        <v>0</v>
      </c>
      <c r="F7" s="365">
        <f>400-40-28.98-16.12-9.5-32.85+0.94+9.92+10+12.25-9.81</f>
        <v>295.84999999999997</v>
      </c>
      <c r="G7">
        <f>5+10.48</f>
        <v>15.48</v>
      </c>
      <c r="H7" s="305"/>
      <c r="J7" s="305">
        <f>40.92+16.19+29.75+25.08</f>
        <v>111.94</v>
      </c>
      <c r="K7" s="242"/>
      <c r="L7" s="305">
        <f>20.73+52.22</f>
        <v>72.95</v>
      </c>
      <c r="M7">
        <f>3.7+30+3.95</f>
        <v>37.650000000000006</v>
      </c>
      <c r="N7" s="305">
        <f>27.35+30.48</f>
        <v>57.83</v>
      </c>
      <c r="O7" s="274">
        <f t="shared" ref="O7:O20" si="2">SUM(E7:F7)-SUM(G7:N7)</f>
        <v>0</v>
      </c>
      <c r="P7" s="274" t="str">
        <f t="shared" si="0"/>
        <v>Food</v>
      </c>
      <c r="Q7" s="282">
        <f t="shared" si="1"/>
        <v>0</v>
      </c>
    </row>
    <row r="8" spans="1:21" ht="15" customHeight="1">
      <c r="B8" s="734"/>
      <c r="C8" s="734"/>
      <c r="D8" s="13" t="s">
        <v>919</v>
      </c>
      <c r="E8" s="365">
        <v>0</v>
      </c>
      <c r="F8" s="365">
        <f>40-30.08-9.92</f>
        <v>0</v>
      </c>
      <c r="H8" s="305"/>
      <c r="J8" s="305"/>
      <c r="K8" s="242"/>
      <c r="L8" s="305"/>
      <c r="N8" s="305"/>
      <c r="O8" s="274">
        <f t="shared" si="2"/>
        <v>0</v>
      </c>
      <c r="P8" s="274" t="str">
        <f t="shared" si="0"/>
        <v>Bun</v>
      </c>
      <c r="Q8" s="282">
        <f t="shared" si="1"/>
        <v>0</v>
      </c>
    </row>
    <row r="9" spans="1:21" ht="15" customHeight="1" outlineLevel="1">
      <c r="B9" s="734"/>
      <c r="C9" s="734"/>
      <c r="D9" s="201" t="s">
        <v>595</v>
      </c>
      <c r="E9" s="365">
        <v>0</v>
      </c>
      <c r="F9" s="365">
        <f>452.64</f>
        <v>452.64</v>
      </c>
      <c r="H9" s="305"/>
      <c r="J9" s="305"/>
      <c r="K9" s="242"/>
      <c r="L9" s="305"/>
      <c r="M9">
        <v>452.64</v>
      </c>
      <c r="N9" s="305"/>
      <c r="O9" s="274">
        <f t="shared" si="2"/>
        <v>0</v>
      </c>
      <c r="P9" s="274" t="str">
        <f t="shared" si="0"/>
        <v>Mortgage</v>
      </c>
      <c r="Q9" s="282">
        <f t="shared" si="1"/>
        <v>0</v>
      </c>
    </row>
    <row r="10" spans="1:21" ht="15" customHeight="1" outlineLevel="1">
      <c r="B10" s="734"/>
      <c r="C10" s="734"/>
      <c r="D10" s="201" t="s">
        <v>596</v>
      </c>
      <c r="E10" s="365">
        <v>0</v>
      </c>
      <c r="F10" s="365">
        <v>129</v>
      </c>
      <c r="H10" s="305"/>
      <c r="J10" s="305"/>
      <c r="K10" s="242"/>
      <c r="L10" s="305"/>
      <c r="M10">
        <v>129</v>
      </c>
      <c r="N10" s="305"/>
      <c r="O10" s="274">
        <f t="shared" si="2"/>
        <v>0</v>
      </c>
      <c r="P10" s="274" t="str">
        <f t="shared" si="0"/>
        <v>Council tax</v>
      </c>
      <c r="Q10" s="282">
        <f t="shared" si="1"/>
        <v>0</v>
      </c>
    </row>
    <row r="11" spans="1:21" ht="15" customHeight="1" outlineLevel="1">
      <c r="B11" s="734"/>
      <c r="C11" s="734"/>
      <c r="D11" s="201" t="s">
        <v>1002</v>
      </c>
      <c r="E11" s="365">
        <v>0</v>
      </c>
      <c r="F11" s="365">
        <f>23+55+1</f>
        <v>79</v>
      </c>
      <c r="H11" s="305"/>
      <c r="I11">
        <v>1</v>
      </c>
      <c r="J11" s="305"/>
      <c r="K11" s="242"/>
      <c r="L11" s="305"/>
      <c r="M11">
        <f>23+55</f>
        <v>78</v>
      </c>
      <c r="N11" s="305"/>
      <c r="O11" s="274">
        <f t="shared" si="2"/>
        <v>0</v>
      </c>
      <c r="P11" s="274" t="str">
        <f t="shared" si="0"/>
        <v>Utilities (G,W,E,HTB)</v>
      </c>
      <c r="Q11" s="282">
        <f t="shared" si="1"/>
        <v>0</v>
      </c>
    </row>
    <row r="12" spans="1:21" ht="15" customHeight="1" outlineLevel="1">
      <c r="B12" s="734"/>
      <c r="C12" s="734"/>
      <c r="D12" s="201" t="s">
        <v>996</v>
      </c>
      <c r="E12" s="365">
        <v>0</v>
      </c>
      <c r="F12" s="365">
        <f>20.78</f>
        <v>20.78</v>
      </c>
      <c r="H12" s="305"/>
      <c r="J12" s="305"/>
      <c r="K12" s="242"/>
      <c r="L12" s="305"/>
      <c r="M12">
        <v>20.78</v>
      </c>
      <c r="N12" s="305"/>
      <c r="O12" s="274">
        <f t="shared" si="2"/>
        <v>0</v>
      </c>
      <c r="P12" s="274" t="str">
        <f t="shared" si="0"/>
        <v>Home Insurance</v>
      </c>
      <c r="Q12" s="282"/>
    </row>
    <row r="13" spans="1:21" ht="15" customHeight="1" outlineLevel="1">
      <c r="B13" s="734"/>
      <c r="C13" s="734"/>
      <c r="D13" s="201" t="s">
        <v>359</v>
      </c>
      <c r="E13" s="365">
        <v>0</v>
      </c>
      <c r="F13" s="365">
        <f>15</f>
        <v>15</v>
      </c>
      <c r="H13" s="305"/>
      <c r="J13" s="305"/>
      <c r="K13" s="242"/>
      <c r="L13" s="305"/>
      <c r="N13" s="305"/>
      <c r="O13" s="274">
        <f t="shared" si="2"/>
        <v>15</v>
      </c>
      <c r="P13" s="274" t="str">
        <f t="shared" si="0"/>
        <v>TV License</v>
      </c>
      <c r="Q13" s="282"/>
    </row>
    <row r="14" spans="1:21" ht="15" customHeight="1" outlineLevel="1">
      <c r="B14" s="734"/>
      <c r="C14" s="734"/>
      <c r="D14" s="201" t="s">
        <v>1003</v>
      </c>
      <c r="E14" s="365">
        <v>0</v>
      </c>
      <c r="F14" s="365">
        <f>4.52+15.97+8.56+8</f>
        <v>37.050000000000004</v>
      </c>
      <c r="H14" s="305"/>
      <c r="I14">
        <v>29.05</v>
      </c>
      <c r="J14" s="305"/>
      <c r="K14" s="242"/>
      <c r="L14" s="305"/>
      <c r="N14" s="305"/>
      <c r="O14" s="274">
        <f t="shared" si="2"/>
        <v>8.0000000000000036</v>
      </c>
      <c r="P14" s="274" t="str">
        <f t="shared" si="0"/>
        <v>Other Insurances</v>
      </c>
      <c r="Q14" s="282">
        <f t="shared" si="1"/>
        <v>0</v>
      </c>
    </row>
    <row r="15" spans="1:21" ht="15" customHeight="1" outlineLevel="1">
      <c r="B15" s="734"/>
      <c r="C15" s="734"/>
      <c r="D15" s="201" t="s">
        <v>602</v>
      </c>
      <c r="E15" s="365">
        <v>0</v>
      </c>
      <c r="F15" s="365">
        <v>39.99</v>
      </c>
      <c r="H15" s="305"/>
      <c r="J15" s="305"/>
      <c r="K15" s="242"/>
      <c r="L15" s="305"/>
      <c r="M15">
        <v>40.369999999999997</v>
      </c>
      <c r="N15" s="305"/>
      <c r="O15" s="274">
        <f t="shared" si="2"/>
        <v>-0.37999999999999545</v>
      </c>
      <c r="P15" s="274" t="str">
        <f t="shared" si="0"/>
        <v>Broadband / TV</v>
      </c>
      <c r="Q15" s="282">
        <f t="shared" si="1"/>
        <v>0.37999999999999545</v>
      </c>
    </row>
    <row r="16" spans="1:21" ht="15" customHeight="1" outlineLevel="1">
      <c r="B16" s="734"/>
      <c r="C16" s="734"/>
      <c r="D16" s="201" t="s">
        <v>582</v>
      </c>
      <c r="E16" s="365">
        <v>0</v>
      </c>
      <c r="F16" s="365">
        <v>7.99</v>
      </c>
      <c r="H16" s="305"/>
      <c r="I16">
        <v>7.99</v>
      </c>
      <c r="J16" s="305"/>
      <c r="K16" s="242"/>
      <c r="L16" s="305"/>
      <c r="N16" s="305"/>
      <c r="O16" s="274">
        <f t="shared" si="2"/>
        <v>0</v>
      </c>
      <c r="P16" s="274" t="str">
        <f t="shared" si="0"/>
        <v>Onedrive (6th)</v>
      </c>
      <c r="Q16" s="282">
        <f t="shared" si="1"/>
        <v>0</v>
      </c>
    </row>
    <row r="17" spans="2:20" ht="15" customHeight="1" outlineLevel="1">
      <c r="B17" s="734"/>
      <c r="C17" s="734"/>
      <c r="D17" s="201" t="s">
        <v>788</v>
      </c>
      <c r="E17" s="365">
        <v>0</v>
      </c>
      <c r="F17" s="365">
        <v>10.44</v>
      </c>
      <c r="H17" s="305"/>
      <c r="I17">
        <v>10.44</v>
      </c>
      <c r="J17" s="305"/>
      <c r="K17" s="242"/>
      <c r="L17" s="305"/>
      <c r="N17" s="305"/>
      <c r="O17" s="274">
        <f t="shared" si="2"/>
        <v>0</v>
      </c>
      <c r="P17" s="274" t="str">
        <f t="shared" si="0"/>
        <v>Matt Phone</v>
      </c>
      <c r="Q17" s="282">
        <f t="shared" si="1"/>
        <v>0</v>
      </c>
    </row>
    <row r="18" spans="2:20" ht="15" customHeight="1" outlineLevel="1">
      <c r="B18" s="734"/>
      <c r="C18" s="734"/>
      <c r="D18" s="201" t="s">
        <v>985</v>
      </c>
      <c r="E18" s="365">
        <v>0</v>
      </c>
      <c r="F18" s="365">
        <f>28.43+65.87+93.72</f>
        <v>188.02</v>
      </c>
      <c r="H18" s="305"/>
      <c r="I18">
        <f>28.43+65.87+93.72</f>
        <v>188.02</v>
      </c>
      <c r="J18" s="305"/>
      <c r="K18" s="242"/>
      <c r="L18" s="305"/>
      <c r="N18" s="305"/>
      <c r="O18" s="274">
        <f t="shared" si="2"/>
        <v>0</v>
      </c>
      <c r="P18" s="274" t="str">
        <f t="shared" si="0"/>
        <v>Car Tax / Insurance</v>
      </c>
      <c r="Q18" s="282">
        <f t="shared" si="1"/>
        <v>0</v>
      </c>
    </row>
    <row r="19" spans="2:20" ht="15" customHeight="1" outlineLevel="1">
      <c r="B19" s="734"/>
      <c r="C19" s="734"/>
      <c r="D19" s="201" t="s">
        <v>944</v>
      </c>
      <c r="E19" s="365">
        <v>0</v>
      </c>
      <c r="F19" s="365">
        <v>15</v>
      </c>
      <c r="H19" s="305"/>
      <c r="I19">
        <v>15</v>
      </c>
      <c r="J19" s="305"/>
      <c r="K19" s="242"/>
      <c r="L19" s="305"/>
      <c r="N19" s="305"/>
      <c r="O19" s="274">
        <f t="shared" si="2"/>
        <v>0</v>
      </c>
      <c r="P19" s="274" t="str">
        <f t="shared" si="0"/>
        <v>Windows</v>
      </c>
      <c r="Q19" s="282">
        <f t="shared" si="1"/>
        <v>0</v>
      </c>
    </row>
    <row r="20" spans="2:20" ht="15" customHeight="1" outlineLevel="1">
      <c r="B20" s="734"/>
      <c r="C20" s="734"/>
      <c r="D20" s="293" t="s">
        <v>920</v>
      </c>
      <c r="E20" s="365">
        <v>0</v>
      </c>
      <c r="F20" s="277">
        <f>179.07+129.97</f>
        <v>309.03999999999996</v>
      </c>
      <c r="H20" s="305"/>
      <c r="I20">
        <v>129.97</v>
      </c>
      <c r="J20" s="305"/>
      <c r="K20" s="242"/>
      <c r="L20" s="305"/>
      <c r="M20">
        <v>179.07</v>
      </c>
      <c r="N20" s="305"/>
      <c r="O20" s="274">
        <f t="shared" si="2"/>
        <v>0</v>
      </c>
      <c r="P20" s="274" t="str">
        <f t="shared" si="0"/>
        <v>Finance</v>
      </c>
      <c r="Q20" s="282">
        <f t="shared" si="1"/>
        <v>0</v>
      </c>
    </row>
    <row r="21" spans="2:20" ht="15" customHeight="1">
      <c r="B21" s="118"/>
      <c r="C21" s="118"/>
      <c r="D21" s="188"/>
      <c r="E21" s="365"/>
      <c r="F21" s="365"/>
      <c r="H21" s="305"/>
      <c r="J21" s="305"/>
      <c r="K21" s="242"/>
      <c r="L21" s="305"/>
      <c r="N21" s="305"/>
      <c r="O21" s="273"/>
      <c r="P21" s="273"/>
      <c r="Q21" s="282"/>
    </row>
    <row r="22" spans="2:20" ht="15" customHeight="1">
      <c r="B22" s="736" t="str">
        <f>_xlfn.CONCAT("Savings - 20 - ",G42*0.2," / Actual = ",D23," (",ROUND((D23/G42)*100,2),")")</f>
        <v>Savings - 20 - 811.556 / Actual = 50 (1.23)</v>
      </c>
      <c r="C22" s="736"/>
      <c r="D22" s="736"/>
      <c r="E22" s="736"/>
      <c r="F22" s="320"/>
      <c r="H22" s="305"/>
      <c r="J22" s="305"/>
      <c r="K22" s="242"/>
      <c r="L22" s="305"/>
      <c r="N22" s="305"/>
      <c r="O22" s="274"/>
      <c r="P22" s="274"/>
      <c r="Q22" s="282"/>
    </row>
    <row r="23" spans="2:20" ht="15" customHeight="1">
      <c r="B23" s="727" t="str">
        <f>IF(ISNUMBER((SEARCH("Over",C$5))),"Operating under budget","Operating over budget")</f>
        <v>Operating over budget</v>
      </c>
      <c r="C23" s="727"/>
      <c r="D23" s="759">
        <f>SUM(F24:F28)</f>
        <v>50</v>
      </c>
      <c r="E23" s="759"/>
      <c r="F23" s="319"/>
      <c r="H23" s="305"/>
      <c r="J23" s="305"/>
      <c r="K23" s="242"/>
      <c r="L23" s="305"/>
      <c r="N23" s="305"/>
      <c r="O23" s="285">
        <f>SUMIF(O24:O28,"&gt;0")</f>
        <v>1816.87</v>
      </c>
      <c r="P23" s="285" t="s">
        <v>895</v>
      </c>
      <c r="Q23" s="282">
        <f>SUM(Q25:Q25)</f>
        <v>0</v>
      </c>
    </row>
    <row r="24" spans="2:20" ht="15" customHeight="1" outlineLevel="1">
      <c r="B24" s="7" t="str">
        <f>"20% : " &amp; E$42*0.2</f>
        <v>20% : 2371.04</v>
      </c>
      <c r="C24" s="7" t="str">
        <f>"20% : " &amp; E$42*0.2</f>
        <v>20% : 2371.04</v>
      </c>
      <c r="D24" s="300" t="s">
        <v>590</v>
      </c>
      <c r="E24" s="365">
        <v>0</v>
      </c>
      <c r="F24" s="365">
        <f>50</f>
        <v>50</v>
      </c>
      <c r="G24">
        <f>11.99</f>
        <v>11.99</v>
      </c>
      <c r="H24" s="305"/>
      <c r="I24">
        <f>8.99+3</f>
        <v>11.99</v>
      </c>
      <c r="J24" s="305"/>
      <c r="K24" s="242">
        <f>25.46</f>
        <v>25.46</v>
      </c>
      <c r="L24" s="315"/>
      <c r="N24" s="305"/>
      <c r="O24" s="274">
        <f>SUM(E24:F24)-SUM(G24:N24)-Q42</f>
        <v>0.18000000000000682</v>
      </c>
      <c r="P24" s="274" t="str">
        <f t="shared" ref="P24:P28" si="3">D24</f>
        <v>Contingency</v>
      </c>
      <c r="Q24" s="282">
        <f>SUM(Q25:Q29)</f>
        <v>0</v>
      </c>
    </row>
    <row r="25" spans="2:20" ht="15" customHeight="1" outlineLevel="1">
      <c r="B25" s="7"/>
      <c r="C25" s="7"/>
      <c r="D25" s="300" t="s">
        <v>998</v>
      </c>
      <c r="E25" s="365">
        <f>250-10</f>
        <v>240</v>
      </c>
      <c r="F25" s="365">
        <v>0</v>
      </c>
      <c r="G25" s="11"/>
      <c r="H25" s="306"/>
      <c r="J25" s="305"/>
      <c r="K25" s="242"/>
      <c r="L25" s="305">
        <f>20</f>
        <v>20</v>
      </c>
      <c r="N25" s="305">
        <f>12.99-9.68</f>
        <v>3.3100000000000005</v>
      </c>
      <c r="O25" s="274">
        <f t="shared" ref="O25:O28" si="4">SUM(E25:F25)-SUM(G25:N25)</f>
        <v>216.69</v>
      </c>
      <c r="P25" s="274" t="str">
        <f t="shared" si="3"/>
        <v>Cars (Service / MOT)</v>
      </c>
      <c r="Q25" s="282">
        <f t="shared" ref="Q25:Q28" si="5">IF(O25&lt;0,O25*-1,0)</f>
        <v>0</v>
      </c>
    </row>
    <row r="26" spans="2:20" ht="15" customHeight="1" outlineLevel="1">
      <c r="B26" s="7"/>
      <c r="C26" s="7"/>
      <c r="D26" s="300" t="s">
        <v>999</v>
      </c>
      <c r="E26" s="365">
        <v>0</v>
      </c>
      <c r="F26" s="365">
        <v>0</v>
      </c>
      <c r="G26" s="11"/>
      <c r="H26" s="306"/>
      <c r="J26" s="305"/>
      <c r="K26" s="242"/>
      <c r="L26" s="305"/>
      <c r="N26" s="305"/>
      <c r="O26" s="274">
        <f t="shared" si="4"/>
        <v>0</v>
      </c>
      <c r="P26" s="274" t="str">
        <f t="shared" si="3"/>
        <v>Mortgage Overpayment</v>
      </c>
      <c r="Q26" s="282">
        <f t="shared" si="5"/>
        <v>0</v>
      </c>
    </row>
    <row r="27" spans="2:20" ht="15" customHeight="1" outlineLevel="1">
      <c r="B27" s="7"/>
      <c r="C27" s="7"/>
      <c r="D27" s="300" t="s">
        <v>1000</v>
      </c>
      <c r="E27" s="365">
        <v>1600</v>
      </c>
      <c r="F27" s="365">
        <v>0</v>
      </c>
      <c r="G27" s="11"/>
      <c r="H27" s="306"/>
      <c r="J27" s="305"/>
      <c r="K27" s="242"/>
      <c r="L27" s="305"/>
      <c r="N27" s="305"/>
      <c r="O27" s="274">
        <f t="shared" si="4"/>
        <v>1600</v>
      </c>
      <c r="P27" s="274" t="str">
        <f t="shared" si="3"/>
        <v>Finance Overpayment</v>
      </c>
      <c r="Q27" s="282">
        <f t="shared" si="5"/>
        <v>0</v>
      </c>
    </row>
    <row r="28" spans="2:20" ht="15" customHeight="1" outlineLevel="1">
      <c r="B28" s="7"/>
      <c r="C28" s="7"/>
      <c r="D28" s="300" t="s">
        <v>1001</v>
      </c>
      <c r="E28" s="365">
        <v>0</v>
      </c>
      <c r="F28" s="365">
        <v>0</v>
      </c>
      <c r="G28" s="11"/>
      <c r="H28" s="306"/>
      <c r="J28" s="305"/>
      <c r="K28" s="242"/>
      <c r="L28" s="305"/>
      <c r="N28" s="305"/>
      <c r="O28" s="274">
        <f t="shared" si="4"/>
        <v>0</v>
      </c>
      <c r="P28" s="274" t="str">
        <f t="shared" si="3"/>
        <v>CC Overpayment</v>
      </c>
      <c r="Q28" s="282">
        <f t="shared" si="5"/>
        <v>0</v>
      </c>
    </row>
    <row r="29" spans="2:20" ht="15" customHeight="1">
      <c r="B29" s="118"/>
      <c r="C29" s="118"/>
      <c r="E29" s="365"/>
      <c r="F29" s="365"/>
      <c r="H29" s="305"/>
      <c r="J29" s="305"/>
      <c r="K29" s="242"/>
      <c r="L29" s="305"/>
      <c r="N29" s="305"/>
      <c r="O29" s="273"/>
      <c r="P29" s="273"/>
      <c r="Q29" s="282"/>
    </row>
    <row r="30" spans="2:20" ht="15" customHeight="1">
      <c r="B30" s="727" t="str">
        <f>_xlfn.CONCAT("Wants - 30 - ",G42*0.3," / Actual = ",D31," (",ROUND((D31/G42)*100,2),")")</f>
        <v>Wants - 30 - 1217.334 / Actual = 2355.92 (58.06)</v>
      </c>
      <c r="C30" s="727"/>
      <c r="D30" s="727"/>
      <c r="E30" s="727"/>
      <c r="F30" s="318"/>
      <c r="H30" s="305"/>
      <c r="J30" s="305"/>
      <c r="K30" s="242"/>
      <c r="L30" s="305"/>
      <c r="N30" s="305"/>
      <c r="O30" s="273"/>
      <c r="P30" s="273"/>
      <c r="Q30" s="282"/>
    </row>
    <row r="31" spans="2:20" ht="15" customHeight="1">
      <c r="B31" s="727" t="str">
        <f>IF(ISNUMBER((SEARCH("Over",B$5))),"Operating under budget","Operating over budget")</f>
        <v>Operating over budget</v>
      </c>
      <c r="C31" s="727"/>
      <c r="D31" s="759">
        <f>(E$42-D5-D23-E41)</f>
        <v>2355.92</v>
      </c>
      <c r="E31" s="727"/>
      <c r="F31" s="319">
        <f>SUM(F32:F39)</f>
        <v>1850.93</v>
      </c>
      <c r="H31" s="305"/>
      <c r="J31" s="305"/>
      <c r="K31" s="242"/>
      <c r="L31" s="305"/>
      <c r="N31" s="305"/>
      <c r="O31" s="285">
        <f>SUMIF(O32:O38,"&gt;0")</f>
        <v>6783.8099999999995</v>
      </c>
      <c r="P31" s="285" t="s">
        <v>899</v>
      </c>
      <c r="Q31" s="282">
        <f>SUM(Q32:Q39)</f>
        <v>0</v>
      </c>
    </row>
    <row r="32" spans="2:20" ht="15" customHeight="1" outlineLevel="1">
      <c r="B32" s="734"/>
      <c r="C32" s="760"/>
      <c r="D32" s="300" t="s">
        <v>354</v>
      </c>
      <c r="E32" s="365">
        <f>642.17-58.01+10+43.09+14.92</f>
        <v>652.16999999999996</v>
      </c>
      <c r="F32" s="365">
        <f>50+40+28.98+16.12+9.5+32.85+30.08+60.99+50.77</f>
        <v>319.28999999999996</v>
      </c>
      <c r="H32" s="305"/>
      <c r="J32" s="305"/>
      <c r="K32" s="242"/>
      <c r="L32" s="305"/>
      <c r="N32" s="305"/>
      <c r="O32" s="274">
        <f t="shared" ref="O32:O35" si="6">SUM(E32:F32)-SUM(G32:N32)</f>
        <v>971.45999999999992</v>
      </c>
      <c r="P32" s="274" t="str">
        <f t="shared" ref="P32:P40" si="7">D32</f>
        <v>Holiday</v>
      </c>
      <c r="Q32" s="282">
        <f t="shared" ref="Q32:Q37" si="8">IF(O32&lt;0,O32*-1,0)</f>
        <v>0</v>
      </c>
      <c r="S32" s="11"/>
      <c r="T32" s="11"/>
    </row>
    <row r="33" spans="2:18" ht="15" customHeight="1" outlineLevel="1">
      <c r="B33" s="734"/>
      <c r="C33" s="760"/>
      <c r="D33" s="300" t="s">
        <v>170</v>
      </c>
      <c r="E33" s="365">
        <f>678.25</f>
        <v>678.25</v>
      </c>
      <c r="F33" s="365">
        <v>200</v>
      </c>
      <c r="H33" s="305"/>
      <c r="J33" s="305"/>
      <c r="K33" s="242">
        <f>110+30</f>
        <v>140</v>
      </c>
      <c r="L33" s="305">
        <f>(212-62)+37.5+68.4</f>
        <v>255.9</v>
      </c>
      <c r="N33" s="305"/>
      <c r="O33" s="274">
        <f t="shared" si="6"/>
        <v>482.35</v>
      </c>
      <c r="P33" s="274" t="str">
        <f t="shared" si="7"/>
        <v>Gift Fund</v>
      </c>
      <c r="Q33" s="282">
        <f t="shared" si="8"/>
        <v>0</v>
      </c>
    </row>
    <row r="34" spans="2:18" ht="15" customHeight="1" outlineLevel="1">
      <c r="B34" s="734"/>
      <c r="C34" s="760"/>
      <c r="D34" s="300" t="s">
        <v>812</v>
      </c>
      <c r="E34" s="365">
        <v>4530</v>
      </c>
      <c r="F34" s="365">
        <f>900-60</f>
        <v>840</v>
      </c>
      <c r="H34" s="305"/>
      <c r="J34" s="305"/>
      <c r="K34" s="242"/>
      <c r="L34" s="305"/>
      <c r="M34">
        <f>40</f>
        <v>40</v>
      </c>
      <c r="N34" s="305"/>
      <c r="O34" s="274">
        <f t="shared" si="6"/>
        <v>5330</v>
      </c>
      <c r="P34" s="274" t="str">
        <f t="shared" si="7"/>
        <v>Wedding</v>
      </c>
      <c r="Q34" s="282">
        <f t="shared" si="8"/>
        <v>0</v>
      </c>
      <c r="R34" s="11"/>
    </row>
    <row r="35" spans="2:18" ht="15" customHeight="1" outlineLevel="1">
      <c r="B35" s="734"/>
      <c r="C35" s="760"/>
      <c r="D35" s="300" t="s">
        <v>174</v>
      </c>
      <c r="E35" s="365">
        <v>0</v>
      </c>
      <c r="F35" s="365">
        <v>0</v>
      </c>
      <c r="G35" s="11"/>
      <c r="H35" s="306"/>
      <c r="J35" s="305"/>
      <c r="K35" s="242"/>
      <c r="L35" s="305"/>
      <c r="N35" s="305"/>
      <c r="O35" s="274">
        <f t="shared" si="6"/>
        <v>0</v>
      </c>
      <c r="P35" s="274" t="str">
        <f t="shared" si="7"/>
        <v>House</v>
      </c>
      <c r="Q35" s="282">
        <f t="shared" si="8"/>
        <v>0</v>
      </c>
      <c r="R35" s="11"/>
    </row>
    <row r="36" spans="2:18" ht="18" outlineLevel="1">
      <c r="B36" s="734"/>
      <c r="C36" s="760"/>
      <c r="D36" s="13" t="s">
        <v>943</v>
      </c>
      <c r="E36" s="365">
        <v>0</v>
      </c>
      <c r="F36" s="365">
        <v>0</v>
      </c>
      <c r="H36" s="305"/>
      <c r="J36" s="305"/>
      <c r="K36" s="242"/>
      <c r="L36" s="305"/>
      <c r="N36" s="305"/>
      <c r="O36" s="274">
        <f t="shared" ref="O36:O40" si="9">SUM(E36:F36)-SUM(G36:N36)</f>
        <v>0</v>
      </c>
      <c r="P36" s="274" t="str">
        <f t="shared" si="7"/>
        <v>Car wash</v>
      </c>
      <c r="Q36" s="282">
        <f t="shared" si="8"/>
        <v>0</v>
      </c>
    </row>
    <row r="37" spans="2:18" ht="18" outlineLevel="1">
      <c r="B37" s="734"/>
      <c r="C37" s="760"/>
      <c r="D37" s="13" t="s">
        <v>177</v>
      </c>
      <c r="E37" s="365">
        <v>0</v>
      </c>
      <c r="F37" s="365">
        <v>0</v>
      </c>
      <c r="H37" s="305"/>
      <c r="J37" s="305"/>
      <c r="K37" s="242"/>
      <c r="L37" s="305"/>
      <c r="N37" s="305"/>
      <c r="O37" s="274">
        <f t="shared" si="9"/>
        <v>0</v>
      </c>
      <c r="P37" s="274" t="str">
        <f t="shared" si="7"/>
        <v>Gym</v>
      </c>
      <c r="Q37" s="282">
        <f t="shared" si="8"/>
        <v>0</v>
      </c>
    </row>
    <row r="38" spans="2:18" ht="15.75" customHeight="1" outlineLevel="1">
      <c r="B38" s="734"/>
      <c r="C38" s="760"/>
      <c r="D38" s="13" t="s">
        <v>781</v>
      </c>
      <c r="E38" s="365">
        <v>0</v>
      </c>
      <c r="F38" s="365">
        <f>13+2+10.65+5.99+5.99</f>
        <v>37.630000000000003</v>
      </c>
      <c r="G38">
        <f>13</f>
        <v>13</v>
      </c>
      <c r="H38" s="305"/>
      <c r="I38">
        <f>2+5.99</f>
        <v>7.99</v>
      </c>
      <c r="J38" s="305"/>
      <c r="K38" s="242">
        <f>10.65+5.99</f>
        <v>16.64</v>
      </c>
      <c r="L38" s="305"/>
      <c r="N38" s="305"/>
      <c r="O38" s="274">
        <f t="shared" si="9"/>
        <v>0</v>
      </c>
      <c r="P38" s="274" t="str">
        <f t="shared" si="7"/>
        <v>Subscriptions</v>
      </c>
      <c r="Q38" s="282">
        <f>IF(O38&lt;0,O38*-1,0)</f>
        <v>0</v>
      </c>
    </row>
    <row r="39" spans="2:18" ht="18" outlineLevel="1">
      <c r="B39" s="734"/>
      <c r="C39" s="760"/>
      <c r="D39" s="13" t="s">
        <v>922</v>
      </c>
      <c r="E39" s="365">
        <v>0</v>
      </c>
      <c r="F39" s="365">
        <f>(D31-SUM(F32:F38))-F40</f>
        <v>454.01</v>
      </c>
      <c r="G39">
        <f>40+51</f>
        <v>91</v>
      </c>
      <c r="H39" s="305">
        <f>23.48+10</f>
        <v>33.480000000000004</v>
      </c>
      <c r="I39">
        <f>10.99+7.99+9.7</f>
        <v>28.68</v>
      </c>
      <c r="J39" s="305">
        <f>6.3+18.03</f>
        <v>24.330000000000002</v>
      </c>
      <c r="K39" s="242">
        <f>50+3.5+24.9+50+2</f>
        <v>130.4</v>
      </c>
      <c r="L39" s="305">
        <f>212-150</f>
        <v>62</v>
      </c>
      <c r="M39">
        <f>3.98+2.3+3.2+5</f>
        <v>14.48</v>
      </c>
      <c r="N39" s="305">
        <f>32</f>
        <v>32</v>
      </c>
      <c r="O39" s="274">
        <f>SUM(E39:F39)-SUM(G39:N39)</f>
        <v>37.639999999999986</v>
      </c>
      <c r="P39" s="274" t="str">
        <f t="shared" si="7"/>
        <v>Matt Fun</v>
      </c>
      <c r="Q39" s="282">
        <f>IF(F39-SUM(G39:N39)&lt;=0,(F39-SUM(G39:N39))*-1,0)</f>
        <v>0</v>
      </c>
    </row>
    <row r="40" spans="2:18" ht="18" outlineLevel="1">
      <c r="B40" s="7"/>
      <c r="C40" s="284"/>
      <c r="D40" s="13" t="s">
        <v>152</v>
      </c>
      <c r="E40" s="365">
        <v>0</v>
      </c>
      <c r="F40" s="365">
        <f>504.99</f>
        <v>504.99</v>
      </c>
      <c r="G40">
        <v>500</v>
      </c>
      <c r="H40" s="305"/>
      <c r="J40" s="305">
        <v>4.99</v>
      </c>
      <c r="K40" s="242"/>
      <c r="L40" s="305"/>
      <c r="N40" s="305"/>
      <c r="O40" s="274">
        <f t="shared" si="9"/>
        <v>0</v>
      </c>
      <c r="P40" s="274" t="str">
        <f t="shared" si="7"/>
        <v>Kris</v>
      </c>
      <c r="Q40" s="271">
        <f>IF(F40-SUM(G40:N40)&lt;=0,(F40-SUM(G40:N40))*-1,0)</f>
        <v>0</v>
      </c>
    </row>
    <row r="41" spans="2:18">
      <c r="B41" s="118"/>
      <c r="C41" s="118"/>
      <c r="E41" s="365">
        <f>SUM(E32:E40)+SUM(E24:E28)+SUM(E6:E20)</f>
        <v>7700.42</v>
      </c>
      <c r="F41" s="365"/>
      <c r="H41" s="7" t="s">
        <v>986</v>
      </c>
      <c r="J41" s="7" t="s">
        <v>986</v>
      </c>
      <c r="L41" s="7" t="s">
        <v>986</v>
      </c>
      <c r="N41" s="7" t="s">
        <v>986</v>
      </c>
      <c r="O41" s="273"/>
      <c r="P41" s="273"/>
      <c r="Q41" s="282"/>
    </row>
    <row r="42" spans="2:18" ht="18">
      <c r="B42" s="728" t="s">
        <v>817</v>
      </c>
      <c r="C42" s="728"/>
      <c r="D42" s="728"/>
      <c r="E42" s="375">
        <f>G42+I42+K42+M42+N42+E41</f>
        <v>11855.2</v>
      </c>
      <c r="F42" s="379"/>
      <c r="G42" s="271">
        <f>2560.78+1497</f>
        <v>4057.78</v>
      </c>
      <c r="H42" s="271"/>
      <c r="I42" s="271">
        <v>5</v>
      </c>
      <c r="J42" s="271"/>
      <c r="K42" s="271">
        <f>50+32</f>
        <v>82</v>
      </c>
      <c r="L42" s="271"/>
      <c r="M42" s="271">
        <v>10</v>
      </c>
      <c r="N42" s="271"/>
      <c r="O42" s="314" t="str">
        <f>"£" &amp; ROUND(O5+O31+O23+O39+O40+O4,2) &amp; " / " &amp; "£" &amp; E42</f>
        <v>£8661.32 / £11855.2</v>
      </c>
      <c r="P42" s="274"/>
      <c r="Q42" s="282">
        <f>SUM(Q31,Q23,Q5)</f>
        <v>0.37999999999999545</v>
      </c>
    </row>
    <row r="43" spans="2:18">
      <c r="B43" s="118"/>
      <c r="C43" s="7"/>
      <c r="E43" s="365"/>
      <c r="F43" s="365"/>
      <c r="G43" s="365"/>
      <c r="H43" s="365"/>
    </row>
    <row r="44" spans="2:18" ht="14.4">
      <c r="B44" s="729"/>
      <c r="C44" s="729"/>
      <c r="D44" s="729"/>
      <c r="E44" s="729"/>
      <c r="F44" s="729"/>
      <c r="G44" s="729"/>
      <c r="H44" s="297"/>
      <c r="K44" s="729"/>
      <c r="L44" s="729"/>
      <c r="M44" s="729"/>
      <c r="N44" s="729"/>
      <c r="O44" s="729"/>
      <c r="P44" s="297"/>
    </row>
    <row r="45" spans="2:18" ht="15" customHeight="1">
      <c r="B45" s="726" t="s">
        <v>955</v>
      </c>
      <c r="C45" s="726"/>
      <c r="D45" s="726"/>
      <c r="E45" s="726"/>
      <c r="F45" s="79"/>
      <c r="K45" s="212"/>
      <c r="L45" s="212"/>
      <c r="M45" s="118" t="s">
        <v>991</v>
      </c>
      <c r="N45" s="316">
        <v>44095</v>
      </c>
      <c r="O45" s="7">
        <f ca="1">DATEDIF(N45,NOW(),"d")</f>
        <v>2156</v>
      </c>
      <c r="P45" s="7" t="s">
        <v>1004</v>
      </c>
    </row>
    <row r="46" spans="2:18">
      <c r="B46" s="365"/>
      <c r="C46" s="38"/>
      <c r="E46" s="11"/>
      <c r="F46" s="11"/>
      <c r="H46">
        <f>648.04+147+0.1</f>
        <v>795.14</v>
      </c>
      <c r="K46" s="214"/>
      <c r="L46" s="214"/>
      <c r="M46" s="322" t="s">
        <v>992</v>
      </c>
      <c r="N46" s="42">
        <v>44095</v>
      </c>
      <c r="O46" s="7">
        <f ca="1">DATEDIF(N46,NOW(),"d")</f>
        <v>2156</v>
      </c>
      <c r="P46" s="7" t="s">
        <v>1005</v>
      </c>
    </row>
    <row r="47" spans="2:18" ht="14.4">
      <c r="E47" s="11"/>
      <c r="F47" s="11"/>
      <c r="H47" s="11">
        <f>H46-4.99</f>
        <v>790.15</v>
      </c>
      <c r="I47" t="s">
        <v>1006</v>
      </c>
      <c r="M47" t="s">
        <v>993</v>
      </c>
      <c r="N47">
        <v>0</v>
      </c>
      <c r="O47"/>
    </row>
    <row r="48" spans="2:18" ht="16.2" customHeight="1">
      <c r="E48" s="214"/>
      <c r="F48" s="214"/>
      <c r="H48" s="214">
        <f>H47-6.3</f>
        <v>783.85</v>
      </c>
      <c r="I48" t="s">
        <v>1007</v>
      </c>
      <c r="J48" s="332"/>
      <c r="K48" s="332"/>
      <c r="L48" s="332"/>
      <c r="M48" s="332"/>
      <c r="N48" s="212"/>
      <c r="O48" s="212"/>
      <c r="P48" s="212"/>
    </row>
    <row r="49" spans="2:17">
      <c r="B49" s="378"/>
      <c r="E49"/>
      <c r="F49" s="214"/>
      <c r="H49" s="214">
        <f>H48-20</f>
        <v>763.85</v>
      </c>
      <c r="I49" t="s">
        <v>1008</v>
      </c>
      <c r="J49" s="11"/>
      <c r="K49" s="56"/>
      <c r="L49" s="56"/>
      <c r="M49" s="365"/>
      <c r="N49" s="56"/>
      <c r="O49" s="56"/>
      <c r="P49" s="56"/>
    </row>
    <row r="50" spans="2:17">
      <c r="E50"/>
      <c r="F50" s="38"/>
      <c r="H50" s="38">
        <f>H49-40.92</f>
        <v>722.93000000000006</v>
      </c>
      <c r="I50" t="s">
        <v>1009</v>
      </c>
      <c r="J50" s="11"/>
      <c r="M50" s="365"/>
      <c r="N50" s="56"/>
      <c r="O50"/>
      <c r="P50"/>
    </row>
    <row r="51" spans="2:17">
      <c r="E51"/>
      <c r="F51" s="38"/>
      <c r="H51" s="38">
        <f>H50-23.48</f>
        <v>699.45</v>
      </c>
      <c r="I51" t="s">
        <v>1010</v>
      </c>
      <c r="J51" s="11"/>
      <c r="M51" s="365"/>
      <c r="N51" s="56"/>
      <c r="O51" s="212"/>
      <c r="P51" s="212"/>
      <c r="Q51" s="212"/>
    </row>
    <row r="52" spans="2:17">
      <c r="E52"/>
      <c r="F52" s="38"/>
      <c r="H52" s="38">
        <f>H51-10</f>
        <v>689.45</v>
      </c>
      <c r="I52" t="s">
        <v>1011</v>
      </c>
      <c r="J52" s="11"/>
      <c r="M52" s="365"/>
      <c r="N52" s="56"/>
      <c r="O52" s="56"/>
      <c r="P52" s="56"/>
      <c r="Q52" s="38"/>
    </row>
    <row r="53" spans="2:17" ht="14.4">
      <c r="E53"/>
      <c r="F53" s="38"/>
      <c r="H53" s="38">
        <f>H52-51.1</f>
        <v>638.35</v>
      </c>
      <c r="I53" t="s">
        <v>1012</v>
      </c>
      <c r="J53" s="11"/>
      <c r="N53" s="56"/>
    </row>
    <row r="54" spans="2:17">
      <c r="E54" s="365"/>
      <c r="F54" s="365"/>
      <c r="H54" s="280">
        <f>H53-60.99</f>
        <v>577.36</v>
      </c>
      <c r="I54" s="238" t="s">
        <v>1013</v>
      </c>
      <c r="J54" s="238" t="s">
        <v>1014</v>
      </c>
      <c r="M54" s="365"/>
      <c r="N54" s="764"/>
    </row>
    <row r="55" spans="2:17">
      <c r="E55" s="365"/>
      <c r="F55" s="365"/>
      <c r="H55" s="280">
        <f>H54-50.77</f>
        <v>526.59</v>
      </c>
      <c r="I55" s="238" t="s">
        <v>1015</v>
      </c>
      <c r="J55" s="238" t="s">
        <v>1014</v>
      </c>
      <c r="N55" s="765"/>
      <c r="O55" s="275"/>
      <c r="P55" s="275"/>
    </row>
    <row r="56" spans="2:17">
      <c r="B56" s="11"/>
      <c r="E56" s="365"/>
      <c r="F56" s="365"/>
      <c r="H56" s="280">
        <f>H55-30.08</f>
        <v>496.51000000000005</v>
      </c>
      <c r="I56" s="238" t="s">
        <v>1016</v>
      </c>
      <c r="J56" s="238" t="s">
        <v>1017</v>
      </c>
      <c r="N56" s="765"/>
    </row>
    <row r="57" spans="2:17" ht="14.4">
      <c r="B57" s="11"/>
      <c r="E57"/>
      <c r="F57"/>
      <c r="H57" s="38">
        <f>H56-242.3</f>
        <v>254.21000000000004</v>
      </c>
      <c r="I57" s="11" t="s">
        <v>1018</v>
      </c>
      <c r="J57" s="11" t="s">
        <v>1019</v>
      </c>
      <c r="L57" s="79"/>
      <c r="M57" s="726"/>
      <c r="N57" s="726"/>
      <c r="O57" s="726"/>
      <c r="P57" s="726"/>
    </row>
    <row r="58" spans="2:17">
      <c r="E58"/>
      <c r="F58"/>
      <c r="H58" s="280">
        <f>H57-32.85</f>
        <v>221.36000000000004</v>
      </c>
      <c r="I58" s="238" t="s">
        <v>1020</v>
      </c>
      <c r="J58" s="242" t="s">
        <v>1021</v>
      </c>
      <c r="N58" s="278"/>
      <c r="O58" s="212"/>
      <c r="P58" s="212"/>
    </row>
    <row r="59" spans="2:17">
      <c r="B59" s="212"/>
      <c r="C59" s="212"/>
      <c r="E59"/>
      <c r="F59"/>
      <c r="H59" s="280">
        <f>H58-9.5</f>
        <v>211.86000000000004</v>
      </c>
      <c r="I59" s="238" t="s">
        <v>1009</v>
      </c>
      <c r="J59" s="242" t="s">
        <v>1021</v>
      </c>
      <c r="N59" s="376"/>
      <c r="O59" s="214"/>
      <c r="P59" s="214"/>
    </row>
    <row r="60" spans="2:17">
      <c r="C60" s="56"/>
      <c r="D60" s="243"/>
      <c r="E60"/>
      <c r="F60"/>
      <c r="H60" s="280">
        <f>H59-16.12</f>
        <v>195.74000000000004</v>
      </c>
      <c r="I60" s="238" t="s">
        <v>1015</v>
      </c>
      <c r="J60" s="242" t="s">
        <v>1021</v>
      </c>
      <c r="N60" s="365"/>
      <c r="O60"/>
      <c r="P60"/>
    </row>
    <row r="61" spans="2:17">
      <c r="C61" s="56"/>
      <c r="E61"/>
      <c r="F61"/>
      <c r="H61" s="280">
        <f>H60-20</f>
        <v>175.74000000000004</v>
      </c>
      <c r="I61" s="238" t="s">
        <v>1008</v>
      </c>
      <c r="J61" s="242" t="s">
        <v>1022</v>
      </c>
      <c r="K61">
        <v>20</v>
      </c>
      <c r="N61" s="278"/>
      <c r="O61" s="212"/>
      <c r="P61" s="212"/>
    </row>
    <row r="62" spans="2:17">
      <c r="C62" s="56"/>
      <c r="D62" s="56"/>
      <c r="E62"/>
      <c r="F62"/>
      <c r="H62" s="280">
        <f>H61-40</f>
        <v>135.74000000000004</v>
      </c>
      <c r="I62" s="238" t="s">
        <v>1023</v>
      </c>
      <c r="J62" s="242" t="s">
        <v>1021</v>
      </c>
      <c r="K62">
        <v>40</v>
      </c>
      <c r="N62" s="365"/>
      <c r="O62" s="56"/>
      <c r="P62" s="56"/>
    </row>
    <row r="63" spans="2:17">
      <c r="C63" s="56"/>
      <c r="E63"/>
      <c r="F63"/>
      <c r="H63" s="280">
        <f>H62-20</f>
        <v>115.74000000000004</v>
      </c>
      <c r="I63" s="238" t="s">
        <v>1008</v>
      </c>
      <c r="J63" s="242" t="s">
        <v>1022</v>
      </c>
      <c r="K63">
        <v>20</v>
      </c>
      <c r="N63" s="365"/>
      <c r="O63"/>
      <c r="P63"/>
    </row>
    <row r="64" spans="2:17">
      <c r="C64" s="56"/>
      <c r="E64"/>
      <c r="F64"/>
      <c r="H64" s="280">
        <f>H63-20</f>
        <v>95.740000000000038</v>
      </c>
      <c r="I64" s="238" t="s">
        <v>1008</v>
      </c>
      <c r="J64" s="242" t="s">
        <v>1022</v>
      </c>
      <c r="K64">
        <v>20</v>
      </c>
      <c r="N64" s="278"/>
      <c r="O64" s="212"/>
      <c r="P64" s="212"/>
    </row>
    <row r="65" spans="2:16">
      <c r="C65" s="56"/>
      <c r="E65"/>
      <c r="F65"/>
      <c r="H65" s="280">
        <f>H64-43.9</f>
        <v>51.840000000000039</v>
      </c>
      <c r="I65" s="238" t="s">
        <v>1020</v>
      </c>
      <c r="J65" s="242" t="s">
        <v>1021</v>
      </c>
      <c r="K65">
        <f>43.9-14.92</f>
        <v>28.979999999999997</v>
      </c>
      <c r="N65" s="365"/>
      <c r="O65" s="38"/>
      <c r="P65" s="56"/>
    </row>
    <row r="66" spans="2:16" ht="14.4">
      <c r="C66" s="56"/>
      <c r="E66"/>
      <c r="F66"/>
      <c r="H66" s="280">
        <f>H65-43.09</f>
        <v>8.7500000000000355</v>
      </c>
      <c r="I66" s="238" t="s">
        <v>1009</v>
      </c>
      <c r="J66" s="242" t="s">
        <v>1021</v>
      </c>
      <c r="K66">
        <v>43.09</v>
      </c>
      <c r="O66"/>
    </row>
    <row r="67" spans="2:16" ht="14.4">
      <c r="C67" s="56"/>
      <c r="E67"/>
      <c r="F67"/>
      <c r="H67" s="38">
        <f>H66-8.75</f>
        <v>3.5527136788005009E-14</v>
      </c>
      <c r="I67" s="11" t="s">
        <v>1024</v>
      </c>
      <c r="J67" t="s">
        <v>1014</v>
      </c>
    </row>
    <row r="68" spans="2:16" ht="14.4">
      <c r="C68" s="56"/>
      <c r="E68"/>
      <c r="F68"/>
    </row>
    <row r="69" spans="2:16" ht="14.4">
      <c r="C69" s="56"/>
      <c r="E69"/>
      <c r="F69"/>
    </row>
    <row r="70" spans="2:16" ht="14.4">
      <c r="C70" s="56"/>
      <c r="E70"/>
      <c r="F70"/>
    </row>
    <row r="71" spans="2:16">
      <c r="E71" s="365"/>
      <c r="F71" s="365"/>
    </row>
    <row r="72" spans="2:16" ht="14.4">
      <c r="B72" s="212"/>
      <c r="C72" s="294"/>
      <c r="D72" s="212"/>
      <c r="E72" s="212"/>
      <c r="F72" s="212"/>
      <c r="G72" s="212"/>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5">
    <mergeCell ref="B4:E4"/>
    <mergeCell ref="B1:O1"/>
    <mergeCell ref="G3:H3"/>
    <mergeCell ref="I3:J3"/>
    <mergeCell ref="K3:L3"/>
    <mergeCell ref="M3:N3"/>
    <mergeCell ref="B42:D42"/>
    <mergeCell ref="B5:C5"/>
    <mergeCell ref="D5:E5"/>
    <mergeCell ref="B6:B20"/>
    <mergeCell ref="C6:C20"/>
    <mergeCell ref="B22:E22"/>
    <mergeCell ref="B23:C23"/>
    <mergeCell ref="D23:E23"/>
    <mergeCell ref="B30:E30"/>
    <mergeCell ref="B31:C31"/>
    <mergeCell ref="D31:E31"/>
    <mergeCell ref="B32:B39"/>
    <mergeCell ref="C32:C39"/>
    <mergeCell ref="M57:P57"/>
    <mergeCell ref="B44:G44"/>
    <mergeCell ref="K44:O44"/>
    <mergeCell ref="B45:C45"/>
    <mergeCell ref="D45:E45"/>
    <mergeCell ref="N54:N56"/>
  </mergeCells>
  <pageMargins left="0.7" right="0.7" top="0.75" bottom="0.75" header="0.3" footer="0.3"/>
  <pageSetup orientation="portrait" r:id="rId1"/>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9C5BF-9068-604F-A2A1-06EB59E550C0}">
  <dimension ref="A1:U96"/>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AUG-SEP 2020</v>
      </c>
      <c r="B1" s="730" t="str">
        <f ca="1">MID(CELL("filename",B1),FIND("]",CELL("filename",B1))+1,255)</f>
        <v>SEP-OCT 2020</v>
      </c>
      <c r="C1" s="731"/>
      <c r="D1" s="731"/>
      <c r="E1" s="731"/>
      <c r="F1" s="731"/>
      <c r="G1" s="731"/>
      <c r="H1" s="731"/>
      <c r="I1" s="731"/>
      <c r="J1" s="731"/>
      <c r="K1" s="731"/>
      <c r="L1" s="731"/>
      <c r="M1" s="731"/>
      <c r="N1" s="731"/>
      <c r="O1" s="731"/>
      <c r="P1" s="298"/>
      <c r="Q1" s="281"/>
      <c r="R1" s="272"/>
      <c r="S1" s="272"/>
      <c r="T1" s="272"/>
    </row>
    <row r="2" spans="1:21">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44099</v>
      </c>
      <c r="H3" s="732"/>
      <c r="I3" s="732">
        <f>G3+7</f>
        <v>44106</v>
      </c>
      <c r="J3" s="732"/>
      <c r="K3" s="732">
        <f>I3+7</f>
        <v>44113</v>
      </c>
      <c r="L3" s="732"/>
      <c r="M3" s="732">
        <f>K3+7</f>
        <v>44120</v>
      </c>
      <c r="N3" s="732"/>
      <c r="O3" s="325" t="str">
        <f>0 &amp; " / " &amp; ROUND(0-O4,2)</f>
        <v>0 / 0</v>
      </c>
      <c r="P3" s="325" t="s">
        <v>994</v>
      </c>
      <c r="Q3" s="282"/>
    </row>
    <row r="4" spans="1:21" ht="15" customHeight="1">
      <c r="B4" s="727" t="str">
        <f>_xlfn.CONCAT("Expenses - 50 - ",G43*0.5," / Actual = ",D5," (",ROUND((D5/G43)*100,2),")")</f>
        <v>Expenses - 50 - 1885.42 / Actual = 1751.56 (46.45)</v>
      </c>
      <c r="C4" s="727"/>
      <c r="D4" s="727"/>
      <c r="E4" s="727"/>
      <c r="F4" s="318"/>
      <c r="H4" s="243">
        <f>SUM(H5:H41)</f>
        <v>265.82000000000005</v>
      </c>
      <c r="J4" s="243">
        <f>SUM(J5:J41)</f>
        <v>558.11</v>
      </c>
      <c r="L4" s="243">
        <f>SUM(L5:L41)</f>
        <v>437.63</v>
      </c>
      <c r="N4" s="243">
        <f>SUM(N5:N41)</f>
        <v>77.39</v>
      </c>
      <c r="O4" s="308">
        <f>IF(H42&lt;&gt;"PAID",H4,0)+IF(J42&lt;&gt;"PAID",J4,0)+IF(L42&lt;&gt;"PAID",L4,0)+IF(N42&lt;&gt;"PAID",N4,0)</f>
        <v>0</v>
      </c>
      <c r="P4" s="309" t="s">
        <v>973</v>
      </c>
      <c r="Q4" s="282"/>
      <c r="R4" s="243"/>
    </row>
    <row r="5" spans="1:21" ht="15" customHeight="1">
      <c r="B5" s="733" t="str">
        <f>IF(D5&gt;E$43*0.5,ROUND(D5-E$43*0.5,2) &amp; " Over",ROUND(E$43*0.5-D5,2) &amp; " Under")</f>
        <v>4998.96 Under</v>
      </c>
      <c r="C5" s="733"/>
      <c r="D5" s="761">
        <f>SUM(F6:F20)</f>
        <v>1751.56</v>
      </c>
      <c r="E5" s="761"/>
      <c r="F5" s="321"/>
      <c r="G5" s="284"/>
      <c r="H5" s="306"/>
      <c r="I5" s="79"/>
      <c r="J5" s="306"/>
      <c r="K5" s="79"/>
      <c r="L5" s="306"/>
      <c r="M5" s="79"/>
      <c r="N5" s="305"/>
      <c r="O5" s="285">
        <f>SUMIF(O6:O20,"&gt;0")</f>
        <v>43.809999999999988</v>
      </c>
      <c r="P5" s="285" t="s">
        <v>892</v>
      </c>
      <c r="Q5" s="282">
        <f>SUM(Q6:Q20)</f>
        <v>5.460000000000008</v>
      </c>
    </row>
    <row r="6" spans="1:21" ht="15" customHeight="1">
      <c r="B6" s="734" t="str">
        <f>"50%: " &amp; E$43*0.5</f>
        <v>50%: 6750.52</v>
      </c>
      <c r="C6" s="734" t="str">
        <f>ROUND((D5/E$43)*100,2) &amp; "%: " &amp;D5</f>
        <v>12.97%: 1751.56</v>
      </c>
      <c r="D6" s="13" t="s">
        <v>805</v>
      </c>
      <c r="E6" s="365">
        <v>0</v>
      </c>
      <c r="F6" s="374">
        <f>150-40-7.1</f>
        <v>102.9</v>
      </c>
      <c r="H6" s="305">
        <f>20.07</f>
        <v>20.07</v>
      </c>
      <c r="I6">
        <f>8.9+20.01</f>
        <v>28.910000000000004</v>
      </c>
      <c r="J6" s="305"/>
      <c r="K6">
        <f>8.9</f>
        <v>8.9</v>
      </c>
      <c r="L6" s="305">
        <v>45.02</v>
      </c>
      <c r="N6" s="305"/>
      <c r="O6" s="274">
        <f>SUM(E6:F6)-SUM(G6:N6)</f>
        <v>0</v>
      </c>
      <c r="P6" s="274" t="str">
        <f t="shared" ref="P6:P20" si="0">D6</f>
        <v>Car Petrol / commuting</v>
      </c>
      <c r="Q6" s="282">
        <f t="shared" ref="Q6:Q20" si="1">IF(O6&lt;0,O6*-1,0)</f>
        <v>0</v>
      </c>
    </row>
    <row r="7" spans="1:21" ht="15" customHeight="1">
      <c r="B7" s="734"/>
      <c r="C7" s="734"/>
      <c r="D7" s="13" t="s">
        <v>169</v>
      </c>
      <c r="E7" s="365">
        <v>0</v>
      </c>
      <c r="F7" s="365">
        <v>308</v>
      </c>
      <c r="G7">
        <f>10+3.3</f>
        <v>13.3</v>
      </c>
      <c r="H7" s="305">
        <f>6.68+16.76+36.35</f>
        <v>59.790000000000006</v>
      </c>
      <c r="I7">
        <f>4.45+1.38+6.72+10.36</f>
        <v>22.91</v>
      </c>
      <c r="J7" s="305">
        <f>49.58+3.9+13.7</f>
        <v>67.179999999999993</v>
      </c>
      <c r="K7">
        <f>0.65</f>
        <v>0.65</v>
      </c>
      <c r="L7" s="305">
        <f>20.63+2.4+16.21+30.22</f>
        <v>69.459999999999994</v>
      </c>
      <c r="N7" s="305">
        <f>8.42+9.25+36.63+23.09</f>
        <v>77.39</v>
      </c>
      <c r="O7" s="274">
        <f t="shared" ref="O7:O20" si="2">SUM(E7:F7)-SUM(G7:N7)</f>
        <v>-2.6800000000000068</v>
      </c>
      <c r="P7" s="274" t="str">
        <f t="shared" si="0"/>
        <v>Food</v>
      </c>
      <c r="Q7" s="282">
        <f t="shared" si="1"/>
        <v>2.6800000000000068</v>
      </c>
    </row>
    <row r="8" spans="1:21" ht="15" customHeight="1">
      <c r="B8" s="734"/>
      <c r="C8" s="734"/>
      <c r="D8" s="13" t="s">
        <v>919</v>
      </c>
      <c r="E8" s="365">
        <v>0</v>
      </c>
      <c r="F8" s="365">
        <f>40-27.54</f>
        <v>12.46</v>
      </c>
      <c r="H8" s="305"/>
      <c r="J8" s="305">
        <f>12.46</f>
        <v>12.46</v>
      </c>
      <c r="L8" s="305"/>
      <c r="N8" s="305"/>
      <c r="O8" s="274">
        <f t="shared" si="2"/>
        <v>0</v>
      </c>
      <c r="P8" s="274" t="str">
        <f t="shared" si="0"/>
        <v>Bun</v>
      </c>
      <c r="Q8" s="282">
        <f t="shared" si="1"/>
        <v>0</v>
      </c>
    </row>
    <row r="9" spans="1:21" ht="15" customHeight="1" outlineLevel="1">
      <c r="B9" s="734"/>
      <c r="C9" s="734"/>
      <c r="D9" s="201" t="s">
        <v>595</v>
      </c>
      <c r="E9" s="365">
        <v>0</v>
      </c>
      <c r="F9" s="365">
        <f>452.64</f>
        <v>452.64</v>
      </c>
      <c r="H9" s="305"/>
      <c r="J9" s="305"/>
      <c r="L9" s="305"/>
      <c r="M9">
        <v>452.64</v>
      </c>
      <c r="N9" s="305"/>
      <c r="O9" s="274">
        <f t="shared" si="2"/>
        <v>0</v>
      </c>
      <c r="P9" s="274" t="str">
        <f t="shared" si="0"/>
        <v>Mortgage</v>
      </c>
      <c r="Q9" s="282">
        <f t="shared" si="1"/>
        <v>0</v>
      </c>
    </row>
    <row r="10" spans="1:21" ht="15" customHeight="1" outlineLevel="1">
      <c r="B10" s="734"/>
      <c r="C10" s="734"/>
      <c r="D10" s="201" t="s">
        <v>596</v>
      </c>
      <c r="E10" s="365">
        <v>0</v>
      </c>
      <c r="F10" s="365">
        <v>129</v>
      </c>
      <c r="H10" s="305"/>
      <c r="J10" s="305"/>
      <c r="K10">
        <v>129</v>
      </c>
      <c r="L10" s="305"/>
      <c r="N10" s="305"/>
      <c r="O10" s="274">
        <f t="shared" si="2"/>
        <v>0</v>
      </c>
      <c r="P10" s="274" t="str">
        <f t="shared" si="0"/>
        <v>Council tax</v>
      </c>
      <c r="Q10" s="282">
        <f t="shared" si="1"/>
        <v>0</v>
      </c>
    </row>
    <row r="11" spans="1:21" ht="15" customHeight="1" outlineLevel="1">
      <c r="B11" s="734"/>
      <c r="C11" s="734"/>
      <c r="D11" s="201" t="s">
        <v>1002</v>
      </c>
      <c r="E11" s="365">
        <v>0</v>
      </c>
      <c r="F11" s="365">
        <f>23+75+1</f>
        <v>99</v>
      </c>
      <c r="H11" s="305"/>
      <c r="I11">
        <v>1</v>
      </c>
      <c r="J11" s="305"/>
      <c r="L11" s="305"/>
      <c r="M11">
        <f>23+73.48</f>
        <v>96.48</v>
      </c>
      <c r="N11" s="305"/>
      <c r="O11" s="274">
        <f t="shared" si="2"/>
        <v>1.519999999999996</v>
      </c>
      <c r="P11" s="274" t="str">
        <f t="shared" si="0"/>
        <v>Utilities (G,W,E,HTB)</v>
      </c>
      <c r="Q11" s="282">
        <f t="shared" si="1"/>
        <v>0</v>
      </c>
    </row>
    <row r="12" spans="1:21" ht="15" customHeight="1" outlineLevel="1">
      <c r="B12" s="734"/>
      <c r="C12" s="734"/>
      <c r="D12" s="201" t="s">
        <v>996</v>
      </c>
      <c r="E12" s="365">
        <v>0</v>
      </c>
      <c r="F12" s="365">
        <f>20.78</f>
        <v>20.78</v>
      </c>
      <c r="H12" s="305"/>
      <c r="J12" s="305"/>
      <c r="L12" s="305"/>
      <c r="M12">
        <v>20.78</v>
      </c>
      <c r="N12" s="305"/>
      <c r="O12" s="274">
        <f t="shared" si="2"/>
        <v>0</v>
      </c>
      <c r="P12" s="274" t="str">
        <f t="shared" si="0"/>
        <v>Home Insurance</v>
      </c>
      <c r="Q12" s="282"/>
    </row>
    <row r="13" spans="1:21" ht="15" customHeight="1" outlineLevel="1">
      <c r="B13" s="734"/>
      <c r="C13" s="734"/>
      <c r="D13" s="201" t="s">
        <v>359</v>
      </c>
      <c r="E13" s="365">
        <v>15</v>
      </c>
      <c r="F13" s="365">
        <f>15</f>
        <v>15</v>
      </c>
      <c r="H13" s="305"/>
      <c r="J13" s="305"/>
      <c r="L13" s="305"/>
      <c r="N13" s="305"/>
      <c r="O13" s="274">
        <f t="shared" si="2"/>
        <v>30</v>
      </c>
      <c r="P13" s="274" t="str">
        <f t="shared" si="0"/>
        <v>TV License</v>
      </c>
      <c r="Q13" s="282"/>
    </row>
    <row r="14" spans="1:21" ht="15" customHeight="1" outlineLevel="1">
      <c r="B14" s="734"/>
      <c r="C14" s="734"/>
      <c r="D14" s="201" t="s">
        <v>1003</v>
      </c>
      <c r="E14" s="365">
        <v>8.0000000000000036</v>
      </c>
      <c r="F14" s="365">
        <f>4.52+15.97+8.56</f>
        <v>29.050000000000004</v>
      </c>
      <c r="H14" s="305"/>
      <c r="I14">
        <v>29.05</v>
      </c>
      <c r="J14" s="305"/>
      <c r="K14">
        <v>8</v>
      </c>
      <c r="L14" s="305"/>
      <c r="N14" s="305"/>
      <c r="O14" s="274">
        <f t="shared" si="2"/>
        <v>0</v>
      </c>
      <c r="P14" s="274" t="str">
        <f t="shared" si="0"/>
        <v>Other Insurances</v>
      </c>
      <c r="Q14" s="282">
        <f t="shared" si="1"/>
        <v>0</v>
      </c>
    </row>
    <row r="15" spans="1:21" ht="15" customHeight="1" outlineLevel="1">
      <c r="B15" s="734"/>
      <c r="C15" s="734"/>
      <c r="D15" s="201" t="s">
        <v>602</v>
      </c>
      <c r="E15" s="365">
        <v>0</v>
      </c>
      <c r="F15" s="365">
        <v>39.99</v>
      </c>
      <c r="H15" s="305"/>
      <c r="J15" s="305"/>
      <c r="K15">
        <v>42.77</v>
      </c>
      <c r="L15" s="305"/>
      <c r="N15" s="305"/>
      <c r="O15" s="274">
        <f t="shared" si="2"/>
        <v>-2.7800000000000011</v>
      </c>
      <c r="P15" s="274" t="str">
        <f t="shared" si="0"/>
        <v>Broadband / TV</v>
      </c>
      <c r="Q15" s="282">
        <f t="shared" si="1"/>
        <v>2.7800000000000011</v>
      </c>
    </row>
    <row r="16" spans="1:21" ht="15" customHeight="1" outlineLevel="1">
      <c r="B16" s="734"/>
      <c r="C16" s="734"/>
      <c r="D16" s="201" t="s">
        <v>582</v>
      </c>
      <c r="E16" s="365">
        <v>0</v>
      </c>
      <c r="F16" s="365">
        <v>7.99</v>
      </c>
      <c r="H16" s="305"/>
      <c r="I16">
        <f>7.99</f>
        <v>7.99</v>
      </c>
      <c r="J16" s="305"/>
      <c r="L16" s="305"/>
      <c r="N16" s="305"/>
      <c r="O16" s="274">
        <f t="shared" si="2"/>
        <v>0</v>
      </c>
      <c r="P16" s="274" t="str">
        <f t="shared" si="0"/>
        <v>Onedrive (6th)</v>
      </c>
      <c r="Q16" s="282">
        <f t="shared" si="1"/>
        <v>0</v>
      </c>
    </row>
    <row r="17" spans="2:19" ht="15" customHeight="1" outlineLevel="1">
      <c r="B17" s="734"/>
      <c r="C17" s="734"/>
      <c r="D17" s="201" t="s">
        <v>788</v>
      </c>
      <c r="E17" s="365">
        <v>0</v>
      </c>
      <c r="F17" s="365">
        <v>10.44</v>
      </c>
      <c r="H17" s="305"/>
      <c r="I17">
        <f>10.44</f>
        <v>10.44</v>
      </c>
      <c r="J17" s="305"/>
      <c r="L17" s="305"/>
      <c r="N17" s="305"/>
      <c r="O17" s="274">
        <f t="shared" si="2"/>
        <v>0</v>
      </c>
      <c r="P17" s="274" t="str">
        <f t="shared" si="0"/>
        <v>Matt Phone</v>
      </c>
      <c r="Q17" s="282">
        <f t="shared" si="1"/>
        <v>0</v>
      </c>
    </row>
    <row r="18" spans="2:19" ht="15" customHeight="1" outlineLevel="1">
      <c r="B18" s="734"/>
      <c r="C18" s="734"/>
      <c r="D18" s="201" t="s">
        <v>985</v>
      </c>
      <c r="E18" s="365">
        <v>0</v>
      </c>
      <c r="F18" s="365">
        <f>28.43+12.25+65.87+93.72</f>
        <v>200.27</v>
      </c>
      <c r="G18">
        <f>65.87+93.68</f>
        <v>159.55000000000001</v>
      </c>
      <c r="H18" s="305"/>
      <c r="I18">
        <f>28.43</f>
        <v>28.43</v>
      </c>
      <c r="J18" s="305"/>
      <c r="L18" s="305"/>
      <c r="N18" s="305"/>
      <c r="O18" s="274">
        <f t="shared" si="2"/>
        <v>12.289999999999992</v>
      </c>
      <c r="P18" s="274" t="str">
        <f t="shared" si="0"/>
        <v>Car Tax / Insurance</v>
      </c>
      <c r="Q18" s="282">
        <f t="shared" si="1"/>
        <v>0</v>
      </c>
    </row>
    <row r="19" spans="2:19" ht="15" customHeight="1" outlineLevel="1">
      <c r="B19" s="734"/>
      <c r="C19" s="734"/>
      <c r="D19" s="201" t="s">
        <v>944</v>
      </c>
      <c r="E19" s="365">
        <v>0</v>
      </c>
      <c r="F19" s="365">
        <v>15</v>
      </c>
      <c r="H19" s="305"/>
      <c r="I19">
        <v>15</v>
      </c>
      <c r="J19" s="305"/>
      <c r="L19" s="305"/>
      <c r="N19" s="305"/>
      <c r="O19" s="274">
        <f t="shared" si="2"/>
        <v>0</v>
      </c>
      <c r="P19" s="274" t="str">
        <f t="shared" si="0"/>
        <v>Windows</v>
      </c>
      <c r="Q19" s="282">
        <f t="shared" si="1"/>
        <v>0</v>
      </c>
    </row>
    <row r="20" spans="2:19" ht="15" customHeight="1" outlineLevel="1">
      <c r="B20" s="734"/>
      <c r="C20" s="734"/>
      <c r="D20" s="293" t="s">
        <v>920</v>
      </c>
      <c r="E20" s="365">
        <v>0</v>
      </c>
      <c r="F20" s="277">
        <f>179.07+129.97</f>
        <v>309.03999999999996</v>
      </c>
      <c r="H20" s="305"/>
      <c r="I20">
        <v>129.97</v>
      </c>
      <c r="J20" s="305"/>
      <c r="K20">
        <v>179.07</v>
      </c>
      <c r="L20" s="305"/>
      <c r="N20" s="305"/>
      <c r="O20" s="274">
        <f t="shared" si="2"/>
        <v>0</v>
      </c>
      <c r="P20" s="274" t="str">
        <f t="shared" si="0"/>
        <v>Finance</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",G43*0.2," / Actual = ",D23," (",ROUND((D23/G43)*100,2),")")</f>
        <v>Savings - 20 - 754.168 / Actual = 323.59 (8.58)</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323.59000000000003</v>
      </c>
      <c r="E23" s="759"/>
      <c r="F23" s="319"/>
      <c r="H23" s="305"/>
      <c r="J23" s="305"/>
      <c r="L23" s="305"/>
      <c r="N23" s="305"/>
      <c r="O23" s="285">
        <f>SUMIF(O24:O28,"&gt;0")</f>
        <v>1834.72</v>
      </c>
      <c r="P23" s="285" t="s">
        <v>895</v>
      </c>
      <c r="Q23" s="282">
        <f>SUM(Q25:Q25)</f>
        <v>0</v>
      </c>
    </row>
    <row r="24" spans="2:19" ht="15" customHeight="1" outlineLevel="1">
      <c r="B24" s="7" t="str">
        <f>"20% : " &amp; E$43*0.2</f>
        <v>20% : 2700.208</v>
      </c>
      <c r="C24" s="7" t="str">
        <f>"20% : " &amp; E$43*0.2</f>
        <v>20% : 2700.208</v>
      </c>
      <c r="D24" s="300" t="s">
        <v>590</v>
      </c>
      <c r="E24" s="365">
        <v>0.18000000000000682</v>
      </c>
      <c r="F24" s="365">
        <v>50</v>
      </c>
      <c r="H24" s="305"/>
      <c r="J24" s="305"/>
      <c r="L24" s="315">
        <v>10</v>
      </c>
      <c r="N24" s="305"/>
      <c r="O24" s="274">
        <f>SUM(E24:F24)-SUM(G24:N24)-Q43</f>
        <v>34.72</v>
      </c>
      <c r="P24" s="274" t="str">
        <f t="shared" ref="P24:P28" si="3">D24</f>
        <v>Contingency</v>
      </c>
      <c r="Q24" s="282">
        <f>SUM(Q25:Q29)</f>
        <v>0</v>
      </c>
    </row>
    <row r="25" spans="2:19" ht="15" customHeight="1" outlineLevel="1">
      <c r="B25" s="7"/>
      <c r="C25" s="7"/>
      <c r="D25" s="300" t="s">
        <v>998</v>
      </c>
      <c r="E25" s="365">
        <v>216.69</v>
      </c>
      <c r="F25" s="365">
        <v>73.59</v>
      </c>
      <c r="G25" s="11"/>
      <c r="H25" s="306"/>
      <c r="I25">
        <f>72.48</f>
        <v>72.48</v>
      </c>
      <c r="J25" s="305"/>
      <c r="L25" s="305"/>
      <c r="M25">
        <v>217.8</v>
      </c>
      <c r="N25" s="305"/>
      <c r="O25" s="274">
        <f>SUM(E25:F25)-SUM(G25:N25)</f>
        <v>0</v>
      </c>
      <c r="P25" s="274" t="str">
        <f t="shared" si="3"/>
        <v>Cars (Service / MOT)</v>
      </c>
      <c r="Q25" s="282">
        <f t="shared" ref="Q25:Q28" si="4">IF(O25&lt;0,O25*-1,0)</f>
        <v>0</v>
      </c>
    </row>
    <row r="26" spans="2:19" ht="15" customHeight="1" outlineLevel="1">
      <c r="B26" s="7"/>
      <c r="C26" s="7"/>
      <c r="D26" s="300" t="s">
        <v>999</v>
      </c>
      <c r="E26" s="365">
        <v>0</v>
      </c>
      <c r="F26" s="365">
        <v>0</v>
      </c>
      <c r="G26" s="11"/>
      <c r="H26" s="306"/>
      <c r="J26" s="305"/>
      <c r="L26" s="305"/>
      <c r="N26" s="305"/>
      <c r="O26" s="274">
        <f t="shared" ref="O26:O28" si="5">SUM(E26:F26)-SUM(G26:N26)</f>
        <v>0</v>
      </c>
      <c r="P26" s="274" t="str">
        <f t="shared" si="3"/>
        <v>Mortgage Overpayment</v>
      </c>
      <c r="Q26" s="282">
        <f t="shared" si="4"/>
        <v>0</v>
      </c>
    </row>
    <row r="27" spans="2:19" ht="15" customHeight="1" outlineLevel="1">
      <c r="B27" s="7"/>
      <c r="C27" s="7"/>
      <c r="D27" s="300" t="s">
        <v>1000</v>
      </c>
      <c r="E27" s="365">
        <v>1600</v>
      </c>
      <c r="F27" s="365">
        <v>200</v>
      </c>
      <c r="G27" s="11"/>
      <c r="H27" s="306"/>
      <c r="J27" s="305"/>
      <c r="L27" s="305"/>
      <c r="N27" s="305"/>
      <c r="O27" s="274">
        <f t="shared" si="5"/>
        <v>1800</v>
      </c>
      <c r="P27" s="274" t="str">
        <f t="shared" si="3"/>
        <v>Finance Overpayment</v>
      </c>
      <c r="Q27" s="282">
        <f t="shared" si="4"/>
        <v>0</v>
      </c>
    </row>
    <row r="28" spans="2:19" ht="15" customHeight="1" outlineLevel="1">
      <c r="B28" s="7"/>
      <c r="C28" s="7"/>
      <c r="D28" s="300" t="s">
        <v>1001</v>
      </c>
      <c r="E28" s="365">
        <v>789.84</v>
      </c>
      <c r="F28" s="365">
        <v>0</v>
      </c>
      <c r="G28" s="11">
        <v>789.84</v>
      </c>
      <c r="H28" s="306"/>
      <c r="J28" s="305"/>
      <c r="L28" s="305"/>
      <c r="N28" s="305"/>
      <c r="O28" s="274">
        <f t="shared" si="5"/>
        <v>0</v>
      </c>
      <c r="P28" s="274" t="str">
        <f t="shared" si="3"/>
        <v>CC Overpayment</v>
      </c>
      <c r="Q28" s="282">
        <f t="shared" si="4"/>
        <v>0</v>
      </c>
    </row>
    <row r="29" spans="2:19" ht="15" customHeight="1">
      <c r="B29" s="118"/>
      <c r="C29" s="118"/>
      <c r="E29" s="365"/>
      <c r="F29" s="365"/>
      <c r="H29" s="305"/>
      <c r="J29" s="305"/>
      <c r="L29" s="305"/>
      <c r="N29" s="305"/>
      <c r="O29" s="273"/>
      <c r="P29" s="273"/>
      <c r="Q29" s="282"/>
    </row>
    <row r="30" spans="2:19" ht="15" customHeight="1">
      <c r="B30" s="727" t="str">
        <f>_xlfn.CONCAT("Wants - 30 - ",G43*0.3," / Actual = ",D31," (",ROUND((D31/G43)*100,2),")")</f>
        <v>Wants - 30 - 1131.252 / Actual = 1974.73 (52.37)</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(E$43-D5-D23-E42)</f>
        <v>1974.7300000000014</v>
      </c>
      <c r="E31" s="727"/>
      <c r="F31" s="319">
        <f>SUM(F32:F39)</f>
        <v>1944.7300000000014</v>
      </c>
      <c r="H31" s="305"/>
      <c r="J31" s="305"/>
      <c r="L31" s="305"/>
      <c r="N31" s="305"/>
      <c r="O31" s="285">
        <f>SUMIF(O32:O38,"&gt;0")</f>
        <v>7930.5599999999995</v>
      </c>
      <c r="P31" s="285" t="s">
        <v>899</v>
      </c>
      <c r="Q31" s="282">
        <f>SUM(Q32:Q39)</f>
        <v>0</v>
      </c>
    </row>
    <row r="32" spans="2:19" ht="15" customHeight="1" outlineLevel="1">
      <c r="B32" s="734"/>
      <c r="C32" s="760"/>
      <c r="D32" s="300" t="s">
        <v>354</v>
      </c>
      <c r="E32" s="365">
        <v>971.45999999999992</v>
      </c>
      <c r="F32" s="365">
        <v>28.54</v>
      </c>
      <c r="H32" s="305"/>
      <c r="J32" s="305"/>
      <c r="L32" s="305"/>
      <c r="N32" s="305"/>
      <c r="O32" s="274">
        <f t="shared" ref="O32:O35" si="6">SUM(E32:F32)-SUM(G32:N32)</f>
        <v>999.99999999999989</v>
      </c>
      <c r="P32" s="274" t="str">
        <f t="shared" ref="P32:P41" si="7">D32</f>
        <v>Holiday</v>
      </c>
      <c r="Q32" s="282">
        <f t="shared" ref="Q32:Q37" si="8">IF(O32&lt;0,O32*-1,0)</f>
        <v>0</v>
      </c>
      <c r="R32" s="11">
        <f>1500-O32</f>
        <v>500.00000000000011</v>
      </c>
      <c r="S32" s="11"/>
    </row>
    <row r="33" spans="2:19" ht="15" customHeight="1" outlineLevel="1">
      <c r="B33" s="734"/>
      <c r="C33" s="760"/>
      <c r="D33" s="300" t="s">
        <v>170</v>
      </c>
      <c r="E33" s="365">
        <v>482.35</v>
      </c>
      <c r="F33" s="365">
        <f>200+17.36+7.83+0.1</f>
        <v>225.29000000000002</v>
      </c>
      <c r="H33" s="305">
        <f>14.49</f>
        <v>14.49</v>
      </c>
      <c r="J33" s="305">
        <f>13.6</f>
        <v>13.6</v>
      </c>
      <c r="L33" s="305">
        <f>18.99</f>
        <v>18.989999999999998</v>
      </c>
      <c r="N33" s="305"/>
      <c r="O33" s="274">
        <f t="shared" si="6"/>
        <v>660.56000000000006</v>
      </c>
      <c r="P33" s="274" t="str">
        <f t="shared" si="7"/>
        <v>Gift Fund</v>
      </c>
      <c r="Q33" s="282">
        <f t="shared" si="8"/>
        <v>0</v>
      </c>
      <c r="R33" s="11">
        <f>699.9-O33</f>
        <v>39.339999999999918</v>
      </c>
      <c r="S33" s="11"/>
    </row>
    <row r="34" spans="2:19" ht="15" customHeight="1" outlineLevel="1">
      <c r="B34" s="734"/>
      <c r="C34" s="760"/>
      <c r="D34" s="300" t="s">
        <v>812</v>
      </c>
      <c r="E34" s="365">
        <v>5330</v>
      </c>
      <c r="F34" s="365">
        <f>900+100+74.04</f>
        <v>1074.04</v>
      </c>
      <c r="G34">
        <v>100</v>
      </c>
      <c r="H34" s="305">
        <v>34.04</v>
      </c>
      <c r="J34" s="305"/>
      <c r="L34" s="305"/>
      <c r="N34" s="305"/>
      <c r="O34" s="274">
        <f t="shared" si="6"/>
        <v>6270</v>
      </c>
      <c r="P34" s="274" t="str">
        <f t="shared" si="7"/>
        <v>Wedding</v>
      </c>
      <c r="Q34" s="282">
        <f t="shared" si="8"/>
        <v>0</v>
      </c>
      <c r="R34" s="11"/>
    </row>
    <row r="35" spans="2:19" ht="15" customHeight="1" outlineLevel="1">
      <c r="B35" s="734"/>
      <c r="C35" s="760"/>
      <c r="D35" s="300" t="s">
        <v>174</v>
      </c>
      <c r="E35" s="365">
        <v>0</v>
      </c>
      <c r="F35" s="365">
        <v>0</v>
      </c>
      <c r="G35" s="11"/>
      <c r="H35" s="306"/>
      <c r="J35" s="305"/>
      <c r="L35" s="305"/>
      <c r="N35" s="305"/>
      <c r="O35" s="274">
        <f t="shared" si="6"/>
        <v>0</v>
      </c>
      <c r="P35" s="274" t="str">
        <f t="shared" si="7"/>
        <v>House</v>
      </c>
      <c r="Q35" s="282">
        <f t="shared" si="8"/>
        <v>0</v>
      </c>
    </row>
    <row r="36" spans="2:19" ht="18" outlineLevel="1">
      <c r="B36" s="734"/>
      <c r="C36" s="760"/>
      <c r="D36" s="13" t="s">
        <v>943</v>
      </c>
      <c r="E36" s="365">
        <v>0</v>
      </c>
      <c r="F36" s="365">
        <v>0</v>
      </c>
      <c r="H36" s="305"/>
      <c r="J36" s="305"/>
      <c r="L36" s="305"/>
      <c r="N36" s="305"/>
      <c r="O36" s="274">
        <f t="shared" ref="O36:O41" si="9">SUM(E36:F36)-SUM(G36:N36)</f>
        <v>0</v>
      </c>
      <c r="P36" s="274" t="str">
        <f t="shared" si="7"/>
        <v>Car wash</v>
      </c>
      <c r="Q36" s="282">
        <f>IF(O36&lt;0,O36*-1,0)</f>
        <v>0</v>
      </c>
    </row>
    <row r="37" spans="2:19" ht="18" outlineLevel="1">
      <c r="B37" s="734"/>
      <c r="C37" s="760"/>
      <c r="D37" s="13" t="s">
        <v>177</v>
      </c>
      <c r="E37" s="365">
        <v>0</v>
      </c>
      <c r="F37" s="365">
        <v>0</v>
      </c>
      <c r="H37" s="305"/>
      <c r="J37" s="305"/>
      <c r="L37" s="305"/>
      <c r="N37" s="305"/>
      <c r="O37" s="274">
        <f>SUM(E37:F37)-SUM(G37:N37)</f>
        <v>0</v>
      </c>
      <c r="P37" s="274" t="str">
        <f t="shared" si="7"/>
        <v>Gym</v>
      </c>
      <c r="Q37" s="282">
        <f t="shared" si="8"/>
        <v>0</v>
      </c>
    </row>
    <row r="38" spans="2:19" ht="15.75" customHeight="1" outlineLevel="1">
      <c r="B38" s="734"/>
      <c r="C38" s="760"/>
      <c r="D38" s="13" t="s">
        <v>781</v>
      </c>
      <c r="E38" s="365">
        <v>0</v>
      </c>
      <c r="F38" s="365">
        <f>13+2+10.65+5.99+3.99+10.99+5.99</f>
        <v>52.610000000000007</v>
      </c>
      <c r="G38">
        <f>13</f>
        <v>13</v>
      </c>
      <c r="H38" s="305"/>
      <c r="I38">
        <f>2+3.99+10.99+5.99+10.65</f>
        <v>33.619999999999997</v>
      </c>
      <c r="J38" s="305"/>
      <c r="K38">
        <v>5.99</v>
      </c>
      <c r="L38" s="305"/>
      <c r="N38" s="305"/>
      <c r="O38" s="274">
        <f t="shared" si="9"/>
        <v>0</v>
      </c>
      <c r="P38" s="274" t="str">
        <f t="shared" si="7"/>
        <v>Subscriptions</v>
      </c>
      <c r="Q38" s="282">
        <f>IF(O38&lt;0,O38*-1,0)</f>
        <v>0</v>
      </c>
    </row>
    <row r="39" spans="2:19" ht="18" outlineLevel="1">
      <c r="B39" s="734"/>
      <c r="C39" s="760"/>
      <c r="D39" s="13" t="s">
        <v>922</v>
      </c>
      <c r="E39" s="365">
        <v>37.639999999999986</v>
      </c>
      <c r="F39" s="365">
        <f>(D31-SUM(F32:F38))-F41</f>
        <v>564.25000000000159</v>
      </c>
      <c r="G39">
        <f>34.5</f>
        <v>34.5</v>
      </c>
      <c r="H39" s="305">
        <f>15.99+53.6+20.34</f>
        <v>89.93</v>
      </c>
      <c r="I39">
        <f>0.02+6.52</f>
        <v>6.5399999999999991</v>
      </c>
      <c r="J39" s="305">
        <f>15+25.05+25.1+5.86</f>
        <v>71.010000000000005</v>
      </c>
      <c r="K39">
        <f>2.95+8.6+15+25.7+8.2+8.99+13.96+5.18</f>
        <v>88.580000000000013</v>
      </c>
      <c r="L39" s="305">
        <f>107.1+51.59+3+1+16+35.48+79.99</f>
        <v>294.15999999999997</v>
      </c>
      <c r="M39">
        <f>10+7.17</f>
        <v>17.170000000000002</v>
      </c>
      <c r="N39" s="305"/>
      <c r="O39" s="274">
        <f>SUM(E39:F39)-SUM(G39:N39)</f>
        <v>1.5916157281026244E-12</v>
      </c>
      <c r="P39" s="274" t="str">
        <f t="shared" si="7"/>
        <v>Matt Fun</v>
      </c>
      <c r="Q39" s="282">
        <f>IF(SUM(E39:F39)-SUM(G39:N39)&lt;=0,(SUM(E39:F39)-SUM(G39:N39))*-1,0)</f>
        <v>0</v>
      </c>
    </row>
    <row r="40" spans="2:19" ht="18" outlineLevel="1">
      <c r="B40" s="7"/>
      <c r="C40" s="284"/>
      <c r="D40" s="13" t="s">
        <v>1025</v>
      </c>
      <c r="E40" s="365">
        <v>0</v>
      </c>
      <c r="F40" s="365">
        <v>0</v>
      </c>
      <c r="G40">
        <f>1.2+2.75+3.5+1.5+2.35+2.75+5.08</f>
        <v>19.13</v>
      </c>
      <c r="H40" s="305">
        <v>47.5</v>
      </c>
      <c r="J40" s="305">
        <v>373.86</v>
      </c>
      <c r="L40" s="305"/>
      <c r="N40" s="305"/>
      <c r="O40" s="274">
        <v>0</v>
      </c>
      <c r="P40" s="274" t="str">
        <f t="shared" si="7"/>
        <v>Work Expenses</v>
      </c>
      <c r="Q40" s="333"/>
      <c r="S40" s="11"/>
    </row>
    <row r="41" spans="2:19" ht="18" outlineLevel="1">
      <c r="B41" s="7"/>
      <c r="C41" s="284"/>
      <c r="D41" s="13" t="s">
        <v>152</v>
      </c>
      <c r="E41" s="365">
        <v>0</v>
      </c>
      <c r="F41" s="365">
        <f>10+20</f>
        <v>30</v>
      </c>
      <c r="H41" s="305"/>
      <c r="I41">
        <v>10</v>
      </c>
      <c r="J41" s="305">
        <v>20</v>
      </c>
      <c r="L41" s="305"/>
      <c r="N41" s="305"/>
      <c r="O41" s="274">
        <f t="shared" si="9"/>
        <v>0</v>
      </c>
      <c r="P41" s="274" t="str">
        <f t="shared" si="7"/>
        <v>Kris</v>
      </c>
      <c r="Q41" s="271">
        <f>IF(F41-SUM(G41:N41)&lt;=0,(F41-SUM(G41:N41))*-1,0)</f>
        <v>0</v>
      </c>
    </row>
    <row r="42" spans="2:19">
      <c r="B42" s="118"/>
      <c r="C42" s="118"/>
      <c r="E42" s="365">
        <f>SUM(E32:E41)+SUM(E24:E28)+SUM(E6:E20)</f>
        <v>9451.16</v>
      </c>
      <c r="F42" s="365"/>
      <c r="H42" s="7" t="s">
        <v>986</v>
      </c>
      <c r="J42" s="7" t="s">
        <v>986</v>
      </c>
      <c r="L42" s="7" t="s">
        <v>986</v>
      </c>
      <c r="N42" s="7" t="s">
        <v>986</v>
      </c>
      <c r="O42" s="273"/>
      <c r="P42" s="273"/>
      <c r="Q42" s="282"/>
    </row>
    <row r="43" spans="2:19" ht="18">
      <c r="B43" s="728" t="s">
        <v>817</v>
      </c>
      <c r="C43" s="728"/>
      <c r="D43" s="728"/>
      <c r="E43" s="375">
        <f>G43+I43+K43+M43+N43+E42</f>
        <v>13501.04</v>
      </c>
      <c r="F43" s="379"/>
      <c r="G43" s="271">
        <f>2623.84+1147</f>
        <v>3770.84</v>
      </c>
      <c r="H43" s="271"/>
      <c r="I43" s="271">
        <f>10+100+50+20</f>
        <v>180</v>
      </c>
      <c r="J43" s="271"/>
      <c r="K43" s="271"/>
      <c r="L43" s="271"/>
      <c r="M43" s="271">
        <f>(539.53-SUM(G40:N40))</f>
        <v>99.039999999999964</v>
      </c>
      <c r="N43" s="271"/>
      <c r="O43" s="314" t="str">
        <f>"£" &amp; ROUND(O5+O31+O23+O39+O41+O4,2)-O40 &amp; " / " &amp; "£" &amp; E43</f>
        <v>£9809.09 / £13501.04</v>
      </c>
      <c r="P43" s="274"/>
      <c r="Q43" s="282">
        <f>SUM(Q31,Q23,Q5)</f>
        <v>5.460000000000008</v>
      </c>
    </row>
    <row r="44" spans="2:19">
      <c r="B44" s="118"/>
      <c r="C44" s="7"/>
      <c r="E44" s="365"/>
      <c r="F44" s="365"/>
      <c r="G44" s="365"/>
      <c r="H44" s="365"/>
    </row>
    <row r="45" spans="2:19" ht="14.4">
      <c r="B45" s="729"/>
      <c r="C45" s="729"/>
      <c r="D45" s="729"/>
      <c r="E45" s="729"/>
      <c r="F45" s="729"/>
      <c r="G45" s="729"/>
      <c r="H45" s="297"/>
      <c r="K45" s="729"/>
      <c r="L45" s="729"/>
      <c r="M45" s="729"/>
      <c r="N45" s="729"/>
      <c r="O45" s="729"/>
      <c r="P45" s="297"/>
    </row>
    <row r="46" spans="2:19" ht="15" customHeight="1">
      <c r="B46" s="726" t="s">
        <v>955</v>
      </c>
      <c r="C46" s="726"/>
      <c r="D46" s="726"/>
      <c r="E46" s="726"/>
      <c r="F46" s="79"/>
      <c r="K46" s="212"/>
      <c r="L46" s="212"/>
      <c r="N46" s="118" t="s">
        <v>991</v>
      </c>
      <c r="O46" s="316">
        <v>44123</v>
      </c>
      <c r="P46" s="7">
        <f ca="1">DATEDIF(O46,NOW(),"d")</f>
        <v>2128</v>
      </c>
      <c r="Q46" t="s">
        <v>1026</v>
      </c>
    </row>
    <row r="47" spans="2:19">
      <c r="B47" s="365"/>
      <c r="C47" s="38"/>
      <c r="E47" s="11"/>
      <c r="F47" s="11"/>
      <c r="K47" s="214"/>
      <c r="L47" s="214"/>
      <c r="N47" s="322" t="s">
        <v>992</v>
      </c>
      <c r="O47" s="42">
        <v>44123</v>
      </c>
      <c r="P47" s="7">
        <f ca="1">DATEDIF(O47,NOW(),"d")</f>
        <v>2128</v>
      </c>
      <c r="Q47" t="s">
        <v>1027</v>
      </c>
    </row>
    <row r="48" spans="2:19" ht="14.4">
      <c r="E48" s="11"/>
      <c r="F48" s="11"/>
      <c r="H48" s="11"/>
      <c r="N48" t="s">
        <v>993</v>
      </c>
      <c r="O48">
        <v>0</v>
      </c>
      <c r="P48"/>
    </row>
    <row r="49" spans="2:17" ht="16.2" customHeight="1">
      <c r="E49" s="214"/>
      <c r="F49" s="214"/>
      <c r="J49" s="332"/>
      <c r="K49" s="332"/>
      <c r="L49" s="332"/>
      <c r="M49" s="332"/>
      <c r="N49" s="212"/>
      <c r="O49" s="212"/>
      <c r="P49" s="212"/>
    </row>
    <row r="50" spans="2:17">
      <c r="B50" s="378"/>
      <c r="E50"/>
      <c r="F50" s="214"/>
      <c r="J50" s="11"/>
      <c r="K50" s="56"/>
      <c r="L50" s="56"/>
      <c r="M50" s="365"/>
      <c r="N50" s="56"/>
      <c r="O50" s="56"/>
      <c r="P50" s="56"/>
    </row>
    <row r="51" spans="2:17">
      <c r="E51"/>
      <c r="F51" s="38"/>
      <c r="J51" s="11"/>
      <c r="M51" s="365"/>
      <c r="N51" s="56"/>
      <c r="O51"/>
      <c r="P51"/>
    </row>
    <row r="52" spans="2:17">
      <c r="E52"/>
      <c r="F52" s="38"/>
      <c r="G52" s="38"/>
      <c r="H52" s="38"/>
      <c r="J52" s="11"/>
      <c r="M52" s="365"/>
      <c r="N52" s="56"/>
      <c r="P52" s="212"/>
      <c r="Q52" s="212"/>
    </row>
    <row r="53" spans="2:17">
      <c r="E53"/>
      <c r="F53" s="38"/>
      <c r="H53" s="38"/>
      <c r="J53" s="11"/>
      <c r="M53" s="365"/>
      <c r="N53" s="56"/>
      <c r="O53" s="56"/>
      <c r="P53" s="56"/>
      <c r="Q53" s="38"/>
    </row>
    <row r="54" spans="2:17" ht="14.4">
      <c r="E54"/>
      <c r="F54" s="38"/>
      <c r="H54" s="38"/>
      <c r="J54" s="11"/>
      <c r="N54" s="56"/>
    </row>
    <row r="55" spans="2:17">
      <c r="E55" s="365"/>
      <c r="F55" s="365"/>
      <c r="H55" s="38"/>
      <c r="I55" s="11"/>
      <c r="J55" s="11"/>
      <c r="M55" s="365"/>
      <c r="N55" s="764"/>
    </row>
    <row r="56" spans="2:17">
      <c r="E56" s="365"/>
      <c r="F56" s="365"/>
      <c r="H56" s="38"/>
      <c r="I56" s="11"/>
      <c r="J56" s="11"/>
      <c r="N56" s="765"/>
      <c r="O56" s="275"/>
      <c r="P56" s="275"/>
    </row>
    <row r="57" spans="2:17">
      <c r="B57" s="11"/>
      <c r="E57" s="365"/>
      <c r="F57" s="365"/>
      <c r="H57" s="38"/>
      <c r="I57" s="11"/>
      <c r="J57" s="11"/>
      <c r="N57" s="765"/>
    </row>
    <row r="58" spans="2:17" ht="14.4">
      <c r="B58" s="11"/>
      <c r="E58"/>
      <c r="F58"/>
      <c r="H58" s="38"/>
      <c r="I58" s="11"/>
      <c r="J58" s="11"/>
      <c r="L58" s="79"/>
      <c r="M58" s="726"/>
      <c r="N58" s="726"/>
      <c r="O58" s="726"/>
      <c r="P58" s="726"/>
    </row>
    <row r="59" spans="2:17">
      <c r="E59"/>
      <c r="F59"/>
      <c r="H59" s="38"/>
      <c r="I59" s="11"/>
      <c r="N59" s="278"/>
      <c r="O59" s="212"/>
      <c r="P59" s="212"/>
    </row>
    <row r="60" spans="2:17">
      <c r="B60" s="212"/>
      <c r="C60" s="212"/>
      <c r="E60"/>
      <c r="F60"/>
      <c r="H60" s="38"/>
      <c r="I60" s="11"/>
      <c r="N60" s="376"/>
      <c r="O60" s="214"/>
      <c r="P60" s="214"/>
    </row>
    <row r="61" spans="2:17">
      <c r="C61" s="56"/>
      <c r="D61" s="243"/>
      <c r="E61"/>
      <c r="F61"/>
      <c r="H61" s="38"/>
      <c r="I61" s="11"/>
      <c r="N61" s="365"/>
      <c r="O61"/>
      <c r="P61"/>
    </row>
    <row r="62" spans="2:17">
      <c r="C62" s="56"/>
      <c r="E62"/>
      <c r="F62"/>
      <c r="H62" s="38"/>
      <c r="I62" s="11"/>
      <c r="N62" s="278"/>
      <c r="O62" s="212"/>
      <c r="P62" s="212"/>
    </row>
    <row r="63" spans="2:17">
      <c r="C63" s="56"/>
      <c r="D63" s="56"/>
      <c r="E63"/>
      <c r="F63"/>
      <c r="H63" s="38"/>
      <c r="I63" s="11"/>
      <c r="N63" s="365"/>
      <c r="O63" s="56"/>
      <c r="P63" s="56"/>
    </row>
    <row r="64" spans="2:17">
      <c r="C64" s="56"/>
      <c r="E64"/>
      <c r="F64"/>
      <c r="H64" s="38"/>
      <c r="I64" s="11"/>
      <c r="N64" s="365"/>
      <c r="O64"/>
      <c r="P64"/>
    </row>
    <row r="65" spans="2:16">
      <c r="C65" s="56"/>
      <c r="E65"/>
      <c r="F65"/>
      <c r="H65" s="38"/>
      <c r="I65" s="11"/>
      <c r="N65" s="278"/>
      <c r="O65" s="212"/>
      <c r="P65" s="212"/>
    </row>
    <row r="66" spans="2:16">
      <c r="C66" s="56"/>
      <c r="E66"/>
      <c r="F66"/>
      <c r="H66" s="38"/>
      <c r="I66" s="11"/>
      <c r="N66" s="365"/>
      <c r="O66" s="38"/>
      <c r="P66" s="56"/>
    </row>
    <row r="67" spans="2:16" ht="14.4">
      <c r="C67" s="56"/>
      <c r="E67"/>
      <c r="F67"/>
      <c r="H67" s="38"/>
      <c r="I67" s="11"/>
      <c r="O67"/>
    </row>
    <row r="68" spans="2:16" ht="14.4">
      <c r="C68" s="56"/>
      <c r="E68"/>
      <c r="F68"/>
      <c r="H68" s="38"/>
      <c r="I68" s="11"/>
    </row>
    <row r="69" spans="2:16" ht="14.4">
      <c r="C69" s="56"/>
      <c r="E69"/>
      <c r="F69"/>
    </row>
    <row r="70" spans="2:16" ht="14.4">
      <c r="C70" s="56"/>
      <c r="E70"/>
      <c r="F70"/>
    </row>
    <row r="71" spans="2:16" ht="14.4">
      <c r="C71" s="56"/>
      <c r="E71"/>
      <c r="F71"/>
    </row>
    <row r="72" spans="2:16">
      <c r="E72" s="365"/>
      <c r="F72" s="365"/>
    </row>
    <row r="73" spans="2:16" ht="14.4">
      <c r="B73" s="212"/>
      <c r="C73" s="294"/>
      <c r="D73" s="212"/>
      <c r="E73" s="212"/>
      <c r="F73" s="212"/>
      <c r="G73" s="212"/>
      <c r="H73" s="212"/>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D78" s="56"/>
      <c r="E78" s="56"/>
      <c r="F78" s="56"/>
      <c r="G78" s="56"/>
      <c r="H78" s="56"/>
    </row>
    <row r="79" spans="2:16" ht="14.4">
      <c r="C79" s="56"/>
      <c r="E79" s="56"/>
      <c r="F79" s="56"/>
    </row>
    <row r="81" spans="5:8" ht="14.4">
      <c r="E81" s="212"/>
      <c r="F81" s="212"/>
      <c r="G81" s="212"/>
      <c r="H81" s="212"/>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c r="G86" s="56"/>
      <c r="H86" s="56"/>
    </row>
    <row r="87" spans="5:8" ht="14.4">
      <c r="E87" s="56"/>
      <c r="F87" s="56"/>
    </row>
    <row r="89" spans="5:8" ht="14.4">
      <c r="E89" s="212"/>
      <c r="F89" s="212"/>
      <c r="G89" s="212"/>
      <c r="H89" s="212"/>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c r="G94" s="56"/>
      <c r="H94" s="56"/>
    </row>
    <row r="95" spans="5:8" ht="14.4">
      <c r="E95" s="56"/>
      <c r="F95" s="56"/>
    </row>
    <row r="96" spans="5:8">
      <c r="E96" s="365"/>
      <c r="F96" s="365"/>
    </row>
  </sheetData>
  <mergeCells count="25">
    <mergeCell ref="M58:P58"/>
    <mergeCell ref="B30:E30"/>
    <mergeCell ref="B31:C31"/>
    <mergeCell ref="D31:E31"/>
    <mergeCell ref="B32:B39"/>
    <mergeCell ref="C32:C39"/>
    <mergeCell ref="B43:D43"/>
    <mergeCell ref="B45:G45"/>
    <mergeCell ref="K45:O45"/>
    <mergeCell ref="B46:C46"/>
    <mergeCell ref="D46:E46"/>
    <mergeCell ref="N55:N57"/>
    <mergeCell ref="B23:C23"/>
    <mergeCell ref="D23:E23"/>
    <mergeCell ref="B1:O1"/>
    <mergeCell ref="G3:H3"/>
    <mergeCell ref="I3:J3"/>
    <mergeCell ref="K3:L3"/>
    <mergeCell ref="M3:N3"/>
    <mergeCell ref="B4:E4"/>
    <mergeCell ref="B5:C5"/>
    <mergeCell ref="D5:E5"/>
    <mergeCell ref="B6:B20"/>
    <mergeCell ref="C6:C20"/>
    <mergeCell ref="B22:E22"/>
  </mergeCells>
  <pageMargins left="0.7" right="0.7" top="0.75" bottom="0.75" header="0.3" footer="0.3"/>
  <pageSetup orientation="portrait" r:id="rId1"/>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F10F2-DF62-4764-BAD1-1C01FFB83B83}">
  <dimension ref="A1:T96"/>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0" ht="25.5" customHeight="1">
      <c r="A1" t="str">
        <f ca="1">UPPER(TEXT((1&amp;LEFT(B$1,3))-1,"MMM"))&amp;"-"&amp;UPPER(TEXT((1&amp;RIGHT(LEFT(B$1,7),3))-1,"MMM"))&amp;" "&amp;RIGHT(B$1,4)</f>
        <v>SEP-OCT 2020</v>
      </c>
      <c r="B1" s="730" t="str">
        <f ca="1">MID(CELL("filename",B1),FIND("]",CELL("filename",B1))+1,255)</f>
        <v>OCT-NOV 2020</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E3" s="365"/>
      <c r="F3" s="365"/>
      <c r="G3" s="732">
        <v>44127</v>
      </c>
      <c r="H3" s="732"/>
      <c r="I3" s="732">
        <f>G3+7</f>
        <v>44134</v>
      </c>
      <c r="J3" s="732"/>
      <c r="K3" s="732">
        <f>I3+7</f>
        <v>44141</v>
      </c>
      <c r="L3" s="732"/>
      <c r="M3" s="732">
        <f>K3+7</f>
        <v>44148</v>
      </c>
      <c r="N3" s="732"/>
      <c r="O3" s="325" t="str">
        <f>0 &amp; " / " &amp; ROUND(0-O4,2)</f>
        <v>0 / 0</v>
      </c>
      <c r="P3" s="325" t="s">
        <v>994</v>
      </c>
      <c r="Q3" s="282"/>
    </row>
    <row r="4" spans="1:20" ht="15" customHeight="1">
      <c r="B4" s="727" t="str">
        <f>_xlfn.CONCAT("Expenses - 50 - ",G43*0.5," / Actual = ",D5," (",ROUND((D5/G43)*100,2),")")</f>
        <v>Expenses - 50 - 2332.165 / Actual = 1790.86 (38.39)</v>
      </c>
      <c r="C4" s="727"/>
      <c r="D4" s="727"/>
      <c r="E4" s="727"/>
      <c r="F4" s="318"/>
      <c r="H4" s="243">
        <f>SUM(H5:H41)</f>
        <v>1380.3899999999999</v>
      </c>
      <c r="J4" s="243">
        <f>SUM(J5:J41)</f>
        <v>235.76000000000002</v>
      </c>
      <c r="L4" s="243">
        <f>SUM(L5:L41)</f>
        <v>111.07000000000001</v>
      </c>
      <c r="N4" s="243">
        <f>SUM(N5:N41)</f>
        <v>301.98</v>
      </c>
      <c r="O4" s="308">
        <f>IF(H42&lt;&gt;"PAID",H4,0)+IF(J42&lt;&gt;"PAID",J4,0)+IF(L42&lt;&gt;"PAID",L4,0)+IF(N42&lt;&gt;"PAID",N4,0)</f>
        <v>0</v>
      </c>
      <c r="P4" s="309" t="s">
        <v>973</v>
      </c>
      <c r="Q4" s="282"/>
      <c r="R4" s="243"/>
      <c r="S4" s="243"/>
    </row>
    <row r="5" spans="1:20" ht="15" customHeight="1">
      <c r="B5" s="733" t="str">
        <f>IF(D5&gt;E$43*0.5,ROUND(D5-E$43*0.5,2) &amp; " Over",ROUND(E$43*0.5-D5,2) &amp; " Under")</f>
        <v>5484.55 Under</v>
      </c>
      <c r="C5" s="733"/>
      <c r="D5" s="761">
        <f>SUM(F6:F20)</f>
        <v>1790.8600000000001</v>
      </c>
      <c r="E5" s="761"/>
      <c r="F5" s="321"/>
      <c r="G5" s="284"/>
      <c r="H5" s="306"/>
      <c r="I5" s="79"/>
      <c r="J5" s="306"/>
      <c r="K5" s="79"/>
      <c r="L5" s="306"/>
      <c r="M5" s="79"/>
      <c r="N5" s="305"/>
      <c r="O5" s="285">
        <f>SUMIF(O6:O20,"&gt;0")</f>
        <v>0</v>
      </c>
      <c r="P5" s="285" t="s">
        <v>892</v>
      </c>
      <c r="Q5" s="282">
        <f>SUM(Q6:Q20)</f>
        <v>1.4400000000000013</v>
      </c>
    </row>
    <row r="6" spans="1:20" ht="15" customHeight="1">
      <c r="B6" s="734" t="str">
        <f>"50%: " &amp; E$43*0.5</f>
        <v>50%: 7275.405</v>
      </c>
      <c r="C6" s="734" t="str">
        <f>ROUND((D5/E$43)*100,2) &amp; "%: " &amp;D5</f>
        <v>12.31%: 1790.86</v>
      </c>
      <c r="D6" s="13" t="s">
        <v>805</v>
      </c>
      <c r="E6" s="365">
        <v>0</v>
      </c>
      <c r="F6" s="374">
        <f>100-21.08</f>
        <v>78.92</v>
      </c>
      <c r="H6" s="305">
        <f>25</f>
        <v>25</v>
      </c>
      <c r="J6" s="305">
        <v>25.01</v>
      </c>
      <c r="K6">
        <f>8.9+20.01</f>
        <v>28.910000000000004</v>
      </c>
      <c r="L6" s="305"/>
      <c r="N6" s="305"/>
      <c r="O6" s="274">
        <f>SUM(E6:F6)-SUM(G6:N6)</f>
        <v>0</v>
      </c>
      <c r="P6" s="274" t="str">
        <f t="shared" ref="P6:P20" si="0">D6</f>
        <v>Car Petrol / commuting</v>
      </c>
      <c r="Q6" s="282">
        <f t="shared" ref="Q6:Q20" si="1">IF(O6&lt;0,O6*-1,0)</f>
        <v>0</v>
      </c>
    </row>
    <row r="7" spans="1:20" ht="15" customHeight="1">
      <c r="B7" s="734"/>
      <c r="C7" s="734"/>
      <c r="D7" s="13" t="s">
        <v>169</v>
      </c>
      <c r="E7" s="365">
        <v>0</v>
      </c>
      <c r="F7" s="365">
        <f>375-6.31</f>
        <v>368.69</v>
      </c>
      <c r="H7" s="305">
        <f>8.8+1.88+17.7+19.64+38.82+10.1+5</f>
        <v>101.94</v>
      </c>
      <c r="I7">
        <v>3</v>
      </c>
      <c r="J7" s="305">
        <f>35.04+4.81+25.05</f>
        <v>64.900000000000006</v>
      </c>
      <c r="K7">
        <f>25.38+5.18</f>
        <v>30.56</v>
      </c>
      <c r="L7" s="305">
        <f>22.96+57.97</f>
        <v>80.930000000000007</v>
      </c>
      <c r="M7">
        <f>27.25</f>
        <v>27.25</v>
      </c>
      <c r="N7" s="305">
        <f>13.84+3+27.7+15.57</f>
        <v>60.11</v>
      </c>
      <c r="O7" s="274">
        <f t="shared" ref="O7:O20" si="2">SUM(E7:F7)-SUM(G7:N7)</f>
        <v>0</v>
      </c>
      <c r="P7" s="274" t="str">
        <f t="shared" si="0"/>
        <v>Food</v>
      </c>
      <c r="Q7" s="282">
        <f t="shared" si="1"/>
        <v>0</v>
      </c>
    </row>
    <row r="8" spans="1:20" ht="15" customHeight="1">
      <c r="B8" s="734"/>
      <c r="C8" s="734"/>
      <c r="D8" s="13" t="s">
        <v>919</v>
      </c>
      <c r="E8" s="365">
        <v>0</v>
      </c>
      <c r="F8" s="365">
        <f>40-0.64</f>
        <v>39.36</v>
      </c>
      <c r="H8" s="305">
        <f>38.08</f>
        <v>38.08</v>
      </c>
      <c r="J8" s="305">
        <f>(9.47-8.19)</f>
        <v>1.2800000000000011</v>
      </c>
      <c r="L8" s="305"/>
      <c r="N8" s="305"/>
      <c r="O8" s="274">
        <f t="shared" si="2"/>
        <v>0</v>
      </c>
      <c r="P8" s="274" t="str">
        <f t="shared" si="0"/>
        <v>Bun</v>
      </c>
      <c r="Q8" s="282">
        <f t="shared" si="1"/>
        <v>0</v>
      </c>
    </row>
    <row r="9" spans="1:20" ht="15" customHeight="1" outlineLevel="1">
      <c r="B9" s="734"/>
      <c r="C9" s="734"/>
      <c r="D9" s="201" t="s">
        <v>595</v>
      </c>
      <c r="E9" s="365">
        <v>0</v>
      </c>
      <c r="F9" s="365">
        <f>452.64</f>
        <v>452.64</v>
      </c>
      <c r="H9" s="305"/>
      <c r="J9" s="305"/>
      <c r="L9" s="305"/>
      <c r="M9">
        <v>452.64</v>
      </c>
      <c r="N9" s="305"/>
      <c r="O9" s="274">
        <f t="shared" si="2"/>
        <v>0</v>
      </c>
      <c r="P9" s="274" t="str">
        <f t="shared" si="0"/>
        <v>Mortgage</v>
      </c>
      <c r="Q9" s="282">
        <f t="shared" si="1"/>
        <v>0</v>
      </c>
    </row>
    <row r="10" spans="1:20" ht="15" customHeight="1" outlineLevel="1">
      <c r="B10" s="734"/>
      <c r="C10" s="734"/>
      <c r="D10" s="201" t="s">
        <v>596</v>
      </c>
      <c r="E10" s="365">
        <v>0</v>
      </c>
      <c r="F10" s="365">
        <v>129</v>
      </c>
      <c r="H10" s="305"/>
      <c r="J10" s="305"/>
      <c r="L10" s="305"/>
      <c r="M10">
        <v>129</v>
      </c>
      <c r="N10" s="305"/>
      <c r="O10" s="274">
        <f t="shared" si="2"/>
        <v>0</v>
      </c>
      <c r="P10" s="274" t="str">
        <f t="shared" si="0"/>
        <v>Council tax</v>
      </c>
      <c r="Q10" s="282">
        <f t="shared" si="1"/>
        <v>0</v>
      </c>
    </row>
    <row r="11" spans="1:20" ht="15" customHeight="1" outlineLevel="1">
      <c r="B11" s="734"/>
      <c r="C11" s="734"/>
      <c r="D11" s="201" t="s">
        <v>1002</v>
      </c>
      <c r="E11" s="365">
        <v>1.52</v>
      </c>
      <c r="F11" s="365">
        <f>23+75+1-1.52</f>
        <v>97.48</v>
      </c>
      <c r="H11" s="305"/>
      <c r="I11">
        <v>1</v>
      </c>
      <c r="J11" s="305"/>
      <c r="L11" s="305"/>
      <c r="M11">
        <f>23+75</f>
        <v>98</v>
      </c>
      <c r="N11" s="305"/>
      <c r="O11" s="274">
        <f t="shared" si="2"/>
        <v>0</v>
      </c>
      <c r="P11" s="274" t="str">
        <f t="shared" si="0"/>
        <v>Utilities (G,W,E,HTB)</v>
      </c>
      <c r="Q11" s="282">
        <f t="shared" si="1"/>
        <v>0</v>
      </c>
    </row>
    <row r="12" spans="1:20" ht="15" customHeight="1" outlineLevel="1">
      <c r="B12" s="734"/>
      <c r="C12" s="734"/>
      <c r="D12" s="201" t="s">
        <v>996</v>
      </c>
      <c r="E12" s="365">
        <v>0</v>
      </c>
      <c r="F12" s="365">
        <f>20.78</f>
        <v>20.78</v>
      </c>
      <c r="H12" s="305"/>
      <c r="J12" s="305"/>
      <c r="L12" s="305"/>
      <c r="M12">
        <v>20.78</v>
      </c>
      <c r="N12" s="305"/>
      <c r="O12" s="274">
        <f t="shared" si="2"/>
        <v>0</v>
      </c>
      <c r="P12" s="274" t="str">
        <f t="shared" si="0"/>
        <v>Home Insurance</v>
      </c>
      <c r="Q12" s="282"/>
    </row>
    <row r="13" spans="1:20" ht="15" customHeight="1" outlineLevel="1">
      <c r="B13" s="734"/>
      <c r="C13" s="734"/>
      <c r="D13" s="201" t="s">
        <v>359</v>
      </c>
      <c r="E13" s="365">
        <v>30</v>
      </c>
      <c r="F13" s="365">
        <f>15-4.38</f>
        <v>10.620000000000001</v>
      </c>
      <c r="H13" s="305"/>
      <c r="J13" s="305"/>
      <c r="L13" s="305"/>
      <c r="M13">
        <v>40.619999999999997</v>
      </c>
      <c r="N13" s="305"/>
      <c r="O13" s="274">
        <f t="shared" si="2"/>
        <v>0</v>
      </c>
      <c r="P13" s="274" t="str">
        <f t="shared" si="0"/>
        <v>TV License</v>
      </c>
      <c r="Q13" s="282"/>
    </row>
    <row r="14" spans="1:20" ht="15" customHeight="1" outlineLevel="1">
      <c r="B14" s="734"/>
      <c r="C14" s="734"/>
      <c r="D14" s="201" t="s">
        <v>1003</v>
      </c>
      <c r="E14" s="365">
        <v>0</v>
      </c>
      <c r="F14" s="365">
        <f>4.52+15.97+8.56+8</f>
        <v>37.050000000000004</v>
      </c>
      <c r="H14" s="305"/>
      <c r="I14">
        <v>29.05</v>
      </c>
      <c r="J14" s="305"/>
      <c r="L14" s="305"/>
      <c r="M14">
        <v>8</v>
      </c>
      <c r="N14" s="305"/>
      <c r="O14" s="274">
        <f t="shared" si="2"/>
        <v>0</v>
      </c>
      <c r="P14" s="274" t="str">
        <f t="shared" si="0"/>
        <v>Other Insurances</v>
      </c>
      <c r="Q14" s="282">
        <f t="shared" si="1"/>
        <v>0</v>
      </c>
    </row>
    <row r="15" spans="1:20" ht="15" customHeight="1" outlineLevel="1">
      <c r="B15" s="734"/>
      <c r="C15" s="734"/>
      <c r="D15" s="201" t="s">
        <v>602</v>
      </c>
      <c r="E15" s="365">
        <v>0</v>
      </c>
      <c r="F15" s="365">
        <f>39.99+4.38-1.2</f>
        <v>43.17</v>
      </c>
      <c r="H15" s="305"/>
      <c r="J15" s="305"/>
      <c r="L15" s="305"/>
      <c r="M15">
        <v>43.17</v>
      </c>
      <c r="N15" s="305"/>
      <c r="O15" s="274">
        <f t="shared" si="2"/>
        <v>0</v>
      </c>
      <c r="P15" s="274" t="str">
        <f t="shared" si="0"/>
        <v>Broadband / TV</v>
      </c>
      <c r="Q15" s="282">
        <f t="shared" si="1"/>
        <v>0</v>
      </c>
    </row>
    <row r="16" spans="1:20" ht="15" customHeight="1" outlineLevel="1">
      <c r="B16" s="734"/>
      <c r="C16" s="734"/>
      <c r="D16" s="201" t="s">
        <v>582</v>
      </c>
      <c r="E16" s="365">
        <v>0</v>
      </c>
      <c r="F16" s="365">
        <v>7.99</v>
      </c>
      <c r="H16" s="305"/>
      <c r="I16">
        <v>7.99</v>
      </c>
      <c r="J16" s="305"/>
      <c r="L16" s="305"/>
      <c r="N16" s="305"/>
      <c r="O16" s="274">
        <f t="shared" si="2"/>
        <v>0</v>
      </c>
      <c r="P16" s="274" t="str">
        <f t="shared" si="0"/>
        <v>Onedrive (6th)</v>
      </c>
      <c r="Q16" s="282">
        <f t="shared" si="1"/>
        <v>0</v>
      </c>
    </row>
    <row r="17" spans="2:19" ht="15" customHeight="1" outlineLevel="1">
      <c r="B17" s="734"/>
      <c r="C17" s="734"/>
      <c r="D17" s="201" t="s">
        <v>788</v>
      </c>
      <c r="E17" s="365">
        <v>0</v>
      </c>
      <c r="F17" s="365">
        <v>10.44</v>
      </c>
      <c r="H17" s="305"/>
      <c r="I17">
        <v>11.88</v>
      </c>
      <c r="J17" s="305"/>
      <c r="L17" s="305"/>
      <c r="N17" s="305"/>
      <c r="O17" s="274">
        <f t="shared" si="2"/>
        <v>-1.4400000000000013</v>
      </c>
      <c r="P17" s="274" t="str">
        <f t="shared" si="0"/>
        <v>Matt Phone</v>
      </c>
      <c r="Q17" s="282">
        <f t="shared" si="1"/>
        <v>1.4400000000000013</v>
      </c>
    </row>
    <row r="18" spans="2:19" ht="15" customHeight="1" outlineLevel="1">
      <c r="B18" s="734"/>
      <c r="C18" s="734"/>
      <c r="D18" s="201" t="s">
        <v>985</v>
      </c>
      <c r="E18" s="365">
        <v>0</v>
      </c>
      <c r="F18" s="365">
        <f>28.93+65.84+75.91</f>
        <v>170.68</v>
      </c>
      <c r="G18">
        <v>65.84</v>
      </c>
      <c r="H18" s="305"/>
      <c r="I18">
        <v>75.91</v>
      </c>
      <c r="J18" s="305"/>
      <c r="L18" s="305"/>
      <c r="M18">
        <v>28.93</v>
      </c>
      <c r="N18" s="305"/>
      <c r="O18" s="274">
        <f t="shared" si="2"/>
        <v>0</v>
      </c>
      <c r="P18" s="274" t="str">
        <f t="shared" si="0"/>
        <v>Car Tax / Insurance</v>
      </c>
      <c r="Q18" s="282">
        <f t="shared" si="1"/>
        <v>0</v>
      </c>
    </row>
    <row r="19" spans="2:19" ht="15" customHeight="1" outlineLevel="1">
      <c r="B19" s="734"/>
      <c r="C19" s="734"/>
      <c r="D19" s="201" t="s">
        <v>944</v>
      </c>
      <c r="E19" s="365">
        <v>0</v>
      </c>
      <c r="F19" s="365">
        <v>15</v>
      </c>
      <c r="H19" s="305"/>
      <c r="I19">
        <v>15</v>
      </c>
      <c r="J19" s="305"/>
      <c r="L19" s="305"/>
      <c r="N19" s="305"/>
      <c r="O19" s="274">
        <f t="shared" si="2"/>
        <v>0</v>
      </c>
      <c r="P19" s="274" t="str">
        <f t="shared" si="0"/>
        <v>Windows</v>
      </c>
      <c r="Q19" s="282">
        <f t="shared" si="1"/>
        <v>0</v>
      </c>
    </row>
    <row r="20" spans="2:19" ht="15" customHeight="1" outlineLevel="1">
      <c r="B20" s="734"/>
      <c r="C20" s="734"/>
      <c r="D20" s="293" t="s">
        <v>920</v>
      </c>
      <c r="E20" s="365">
        <v>0</v>
      </c>
      <c r="F20" s="277">
        <f>179.07+129.97</f>
        <v>309.03999999999996</v>
      </c>
      <c r="H20" s="305"/>
      <c r="I20">
        <v>129.97</v>
      </c>
      <c r="J20" s="305"/>
      <c r="L20" s="305"/>
      <c r="M20">
        <v>179.07</v>
      </c>
      <c r="N20" s="305"/>
      <c r="O20" s="274">
        <f t="shared" si="2"/>
        <v>0</v>
      </c>
      <c r="P20" s="274" t="str">
        <f t="shared" si="0"/>
        <v>Finance</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",G43*0.2," / Actual = ",D23," (",ROUND((D23/G43)*100,2),")")</f>
        <v>Savings - 20 - 932.866 / Actual = 100.41 (2.15)</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100.41</v>
      </c>
      <c r="E23" s="759"/>
      <c r="F23" s="319"/>
      <c r="H23" s="305"/>
      <c r="J23" s="305"/>
      <c r="L23" s="305"/>
      <c r="N23" s="305"/>
      <c r="O23" s="285">
        <f>SUMIF(O24:O28,"&gt;0")</f>
        <v>0.79999999999969518</v>
      </c>
      <c r="P23" s="285" t="s">
        <v>895</v>
      </c>
      <c r="Q23" s="282">
        <f>SUM(Q25:Q25)</f>
        <v>0</v>
      </c>
    </row>
    <row r="24" spans="2:19" ht="15" customHeight="1" outlineLevel="1">
      <c r="B24" s="7" t="str">
        <f>"20% : " &amp; E$43*0.2</f>
        <v>20% : 2910.162</v>
      </c>
      <c r="C24" s="7" t="str">
        <f>"20% : " &amp; E$43*0.2</f>
        <v>20% : 2910.162</v>
      </c>
      <c r="D24" s="300" t="s">
        <v>590</v>
      </c>
      <c r="E24" s="365">
        <v>34.72</v>
      </c>
      <c r="F24" s="365">
        <f>50-1.75+2.1+2.16</f>
        <v>52.510000000000005</v>
      </c>
      <c r="G24">
        <v>25</v>
      </c>
      <c r="H24" s="305"/>
      <c r="I24">
        <v>54</v>
      </c>
      <c r="J24" s="305"/>
      <c r="L24" s="315"/>
      <c r="M24">
        <v>5.99</v>
      </c>
      <c r="N24" s="305"/>
      <c r="O24" s="274">
        <f>SUM(E24:F24)-SUM(G24:N24)-Q43</f>
        <v>0.79999999999969518</v>
      </c>
      <c r="P24" s="274" t="str">
        <f t="shared" ref="P24:P28" si="3">D24</f>
        <v>Contingency</v>
      </c>
      <c r="Q24" s="282">
        <f>SUM(Q25:Q29)</f>
        <v>0</v>
      </c>
    </row>
    <row r="25" spans="2:19" ht="15" customHeight="1" outlineLevel="1">
      <c r="B25" s="7"/>
      <c r="C25" s="7"/>
      <c r="D25" s="300" t="s">
        <v>998</v>
      </c>
      <c r="E25" s="365">
        <v>0</v>
      </c>
      <c r="F25" s="365">
        <f>50-2.1</f>
        <v>47.9</v>
      </c>
      <c r="G25" s="11">
        <v>47.9</v>
      </c>
      <c r="H25" s="306"/>
      <c r="J25" s="305"/>
      <c r="L25" s="305"/>
      <c r="N25" s="305"/>
      <c r="O25" s="274">
        <f>SUM(E25:F25)-SUM(G25:N25)</f>
        <v>0</v>
      </c>
      <c r="P25" s="274" t="str">
        <f t="shared" si="3"/>
        <v>Cars (Service / MOT)</v>
      </c>
      <c r="Q25" s="282">
        <f t="shared" ref="Q25:Q28" si="4">IF(O25&lt;0,O25*-1,0)</f>
        <v>0</v>
      </c>
    </row>
    <row r="26" spans="2:19" ht="15" customHeight="1" outlineLevel="1">
      <c r="B26" s="7"/>
      <c r="C26" s="7"/>
      <c r="D26" s="300" t="s">
        <v>999</v>
      </c>
      <c r="E26" s="365">
        <v>0</v>
      </c>
      <c r="F26" s="365">
        <v>0</v>
      </c>
      <c r="G26" s="11"/>
      <c r="H26" s="306"/>
      <c r="J26" s="305"/>
      <c r="L26" s="305"/>
      <c r="N26" s="305"/>
      <c r="O26" s="274">
        <f t="shared" ref="O26:O28" si="5">SUM(E26:F26)-SUM(G26:N26)</f>
        <v>0</v>
      </c>
      <c r="P26" s="274" t="str">
        <f t="shared" si="3"/>
        <v>Mortgage Overpayment</v>
      </c>
      <c r="Q26" s="282">
        <f t="shared" si="4"/>
        <v>0</v>
      </c>
    </row>
    <row r="27" spans="2:19" ht="15" customHeight="1" outlineLevel="1">
      <c r="B27" s="7"/>
      <c r="C27" s="7"/>
      <c r="D27" s="300" t="s">
        <v>1000</v>
      </c>
      <c r="E27" s="365">
        <v>1800</v>
      </c>
      <c r="F27" s="365">
        <v>0</v>
      </c>
      <c r="G27" s="11"/>
      <c r="H27" s="306"/>
      <c r="J27" s="305"/>
      <c r="L27" s="305"/>
      <c r="M27">
        <v>1800</v>
      </c>
      <c r="N27" s="305"/>
      <c r="O27" s="274">
        <f t="shared" si="5"/>
        <v>0</v>
      </c>
      <c r="P27" s="274" t="str">
        <f t="shared" si="3"/>
        <v>Finance Overpayment</v>
      </c>
      <c r="Q27" s="282">
        <f t="shared" si="4"/>
        <v>0</v>
      </c>
    </row>
    <row r="28" spans="2:19" ht="15" customHeight="1" outlineLevel="1">
      <c r="B28" s="7"/>
      <c r="C28" s="7"/>
      <c r="D28" s="300" t="s">
        <v>1001</v>
      </c>
      <c r="E28" s="365">
        <v>77.39</v>
      </c>
      <c r="F28" s="365">
        <v>0</v>
      </c>
      <c r="G28" s="11"/>
      <c r="H28" s="306"/>
      <c r="I28">
        <v>77.39</v>
      </c>
      <c r="J28" s="305"/>
      <c r="L28" s="305"/>
      <c r="N28" s="305"/>
      <c r="O28" s="274">
        <f t="shared" si="5"/>
        <v>0</v>
      </c>
      <c r="P28" s="274" t="str">
        <f t="shared" si="3"/>
        <v>CC Overpayment</v>
      </c>
      <c r="Q28" s="282">
        <f t="shared" si="4"/>
        <v>0</v>
      </c>
    </row>
    <row r="29" spans="2:19" ht="15" customHeight="1">
      <c r="B29" s="118"/>
      <c r="C29" s="118"/>
      <c r="E29" s="365"/>
      <c r="F29" s="365"/>
      <c r="H29" s="305"/>
      <c r="J29" s="305"/>
      <c r="L29" s="305"/>
      <c r="N29" s="305"/>
      <c r="O29" s="273"/>
      <c r="P29" s="273"/>
      <c r="Q29" s="282"/>
    </row>
    <row r="30" spans="2:19" ht="15" customHeight="1">
      <c r="B30" s="727" t="str">
        <f>_xlfn.CONCAT("Wants - 30 - ",G43*0.3," / Actual = ",D31," (",ROUND((D31/G43)*100,2),")")</f>
        <v>Wants - 30 - 1399.299 / Actual = 2773.06 (59.45)</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(E$43-D5-D23-E42)</f>
        <v>2773.0599999999995</v>
      </c>
      <c r="E31" s="727"/>
      <c r="F31" s="319">
        <f>SUM(F32:F39)</f>
        <v>1724.0599999999995</v>
      </c>
      <c r="H31" s="305"/>
      <c r="J31" s="305"/>
      <c r="L31" s="305"/>
      <c r="N31" s="305"/>
      <c r="O31" s="285">
        <f>SUMIF(O32:O38,"&gt;0")</f>
        <v>8419.18</v>
      </c>
      <c r="P31" s="285" t="s">
        <v>899</v>
      </c>
      <c r="Q31" s="282">
        <f>SUM(Q32:Q39)</f>
        <v>3.1263880373444408E-13</v>
      </c>
    </row>
    <row r="32" spans="2:19" ht="15" customHeight="1" outlineLevel="1">
      <c r="B32" s="734"/>
      <c r="C32" s="760"/>
      <c r="D32" s="300" t="s">
        <v>354</v>
      </c>
      <c r="E32" s="365">
        <v>1000</v>
      </c>
      <c r="F32" s="365">
        <v>200</v>
      </c>
      <c r="H32" s="305"/>
      <c r="J32" s="305">
        <f>101.98</f>
        <v>101.98</v>
      </c>
      <c r="L32" s="305"/>
      <c r="M32">
        <v>454.83</v>
      </c>
      <c r="N32" s="305"/>
      <c r="O32" s="274">
        <f t="shared" ref="O32:O35" si="6">SUM(E32:F32)-SUM(G32:N32)</f>
        <v>643.19000000000005</v>
      </c>
      <c r="P32" s="274" t="str">
        <f t="shared" ref="P32:P41" si="7">D32</f>
        <v>Holiday</v>
      </c>
      <c r="Q32" s="282">
        <f t="shared" ref="Q32:Q37" si="8">IF(O32&lt;0,O32*-1,0)</f>
        <v>0</v>
      </c>
      <c r="R32" s="11"/>
      <c r="S32" s="11"/>
    </row>
    <row r="33" spans="2:19" ht="15" customHeight="1" outlineLevel="1">
      <c r="B33" s="734"/>
      <c r="C33" s="760"/>
      <c r="D33" s="300" t="s">
        <v>170</v>
      </c>
      <c r="E33" s="365">
        <v>660.56</v>
      </c>
      <c r="F33" s="365">
        <v>209.34</v>
      </c>
      <c r="H33" s="305"/>
      <c r="J33" s="305"/>
      <c r="L33" s="305"/>
      <c r="M33">
        <v>5.93</v>
      </c>
      <c r="N33" s="305"/>
      <c r="O33" s="274">
        <f t="shared" si="6"/>
        <v>863.97</v>
      </c>
      <c r="P33" s="274" t="str">
        <f t="shared" si="7"/>
        <v>Gift Fund</v>
      </c>
      <c r="Q33" s="282">
        <f t="shared" si="8"/>
        <v>0</v>
      </c>
      <c r="R33" s="11"/>
      <c r="S33" s="11"/>
    </row>
    <row r="34" spans="2:19" ht="15" customHeight="1" outlineLevel="1">
      <c r="B34" s="734"/>
      <c r="C34" s="760"/>
      <c r="D34" s="300" t="s">
        <v>812</v>
      </c>
      <c r="E34" s="365">
        <f>6270+12.29</f>
        <v>6282.29</v>
      </c>
      <c r="F34" s="365">
        <f>(900+600+12.71+20)-510+(107.8)</f>
        <v>1130.51</v>
      </c>
      <c r="G34">
        <v>150</v>
      </c>
      <c r="H34" s="305">
        <v>179.6</v>
      </c>
      <c r="J34" s="305"/>
      <c r="L34" s="305"/>
      <c r="N34" s="305">
        <f>(204.93-33.75)</f>
        <v>171.18</v>
      </c>
      <c r="O34" s="274">
        <f>SUM(E34:F34)-SUM(G34:N34)</f>
        <v>6912.02</v>
      </c>
      <c r="P34" s="274" t="str">
        <f t="shared" si="7"/>
        <v>Wedding</v>
      </c>
      <c r="Q34" s="282">
        <f t="shared" si="8"/>
        <v>0</v>
      </c>
      <c r="R34" s="11"/>
    </row>
    <row r="35" spans="2:19" ht="15" customHeight="1" outlineLevel="1">
      <c r="B35" s="734"/>
      <c r="C35" s="760"/>
      <c r="D35" s="300" t="s">
        <v>174</v>
      </c>
      <c r="E35" s="365">
        <v>0</v>
      </c>
      <c r="F35" s="365">
        <v>0</v>
      </c>
      <c r="G35" s="11"/>
      <c r="H35" s="306"/>
      <c r="J35" s="305"/>
      <c r="L35" s="305"/>
      <c r="N35" s="305"/>
      <c r="O35" s="274">
        <f t="shared" si="6"/>
        <v>0</v>
      </c>
      <c r="P35" s="274" t="str">
        <f t="shared" si="7"/>
        <v>House</v>
      </c>
      <c r="Q35" s="282">
        <f t="shared" si="8"/>
        <v>0</v>
      </c>
    </row>
    <row r="36" spans="2:19" ht="18" outlineLevel="1">
      <c r="B36" s="734"/>
      <c r="C36" s="760"/>
      <c r="D36" s="13" t="s">
        <v>943</v>
      </c>
      <c r="E36" s="365">
        <v>0</v>
      </c>
      <c r="F36" s="365">
        <v>0</v>
      </c>
      <c r="H36" s="305"/>
      <c r="J36" s="305"/>
      <c r="L36" s="305"/>
      <c r="N36" s="305"/>
      <c r="O36" s="274">
        <f t="shared" ref="O36:O41" si="9">SUM(E36:F36)-SUM(G36:N36)</f>
        <v>0</v>
      </c>
      <c r="P36" s="274" t="str">
        <f t="shared" si="7"/>
        <v>Car wash</v>
      </c>
      <c r="Q36" s="282">
        <f>IF(O36&lt;0,O36*-1,0)</f>
        <v>0</v>
      </c>
    </row>
    <row r="37" spans="2:19" ht="18" outlineLevel="1">
      <c r="B37" s="734"/>
      <c r="C37" s="760"/>
      <c r="D37" s="13" t="s">
        <v>177</v>
      </c>
      <c r="E37" s="365">
        <v>0</v>
      </c>
      <c r="F37" s="365">
        <v>0</v>
      </c>
      <c r="H37" s="305"/>
      <c r="J37" s="305"/>
      <c r="L37" s="305"/>
      <c r="N37" s="305"/>
      <c r="O37" s="274">
        <f>SUM(E37:F37)-SUM(G37:N37)</f>
        <v>0</v>
      </c>
      <c r="P37" s="274" t="str">
        <f t="shared" si="7"/>
        <v>Gym</v>
      </c>
      <c r="Q37" s="282">
        <f t="shared" si="8"/>
        <v>0</v>
      </c>
    </row>
    <row r="38" spans="2:19" ht="15.75" customHeight="1" outlineLevel="1">
      <c r="B38" s="734"/>
      <c r="C38" s="760"/>
      <c r="D38" s="13" t="s">
        <v>781</v>
      </c>
      <c r="E38" s="365">
        <v>0</v>
      </c>
      <c r="F38" s="365">
        <f>13+2+10.65+5.99+3.99+10.99+5.99</f>
        <v>52.610000000000007</v>
      </c>
      <c r="H38" s="305"/>
      <c r="I38">
        <f>13+2+3.99+10.99+5.99</f>
        <v>35.970000000000006</v>
      </c>
      <c r="J38" s="305"/>
      <c r="K38">
        <v>10.65</v>
      </c>
      <c r="L38" s="305"/>
      <c r="M38">
        <v>5.99</v>
      </c>
      <c r="N38" s="305"/>
      <c r="O38" s="274">
        <f t="shared" si="9"/>
        <v>0</v>
      </c>
      <c r="P38" s="274" t="str">
        <f t="shared" si="7"/>
        <v>Subscriptions</v>
      </c>
      <c r="Q38" s="282">
        <f>IF(O38&lt;0,O38*-1,0)</f>
        <v>0</v>
      </c>
    </row>
    <row r="39" spans="2:19" ht="18" outlineLevel="1">
      <c r="B39" s="734"/>
      <c r="C39" s="760"/>
      <c r="D39" s="13" t="s">
        <v>922</v>
      </c>
      <c r="E39" s="365">
        <v>0</v>
      </c>
      <c r="F39" s="365">
        <f>(D31-SUM(F32:F38))-F41</f>
        <v>131.59999999999968</v>
      </c>
      <c r="G39">
        <f>5.58+2.61+6.7+32.45+2.2+2.59+1.89</f>
        <v>54.02000000000001</v>
      </c>
      <c r="H39" s="305">
        <f>15+13.58+5.58+2.61</f>
        <v>36.769999999999996</v>
      </c>
      <c r="I39">
        <v>20</v>
      </c>
      <c r="J39" s="305"/>
      <c r="L39" s="305">
        <v>3.6</v>
      </c>
      <c r="N39" s="305">
        <f>17.21</f>
        <v>17.21</v>
      </c>
      <c r="O39" s="274">
        <f>SUM(E39:F39)-SUM(G39:N39)</f>
        <v>-3.1263880373444408E-13</v>
      </c>
      <c r="P39" s="274" t="str">
        <f t="shared" si="7"/>
        <v>Matt Fun</v>
      </c>
      <c r="Q39" s="282">
        <f>IF(SUM(E39:F39)-SUM(G39:N39)&lt;=0,(SUM(E39:F39)-SUM(G39:N39))*-1,0)</f>
        <v>3.1263880373444408E-13</v>
      </c>
    </row>
    <row r="40" spans="2:19" ht="18" outlineLevel="1">
      <c r="B40" s="7"/>
      <c r="C40" s="284"/>
      <c r="D40" s="13" t="s">
        <v>1025</v>
      </c>
      <c r="E40" s="365">
        <v>0</v>
      </c>
      <c r="F40" s="365">
        <v>0</v>
      </c>
      <c r="H40" s="305"/>
      <c r="I40">
        <f>2.69</f>
        <v>2.69</v>
      </c>
      <c r="J40" s="305">
        <f>31.5+11.09</f>
        <v>42.59</v>
      </c>
      <c r="K40">
        <f>2.69</f>
        <v>2.69</v>
      </c>
      <c r="L40" s="305">
        <f>11.5+12.35+2.69</f>
        <v>26.540000000000003</v>
      </c>
      <c r="M40">
        <v>10.65</v>
      </c>
      <c r="N40" s="305">
        <f>50+3.48</f>
        <v>53.48</v>
      </c>
      <c r="O40" s="274">
        <f>SUM(G40:N40)</f>
        <v>138.64000000000001</v>
      </c>
      <c r="P40" s="274" t="str">
        <f t="shared" si="7"/>
        <v>Work Expenses</v>
      </c>
      <c r="Q40" s="333"/>
      <c r="S40" s="11"/>
    </row>
    <row r="41" spans="2:19" ht="18" outlineLevel="1">
      <c r="B41" s="7"/>
      <c r="C41" s="284"/>
      <c r="D41" s="13" t="s">
        <v>152</v>
      </c>
      <c r="E41" s="365">
        <v>0</v>
      </c>
      <c r="F41" s="365">
        <v>1049</v>
      </c>
      <c r="G41">
        <v>50</v>
      </c>
      <c r="H41" s="305">
        <v>999</v>
      </c>
      <c r="J41" s="305"/>
      <c r="L41" s="305"/>
      <c r="N41" s="305"/>
      <c r="O41" s="274">
        <f t="shared" si="9"/>
        <v>0</v>
      </c>
      <c r="P41" s="274" t="str">
        <f t="shared" si="7"/>
        <v>Kris</v>
      </c>
      <c r="Q41" s="271">
        <f>IF(F41-SUM(G41:N41)&lt;=0,(F41-SUM(G41:N41))*-1,0)</f>
        <v>0</v>
      </c>
    </row>
    <row r="42" spans="2:19">
      <c r="B42" s="118"/>
      <c r="C42" s="118"/>
      <c r="E42" s="365">
        <f>SUM(E32:E41)+SUM(E24:E28)+SUM(E6:E20)</f>
        <v>9886.4800000000014</v>
      </c>
      <c r="F42" s="365"/>
      <c r="H42" s="7" t="s">
        <v>986</v>
      </c>
      <c r="J42" s="7" t="s">
        <v>986</v>
      </c>
      <c r="L42" s="7" t="s">
        <v>986</v>
      </c>
      <c r="N42" s="7" t="s">
        <v>986</v>
      </c>
      <c r="O42" s="273"/>
      <c r="P42" s="273"/>
      <c r="Q42" s="282"/>
    </row>
    <row r="43" spans="2:19" ht="18">
      <c r="B43" s="728" t="s">
        <v>817</v>
      </c>
      <c r="C43" s="728"/>
      <c r="D43" s="728"/>
      <c r="E43" s="375">
        <f>G43+I43+K43+M43+N43+E42</f>
        <v>14550.810000000001</v>
      </c>
      <c r="F43" s="379"/>
      <c r="G43" s="271">
        <f>3039.33+8+1077+350+150+40</f>
        <v>4664.33</v>
      </c>
      <c r="H43" s="271"/>
      <c r="I43" s="271"/>
      <c r="J43" s="271"/>
      <c r="K43" s="271"/>
      <c r="L43" s="271"/>
      <c r="M43" s="271"/>
      <c r="N43" s="271"/>
      <c r="O43" s="314" t="str">
        <f>"£" &amp; ROUND(O5+O31+O23+O39+O41+O4,2)-O40 &amp; " / " &amp; "£" &amp; E43</f>
        <v>£8281.34 / £14550.81</v>
      </c>
      <c r="P43" s="274"/>
      <c r="Q43" s="282">
        <f>SUM(Q31,Q23,Q5)</f>
        <v>1.4400000000003139</v>
      </c>
      <c r="R43" s="11"/>
    </row>
    <row r="44" spans="2:19">
      <c r="B44" s="118"/>
      <c r="C44" s="7"/>
      <c r="E44" s="365"/>
      <c r="F44" s="365"/>
      <c r="G44" s="365"/>
      <c r="H44" s="365"/>
    </row>
    <row r="45" spans="2:19" ht="14.4">
      <c r="B45" s="729"/>
      <c r="C45" s="729"/>
      <c r="D45" s="729"/>
      <c r="E45" s="729"/>
      <c r="F45" s="729"/>
      <c r="G45" s="729"/>
      <c r="H45" s="297"/>
      <c r="K45" s="729"/>
      <c r="L45" s="729"/>
      <c r="M45" s="729"/>
      <c r="N45" s="729"/>
      <c r="O45" s="729"/>
      <c r="P45" s="297"/>
    </row>
    <row r="46" spans="2:19" ht="15" customHeight="1">
      <c r="B46" s="726" t="s">
        <v>955</v>
      </c>
      <c r="C46" s="726"/>
      <c r="D46" s="726"/>
      <c r="E46" s="726"/>
      <c r="F46" s="79"/>
      <c r="K46" s="212"/>
      <c r="L46" s="212"/>
      <c r="N46" s="118" t="s">
        <v>991</v>
      </c>
      <c r="O46" s="316">
        <v>44155</v>
      </c>
      <c r="P46" s="7">
        <f ca="1">DATEDIF(O46,NOW(),"d")</f>
        <v>2096</v>
      </c>
      <c r="Q46" t="s">
        <v>1028</v>
      </c>
    </row>
    <row r="47" spans="2:19">
      <c r="B47" s="365"/>
      <c r="C47" s="38"/>
      <c r="E47" s="11"/>
      <c r="F47" s="11"/>
      <c r="K47" s="214"/>
      <c r="L47" s="214"/>
      <c r="M47" s="11"/>
      <c r="N47" s="322" t="s">
        <v>992</v>
      </c>
      <c r="O47" s="42">
        <v>44144</v>
      </c>
      <c r="P47" s="7">
        <f ca="1">DATEDIF(O47,NOW(),"d")</f>
        <v>2107</v>
      </c>
      <c r="Q47" t="s">
        <v>1029</v>
      </c>
    </row>
    <row r="48" spans="2:19" ht="14.4">
      <c r="E48" s="11"/>
      <c r="F48" s="11"/>
      <c r="H48" s="11"/>
      <c r="N48" t="s">
        <v>993</v>
      </c>
      <c r="O48">
        <v>0</v>
      </c>
      <c r="P48"/>
    </row>
    <row r="49" spans="2:18" ht="16.2" customHeight="1">
      <c r="E49" s="214"/>
      <c r="F49" s="214">
        <f>171.18-107.8</f>
        <v>63.38000000000001</v>
      </c>
      <c r="G49" s="214">
        <f>8050-G50</f>
        <v>30.710000000000036</v>
      </c>
      <c r="J49" s="332"/>
      <c r="K49" s="332"/>
      <c r="L49" s="332"/>
      <c r="M49" s="332"/>
      <c r="N49" s="212"/>
      <c r="O49" s="212"/>
      <c r="P49" s="212"/>
    </row>
    <row r="50" spans="2:18">
      <c r="B50" s="378"/>
      <c r="E50" s="11"/>
      <c r="F50" s="214">
        <f>25+38.38</f>
        <v>63.38</v>
      </c>
      <c r="G50" s="214">
        <f>6912+460+510+(150-12.71)</f>
        <v>8019.29</v>
      </c>
      <c r="H50" s="214">
        <f>F50-G49</f>
        <v>32.669999999999966</v>
      </c>
      <c r="J50" s="11"/>
      <c r="K50" s="56"/>
      <c r="L50" s="56"/>
      <c r="M50" s="365"/>
      <c r="N50" s="56"/>
      <c r="O50" s="56"/>
      <c r="P50" s="56"/>
      <c r="R50" s="11">
        <f>O33+45+200</f>
        <v>1108.97</v>
      </c>
    </row>
    <row r="51" spans="2:18">
      <c r="E51"/>
      <c r="F51" s="38"/>
      <c r="J51" s="11"/>
      <c r="M51" s="365"/>
      <c r="N51" s="56"/>
      <c r="O51" s="284"/>
      <c r="P51"/>
    </row>
    <row r="52" spans="2:18">
      <c r="E52"/>
      <c r="F52" s="38"/>
      <c r="G52" s="38"/>
      <c r="H52" s="38"/>
      <c r="J52" s="11"/>
      <c r="M52" s="365"/>
      <c r="N52" s="56"/>
      <c r="O52" s="11">
        <f>O31-O40+O24</f>
        <v>8281.34</v>
      </c>
      <c r="P52" s="212"/>
      <c r="Q52" s="212"/>
    </row>
    <row r="53" spans="2:18">
      <c r="E53"/>
      <c r="F53" s="38"/>
      <c r="H53" s="38"/>
      <c r="J53" s="11"/>
      <c r="M53" s="365"/>
      <c r="N53" s="56"/>
      <c r="O53" s="56"/>
      <c r="P53" s="56"/>
      <c r="Q53" s="38"/>
    </row>
    <row r="54" spans="2:18" ht="14.4">
      <c r="E54"/>
      <c r="F54" s="38"/>
      <c r="H54" s="38"/>
      <c r="J54" s="11"/>
      <c r="N54" s="56"/>
    </row>
    <row r="55" spans="2:18">
      <c r="E55" s="365"/>
      <c r="F55" s="365"/>
      <c r="H55" s="38"/>
      <c r="I55" s="11"/>
      <c r="J55" s="11"/>
      <c r="M55" s="365"/>
      <c r="N55" s="764"/>
    </row>
    <row r="56" spans="2:18">
      <c r="E56" s="365"/>
      <c r="F56" s="365"/>
      <c r="H56" s="38"/>
      <c r="I56" s="11"/>
      <c r="J56" s="11"/>
      <c r="N56" s="765"/>
      <c r="O56" s="275"/>
      <c r="P56" s="275"/>
    </row>
    <row r="57" spans="2:18">
      <c r="B57" s="11"/>
      <c r="E57" s="365"/>
      <c r="F57" s="365"/>
      <c r="H57" s="38"/>
      <c r="I57" s="11"/>
      <c r="J57" s="11"/>
      <c r="N57" s="765"/>
    </row>
    <row r="58" spans="2:18" ht="14.4">
      <c r="B58" s="11"/>
      <c r="E58"/>
      <c r="F58"/>
      <c r="H58" s="38"/>
      <c r="I58" s="11"/>
      <c r="J58" s="11"/>
      <c r="L58" s="79"/>
      <c r="M58" s="726"/>
      <c r="N58" s="726"/>
      <c r="O58" s="726"/>
      <c r="P58" s="726"/>
    </row>
    <row r="59" spans="2:18">
      <c r="E59"/>
      <c r="F59"/>
      <c r="H59" s="38"/>
      <c r="I59" s="11"/>
      <c r="N59" s="278"/>
      <c r="O59" s="212"/>
      <c r="P59" s="212"/>
    </row>
    <row r="60" spans="2:18">
      <c r="B60" s="212"/>
      <c r="C60" s="212"/>
      <c r="E60"/>
      <c r="F60"/>
      <c r="H60" s="38"/>
      <c r="I60" s="11"/>
      <c r="N60" s="376"/>
      <c r="O60" s="214"/>
      <c r="P60" s="214"/>
    </row>
    <row r="61" spans="2:18">
      <c r="C61" s="56"/>
      <c r="D61" s="243"/>
      <c r="E61"/>
      <c r="F61"/>
      <c r="H61" s="38"/>
      <c r="I61" s="11"/>
      <c r="N61" s="365"/>
      <c r="O61"/>
      <c r="P61"/>
    </row>
    <row r="62" spans="2:18">
      <c r="C62" s="56"/>
      <c r="E62"/>
      <c r="F62"/>
      <c r="H62" s="38"/>
      <c r="I62" s="11"/>
      <c r="N62" s="278"/>
      <c r="O62" s="212"/>
      <c r="P62" s="212"/>
    </row>
    <row r="63" spans="2:18">
      <c r="C63" s="56"/>
      <c r="D63" s="56"/>
      <c r="E63"/>
      <c r="F63"/>
      <c r="H63" s="38"/>
      <c r="I63" s="11"/>
      <c r="N63" s="365"/>
      <c r="O63" s="56"/>
      <c r="P63" s="56"/>
    </row>
    <row r="64" spans="2:18">
      <c r="C64" s="56"/>
      <c r="E64"/>
      <c r="F64"/>
      <c r="H64" s="38"/>
      <c r="I64" s="11"/>
      <c r="N64" s="365"/>
      <c r="O64"/>
      <c r="P64"/>
    </row>
    <row r="65" spans="2:16">
      <c r="C65" s="56"/>
      <c r="E65"/>
      <c r="F65"/>
      <c r="H65" s="38"/>
      <c r="I65" s="11"/>
      <c r="N65" s="278"/>
      <c r="O65" s="212"/>
      <c r="P65" s="212"/>
    </row>
    <row r="66" spans="2:16">
      <c r="C66" s="56"/>
      <c r="E66"/>
      <c r="F66"/>
      <c r="H66" s="38"/>
      <c r="I66" s="11"/>
      <c r="N66" s="365"/>
      <c r="O66" s="38"/>
      <c r="P66" s="56"/>
    </row>
    <row r="67" spans="2:16" ht="14.4">
      <c r="C67" s="56"/>
      <c r="E67"/>
      <c r="F67"/>
      <c r="H67" s="38"/>
      <c r="I67" s="11"/>
      <c r="O67"/>
    </row>
    <row r="68" spans="2:16" ht="14.4">
      <c r="C68" s="56"/>
      <c r="E68"/>
      <c r="F68"/>
      <c r="H68" s="38"/>
      <c r="I68" s="11"/>
    </row>
    <row r="69" spans="2:16" ht="14.4">
      <c r="C69" s="56"/>
      <c r="E69"/>
      <c r="F69"/>
    </row>
    <row r="70" spans="2:16" ht="14.4">
      <c r="C70" s="56"/>
      <c r="E70"/>
      <c r="F70"/>
    </row>
    <row r="71" spans="2:16" ht="14.4">
      <c r="C71" s="56"/>
      <c r="E71"/>
      <c r="F71"/>
    </row>
    <row r="72" spans="2:16">
      <c r="E72" s="365"/>
      <c r="F72" s="365"/>
    </row>
    <row r="73" spans="2:16" ht="14.4">
      <c r="B73" s="212"/>
      <c r="C73" s="294"/>
      <c r="D73" s="212"/>
      <c r="E73" s="212"/>
      <c r="F73" s="212"/>
      <c r="G73" s="212"/>
      <c r="H73" s="212"/>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D78" s="56"/>
      <c r="E78" s="56"/>
      <c r="F78" s="56"/>
      <c r="G78" s="56"/>
      <c r="H78" s="56"/>
    </row>
    <row r="79" spans="2:16" ht="14.4">
      <c r="C79" s="56"/>
      <c r="E79" s="56"/>
      <c r="F79" s="56"/>
    </row>
    <row r="81" spans="5:8" ht="14.4">
      <c r="E81" s="212"/>
      <c r="F81" s="212"/>
      <c r="G81" s="212"/>
      <c r="H81" s="212"/>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c r="G86" s="56"/>
      <c r="H86" s="56"/>
    </row>
    <row r="87" spans="5:8" ht="14.4">
      <c r="E87" s="56"/>
      <c r="F87" s="56"/>
    </row>
    <row r="89" spans="5:8" ht="14.4">
      <c r="E89" s="212"/>
      <c r="F89" s="212"/>
      <c r="G89" s="212"/>
      <c r="H89" s="212"/>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c r="G94" s="56"/>
      <c r="H94" s="56"/>
    </row>
    <row r="95" spans="5:8" ht="14.4">
      <c r="E95" s="56"/>
      <c r="F95" s="56"/>
    </row>
    <row r="96" spans="5:8">
      <c r="E96" s="365"/>
      <c r="F96" s="365"/>
    </row>
  </sheetData>
  <mergeCells count="25">
    <mergeCell ref="B23:C23"/>
    <mergeCell ref="D23:E23"/>
    <mergeCell ref="B1:O1"/>
    <mergeCell ref="G3:H3"/>
    <mergeCell ref="I3:J3"/>
    <mergeCell ref="K3:L3"/>
    <mergeCell ref="M3:N3"/>
    <mergeCell ref="B4:E4"/>
    <mergeCell ref="B5:C5"/>
    <mergeCell ref="D5:E5"/>
    <mergeCell ref="B6:B20"/>
    <mergeCell ref="C6:C20"/>
    <mergeCell ref="B22:E22"/>
    <mergeCell ref="M58:P58"/>
    <mergeCell ref="B30:E30"/>
    <mergeCell ref="B31:C31"/>
    <mergeCell ref="D31:E31"/>
    <mergeCell ref="B32:B39"/>
    <mergeCell ref="C32:C39"/>
    <mergeCell ref="B43:D43"/>
    <mergeCell ref="B45:G45"/>
    <mergeCell ref="K45:O45"/>
    <mergeCell ref="B46:C46"/>
    <mergeCell ref="D46:E46"/>
    <mergeCell ref="N55:N57"/>
  </mergeCells>
  <pageMargins left="0.7" right="0.7" top="0.75" bottom="0.75" header="0.3" footer="0.3"/>
  <pageSetup orientation="portrait" r:id="rId1"/>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B8D6-523C-4D4E-B254-0CAB921F8B1E}">
  <dimension ref="A1:U98"/>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OCT-NOV 2020</v>
      </c>
      <c r="B1" s="730" t="str">
        <f ca="1">MID(CELL("filename",B1),FIND("]",CELL("filename",B1))+1,255)</f>
        <v>NOV-DEC 2020</v>
      </c>
      <c r="C1" s="731"/>
      <c r="D1" s="731"/>
      <c r="E1" s="731"/>
      <c r="F1" s="731"/>
      <c r="G1" s="731"/>
      <c r="H1" s="731"/>
      <c r="I1" s="731"/>
      <c r="J1" s="731"/>
      <c r="K1" s="731"/>
      <c r="L1" s="731"/>
      <c r="M1" s="731"/>
      <c r="N1" s="731"/>
      <c r="O1" s="731"/>
      <c r="P1" s="298"/>
      <c r="Q1" s="281"/>
      <c r="R1" s="272"/>
      <c r="S1" s="272"/>
      <c r="T1" s="272"/>
    </row>
    <row r="2" spans="1:21">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44160</v>
      </c>
      <c r="H3" s="732"/>
      <c r="I3" s="732">
        <f>G3+7</f>
        <v>44167</v>
      </c>
      <c r="J3" s="732"/>
      <c r="K3" s="732">
        <f>I3+7</f>
        <v>44174</v>
      </c>
      <c r="L3" s="732"/>
      <c r="M3" s="732">
        <f>K3+7</f>
        <v>44181</v>
      </c>
      <c r="N3" s="732"/>
      <c r="O3" s="325" t="str">
        <f>0 &amp; " / " &amp; ROUND(0-O4,2)</f>
        <v>0 / -1054.7</v>
      </c>
      <c r="P3" s="325" t="s">
        <v>994</v>
      </c>
      <c r="Q3" s="282"/>
    </row>
    <row r="4" spans="1:21" ht="15" customHeight="1">
      <c r="B4" s="727" t="str">
        <f>_xlfn.CONCAT("Expenses - 50 - ",G45*0.5," / Actual = ",D5," (",ROUND((D5/G45)*100,2),")")</f>
        <v>Expenses - 50 - 2008.655 / Actual = 1730.72 (43.08)</v>
      </c>
      <c r="C4" s="727"/>
      <c r="D4" s="727"/>
      <c r="E4" s="727"/>
      <c r="F4" s="318"/>
      <c r="H4" s="243">
        <f>SUM(H5:H43)</f>
        <v>708.42000000000007</v>
      </c>
      <c r="J4" s="243">
        <f>SUM(J5:J43)</f>
        <v>527.49</v>
      </c>
      <c r="L4" s="243">
        <f>SUM(L5:L43)</f>
        <v>104.13</v>
      </c>
      <c r="N4" s="243">
        <f>SUM(N5:N43)</f>
        <v>1054.7</v>
      </c>
      <c r="O4" s="308">
        <f>IF(H44&lt;&gt;"PAID",H4,0)+IF(J44&lt;&gt;"PAID",J4,0)+IF(L44&lt;&gt;"PAID",L4,0)+IF(N44&lt;&gt;"PAID",N4,0)</f>
        <v>1054.7</v>
      </c>
      <c r="P4" s="309" t="s">
        <v>973</v>
      </c>
      <c r="Q4" s="282"/>
      <c r="R4" s="243"/>
      <c r="S4" s="243"/>
    </row>
    <row r="5" spans="1:21" ht="15" customHeight="1">
      <c r="B5" s="733" t="str">
        <f>IF(D5&gt;E$45*0.5,ROUND(D5-E$45*0.5,2) &amp; " Over",ROUND(E$45*0.5-D5,2) &amp; " Under")</f>
        <v>4720.78 Under</v>
      </c>
      <c r="C5" s="733"/>
      <c r="D5" s="761">
        <f>SUM(F6:F20)</f>
        <v>1730.7199999999998</v>
      </c>
      <c r="E5" s="761"/>
      <c r="F5" s="321"/>
      <c r="G5" s="284"/>
      <c r="H5" s="306"/>
      <c r="I5" s="79"/>
      <c r="J5" s="306"/>
      <c r="K5" s="79"/>
      <c r="L5" s="306"/>
      <c r="M5" s="79"/>
      <c r="N5" s="305"/>
      <c r="O5" s="285">
        <f>SUMIF(O6:O20,"&gt;0")</f>
        <v>15</v>
      </c>
      <c r="P5" s="285" t="s">
        <v>892</v>
      </c>
      <c r="Q5" s="282">
        <f>SUM(Q6:Q20)</f>
        <v>25.32</v>
      </c>
    </row>
    <row r="6" spans="1:21" ht="15" customHeight="1">
      <c r="B6" s="734" t="str">
        <f>"50%: " &amp; E$45*0.5</f>
        <v>50%: 6451.495</v>
      </c>
      <c r="C6" s="734" t="str">
        <f>ROUND((D5/E$45)*100,2) &amp; "%: " &amp;D5</f>
        <v>13.41%: 1730.72</v>
      </c>
      <c r="D6" s="13" t="s">
        <v>805</v>
      </c>
      <c r="E6" s="365">
        <v>0</v>
      </c>
      <c r="F6" s="374">
        <v>100</v>
      </c>
      <c r="H6" s="305"/>
      <c r="I6">
        <v>20</v>
      </c>
      <c r="J6" s="305">
        <v>25</v>
      </c>
      <c r="K6">
        <v>8.9</v>
      </c>
      <c r="L6" s="305">
        <v>20</v>
      </c>
      <c r="M6">
        <f>8.9+(20.01-12.81)</f>
        <v>16.100000000000001</v>
      </c>
      <c r="N6" s="305">
        <v>10</v>
      </c>
      <c r="O6" s="274">
        <f>SUM(E6:F6)-SUM(G6:N6)</f>
        <v>0</v>
      </c>
      <c r="P6" s="274" t="str">
        <f t="shared" ref="P6:P20" si="0">D6</f>
        <v>Car Petrol / commuting</v>
      </c>
      <c r="Q6" s="282">
        <f t="shared" ref="Q6:Q20" si="1">IF(O6&lt;0,O6*-1,0)</f>
        <v>0</v>
      </c>
    </row>
    <row r="7" spans="1:21" ht="15" customHeight="1">
      <c r="B7" s="734"/>
      <c r="C7" s="734"/>
      <c r="D7" s="13" t="s">
        <v>169</v>
      </c>
      <c r="E7" s="365">
        <v>0</v>
      </c>
      <c r="F7" s="365">
        <v>300</v>
      </c>
      <c r="G7">
        <f>14.05</f>
        <v>14.05</v>
      </c>
      <c r="H7" s="305">
        <f>17.48+23.08+12.01+20.1</f>
        <v>72.67</v>
      </c>
      <c r="I7">
        <f>11.72</f>
        <v>11.72</v>
      </c>
      <c r="J7" s="305">
        <f>26.5+25.69+55.01</f>
        <v>107.19999999999999</v>
      </c>
      <c r="K7">
        <f>3.75+1.25+2.08+5.1+6.3+19.57</f>
        <v>38.049999999999997</v>
      </c>
      <c r="L7" s="305"/>
      <c r="M7">
        <f>4</f>
        <v>4</v>
      </c>
      <c r="N7" s="305">
        <f>8.97+8+8+20.89+(24.02-17.57)</f>
        <v>52.31</v>
      </c>
      <c r="O7" s="274">
        <f t="shared" ref="O7:O20" si="2">SUM(E7:F7)-SUM(G7:N7)</f>
        <v>0</v>
      </c>
      <c r="P7" s="274" t="str">
        <f t="shared" si="0"/>
        <v>Food</v>
      </c>
      <c r="Q7" s="282">
        <f t="shared" si="1"/>
        <v>0</v>
      </c>
    </row>
    <row r="8" spans="1:21" ht="15" customHeight="1">
      <c r="B8" s="734"/>
      <c r="C8" s="734"/>
      <c r="D8" s="13" t="s">
        <v>919</v>
      </c>
      <c r="E8" s="365">
        <v>0</v>
      </c>
      <c r="F8" s="365">
        <v>40</v>
      </c>
      <c r="H8">
        <f>5.98+47.47</f>
        <v>53.45</v>
      </c>
      <c r="J8" s="305"/>
      <c r="L8" s="305"/>
      <c r="N8" s="305"/>
      <c r="O8" s="274">
        <f>SUM(E8:F8)-SUM(H8:N8)</f>
        <v>-13.450000000000003</v>
      </c>
      <c r="P8" s="274" t="str">
        <f t="shared" si="0"/>
        <v>Bun</v>
      </c>
      <c r="Q8" s="282">
        <f t="shared" si="1"/>
        <v>13.450000000000003</v>
      </c>
    </row>
    <row r="9" spans="1:21" ht="15" customHeight="1" outlineLevel="1">
      <c r="B9" s="734"/>
      <c r="C9" s="734"/>
      <c r="D9" s="201" t="s">
        <v>595</v>
      </c>
      <c r="E9" s="365">
        <v>0</v>
      </c>
      <c r="F9" s="365">
        <f>452.64</f>
        <v>452.64</v>
      </c>
      <c r="H9" s="305"/>
      <c r="J9" s="305"/>
      <c r="L9" s="305"/>
      <c r="M9">
        <v>452.64</v>
      </c>
      <c r="N9" s="305"/>
      <c r="O9" s="274">
        <f t="shared" si="2"/>
        <v>0</v>
      </c>
      <c r="P9" s="274" t="str">
        <f t="shared" si="0"/>
        <v>Mortgage</v>
      </c>
      <c r="Q9" s="282">
        <f t="shared" si="1"/>
        <v>0</v>
      </c>
    </row>
    <row r="10" spans="1:21" ht="15" customHeight="1" outlineLevel="1">
      <c r="B10" s="734"/>
      <c r="C10" s="734"/>
      <c r="D10" s="201" t="s">
        <v>596</v>
      </c>
      <c r="E10" s="365">
        <v>0</v>
      </c>
      <c r="F10" s="365">
        <v>129</v>
      </c>
      <c r="H10" s="305"/>
      <c r="J10" s="305"/>
      <c r="L10" s="305"/>
      <c r="M10">
        <v>129</v>
      </c>
      <c r="N10" s="305"/>
      <c r="O10" s="274">
        <f t="shared" si="2"/>
        <v>0</v>
      </c>
      <c r="P10" s="274" t="str">
        <f t="shared" si="0"/>
        <v>Council tax</v>
      </c>
      <c r="Q10" s="282">
        <f t="shared" si="1"/>
        <v>0</v>
      </c>
    </row>
    <row r="11" spans="1:21" ht="15" customHeight="1" outlineLevel="1">
      <c r="B11" s="734"/>
      <c r="C11" s="734"/>
      <c r="D11" s="201" t="s">
        <v>1002</v>
      </c>
      <c r="E11" s="365">
        <v>0</v>
      </c>
      <c r="F11" s="365">
        <f>23+75+1</f>
        <v>99</v>
      </c>
      <c r="G11">
        <v>1</v>
      </c>
      <c r="H11" s="305"/>
      <c r="J11" s="305"/>
      <c r="L11" s="305"/>
      <c r="M11">
        <f>23+75</f>
        <v>98</v>
      </c>
      <c r="N11" s="305"/>
      <c r="O11" s="274">
        <f t="shared" si="2"/>
        <v>0</v>
      </c>
      <c r="P11" s="274" t="str">
        <f t="shared" si="0"/>
        <v>Utilities (G,W,E,HTB)</v>
      </c>
      <c r="Q11" s="282">
        <f t="shared" si="1"/>
        <v>0</v>
      </c>
    </row>
    <row r="12" spans="1:21" ht="15" customHeight="1" outlineLevel="1">
      <c r="B12" s="734"/>
      <c r="C12" s="734"/>
      <c r="D12" s="201" t="s">
        <v>996</v>
      </c>
      <c r="E12" s="365">
        <v>0</v>
      </c>
      <c r="F12" s="365">
        <f>20.78</f>
        <v>20.78</v>
      </c>
      <c r="H12" s="305"/>
      <c r="J12" s="305"/>
      <c r="L12" s="305"/>
      <c r="M12">
        <v>20.78</v>
      </c>
      <c r="N12" s="305"/>
      <c r="O12" s="274">
        <f t="shared" si="2"/>
        <v>0</v>
      </c>
      <c r="P12" s="274" t="str">
        <f t="shared" si="0"/>
        <v>Home Insurance</v>
      </c>
      <c r="Q12" s="282"/>
    </row>
    <row r="13" spans="1:21" ht="15" customHeight="1" outlineLevel="1">
      <c r="B13" s="734"/>
      <c r="C13" s="734"/>
      <c r="D13" s="201" t="s">
        <v>359</v>
      </c>
      <c r="E13" s="365">
        <v>0</v>
      </c>
      <c r="F13" s="365">
        <f>15</f>
        <v>15</v>
      </c>
      <c r="H13" s="305"/>
      <c r="J13" s="305"/>
      <c r="L13" s="305"/>
      <c r="N13" s="305"/>
      <c r="O13" s="274">
        <f t="shared" si="2"/>
        <v>15</v>
      </c>
      <c r="P13" s="274" t="str">
        <f t="shared" si="0"/>
        <v>TV License</v>
      </c>
      <c r="Q13" s="282"/>
    </row>
    <row r="14" spans="1:21" ht="15" customHeight="1" outlineLevel="1">
      <c r="B14" s="734"/>
      <c r="C14" s="734"/>
      <c r="D14" s="201" t="s">
        <v>1003</v>
      </c>
      <c r="E14" s="365">
        <v>0</v>
      </c>
      <c r="F14" s="365">
        <f>4.52+15.97+8.56+8</f>
        <v>37.050000000000004</v>
      </c>
      <c r="G14">
        <f>37.05-8</f>
        <v>29.049999999999997</v>
      </c>
      <c r="H14" s="305"/>
      <c r="J14" s="305"/>
      <c r="L14" s="305"/>
      <c r="M14">
        <v>8</v>
      </c>
      <c r="N14" s="305"/>
      <c r="O14" s="274">
        <f t="shared" si="2"/>
        <v>0</v>
      </c>
      <c r="P14" s="274" t="str">
        <f t="shared" si="0"/>
        <v>Other Insurances</v>
      </c>
      <c r="Q14" s="282">
        <f t="shared" si="1"/>
        <v>0</v>
      </c>
    </row>
    <row r="15" spans="1:21" ht="15" customHeight="1" outlineLevel="1">
      <c r="B15" s="734"/>
      <c r="C15" s="734"/>
      <c r="D15" s="201" t="s">
        <v>602</v>
      </c>
      <c r="E15" s="365">
        <v>0</v>
      </c>
      <c r="F15" s="365">
        <v>39.99</v>
      </c>
      <c r="H15" s="305"/>
      <c r="J15" s="305"/>
      <c r="L15" s="305"/>
      <c r="M15">
        <v>42.86</v>
      </c>
      <c r="N15" s="305"/>
      <c r="O15" s="274">
        <f t="shared" si="2"/>
        <v>-2.8699999999999974</v>
      </c>
      <c r="P15" s="274" t="str">
        <f t="shared" si="0"/>
        <v>Broadband / TV</v>
      </c>
      <c r="Q15" s="282">
        <f t="shared" si="1"/>
        <v>2.8699999999999974</v>
      </c>
      <c r="T15" s="11"/>
    </row>
    <row r="16" spans="1:21" ht="15" customHeight="1" outlineLevel="1">
      <c r="B16" s="734"/>
      <c r="C16" s="734"/>
      <c r="D16" s="201" t="s">
        <v>582</v>
      </c>
      <c r="E16" s="365">
        <v>0</v>
      </c>
      <c r="F16" s="365">
        <v>7.99</v>
      </c>
      <c r="H16" s="305"/>
      <c r="I16">
        <v>7.99</v>
      </c>
      <c r="J16" s="305"/>
      <c r="L16" s="305"/>
      <c r="N16" s="305"/>
      <c r="O16" s="274">
        <f t="shared" si="2"/>
        <v>0</v>
      </c>
      <c r="P16" s="274" t="str">
        <f t="shared" si="0"/>
        <v>Onedrive (6th)</v>
      </c>
      <c r="Q16" s="282">
        <f t="shared" si="1"/>
        <v>0</v>
      </c>
    </row>
    <row r="17" spans="2:19" ht="15" customHeight="1" outlineLevel="1">
      <c r="B17" s="734"/>
      <c r="C17" s="734"/>
      <c r="D17" s="201" t="s">
        <v>788</v>
      </c>
      <c r="E17" s="365">
        <v>0</v>
      </c>
      <c r="F17" s="365">
        <v>10.44</v>
      </c>
      <c r="G17">
        <v>19.440000000000001</v>
      </c>
      <c r="H17" s="305"/>
      <c r="J17" s="305"/>
      <c r="L17" s="305"/>
      <c r="N17" s="305"/>
      <c r="O17" s="274">
        <f t="shared" si="2"/>
        <v>-9.0000000000000018</v>
      </c>
      <c r="P17" s="274" t="str">
        <f t="shared" si="0"/>
        <v>Matt Phone</v>
      </c>
      <c r="Q17" s="282">
        <f t="shared" si="1"/>
        <v>9.0000000000000018</v>
      </c>
    </row>
    <row r="18" spans="2:19" ht="15" customHeight="1" outlineLevel="1">
      <c r="B18" s="734"/>
      <c r="C18" s="734"/>
      <c r="D18" s="201" t="s">
        <v>985</v>
      </c>
      <c r="E18" s="365">
        <v>0</v>
      </c>
      <c r="F18" s="365">
        <f>28.87+50.04+75.88</f>
        <v>154.79</v>
      </c>
      <c r="G18">
        <f>28.87+50.04+75.88</f>
        <v>154.79</v>
      </c>
      <c r="H18" s="305"/>
      <c r="J18" s="305"/>
      <c r="L18" s="305"/>
      <c r="N18" s="305"/>
      <c r="O18" s="274">
        <f t="shared" si="2"/>
        <v>0</v>
      </c>
      <c r="P18" s="274" t="str">
        <f t="shared" si="0"/>
        <v>Car Tax / Insurance</v>
      </c>
      <c r="Q18" s="282">
        <f t="shared" si="1"/>
        <v>0</v>
      </c>
    </row>
    <row r="19" spans="2:19" ht="15" customHeight="1" outlineLevel="1">
      <c r="B19" s="734"/>
      <c r="C19" s="734"/>
      <c r="D19" s="201" t="s">
        <v>944</v>
      </c>
      <c r="E19" s="365">
        <v>0</v>
      </c>
      <c r="F19" s="365">
        <v>15</v>
      </c>
      <c r="G19">
        <v>15</v>
      </c>
      <c r="H19" s="305"/>
      <c r="J19" s="305"/>
      <c r="L19" s="305"/>
      <c r="N19" s="305"/>
      <c r="O19" s="274">
        <f t="shared" si="2"/>
        <v>0</v>
      </c>
      <c r="P19" s="274" t="str">
        <f t="shared" si="0"/>
        <v>Windows</v>
      </c>
      <c r="Q19" s="282">
        <f t="shared" si="1"/>
        <v>0</v>
      </c>
    </row>
    <row r="20" spans="2:19" ht="15" customHeight="1" outlineLevel="1">
      <c r="B20" s="734"/>
      <c r="C20" s="734"/>
      <c r="D20" s="293" t="s">
        <v>920</v>
      </c>
      <c r="E20" s="365">
        <v>0</v>
      </c>
      <c r="F20" s="277">
        <f>179.07+129.97</f>
        <v>309.03999999999996</v>
      </c>
      <c r="G20">
        <f>129.97</f>
        <v>129.97</v>
      </c>
      <c r="H20" s="305"/>
      <c r="J20" s="305"/>
      <c r="L20" s="305"/>
      <c r="M20">
        <v>179.07</v>
      </c>
      <c r="N20" s="305"/>
      <c r="O20" s="274">
        <f t="shared" si="2"/>
        <v>0</v>
      </c>
      <c r="P20" s="274" t="str">
        <f t="shared" si="0"/>
        <v>Finance</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",G45*0.2," / Actual = ",D23," (",ROUND((D23/G45)*100,2),")")</f>
        <v>Savings - 20 - 803.462 / Actual = 200 (4.98)</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200</v>
      </c>
      <c r="E23" s="759"/>
      <c r="F23" s="319"/>
      <c r="H23" s="305"/>
      <c r="J23" s="305"/>
      <c r="L23" s="305"/>
      <c r="N23" s="305"/>
      <c r="O23" s="285">
        <f>SUMIF(O24:O28,"&gt;0")</f>
        <v>150.47999999999999</v>
      </c>
      <c r="P23" s="285" t="s">
        <v>895</v>
      </c>
      <c r="Q23" s="282">
        <f>SUM(Q25:Q25)</f>
        <v>0</v>
      </c>
    </row>
    <row r="24" spans="2:19" ht="15" customHeight="1" outlineLevel="1">
      <c r="B24" s="7" t="str">
        <f>"20% : " &amp; E$45*0.2</f>
        <v>20% : 2580.598</v>
      </c>
      <c r="C24" s="7" t="str">
        <f>"20% : " &amp; E$45*0.2</f>
        <v>20% : 2580.598</v>
      </c>
      <c r="D24" s="300" t="s">
        <v>590</v>
      </c>
      <c r="E24" s="365">
        <v>0.8</v>
      </c>
      <c r="F24" s="365">
        <v>50</v>
      </c>
      <c r="H24" s="305"/>
      <c r="I24">
        <v>25</v>
      </c>
      <c r="J24" s="305"/>
      <c r="L24" s="315"/>
      <c r="N24" s="305"/>
      <c r="O24" s="274">
        <f>SUM(E24:F24)-SUM(G24:N24)-Q45</f>
        <v>0.47999999999999687</v>
      </c>
      <c r="P24" s="274" t="str">
        <f t="shared" ref="P24:P28" si="3">D24</f>
        <v>Contingency</v>
      </c>
      <c r="Q24" s="282">
        <f>SUM(Q25:Q29)</f>
        <v>0</v>
      </c>
    </row>
    <row r="25" spans="2:19" ht="15" customHeight="1" outlineLevel="1">
      <c r="B25" s="7"/>
      <c r="C25" s="7"/>
      <c r="D25" s="300" t="s">
        <v>998</v>
      </c>
      <c r="E25" s="365">
        <v>0</v>
      </c>
      <c r="F25" s="365">
        <v>0</v>
      </c>
      <c r="G25" s="11"/>
      <c r="H25" s="306"/>
      <c r="J25" s="305"/>
      <c r="L25" s="305"/>
      <c r="N25" s="305"/>
      <c r="O25" s="274">
        <f>SUM(E25:F25)-SUM(G25:N25)</f>
        <v>0</v>
      </c>
      <c r="P25" s="274" t="str">
        <f t="shared" si="3"/>
        <v>Cars (Service / MOT)</v>
      </c>
      <c r="Q25" s="282">
        <f t="shared" ref="Q25:Q28" si="4">IF(O25&lt;0,O25*-1,0)</f>
        <v>0</v>
      </c>
    </row>
    <row r="26" spans="2:19" ht="15" customHeight="1" outlineLevel="1">
      <c r="B26" s="7"/>
      <c r="C26" s="7"/>
      <c r="D26" s="300" t="s">
        <v>999</v>
      </c>
      <c r="E26" s="365">
        <v>0</v>
      </c>
      <c r="F26" s="365">
        <v>0</v>
      </c>
      <c r="G26" s="11"/>
      <c r="H26" s="306"/>
      <c r="J26" s="305"/>
      <c r="L26" s="305"/>
      <c r="N26" s="305"/>
      <c r="O26" s="274">
        <f t="shared" ref="O26:O28" si="5">SUM(E26:F26)-SUM(G26:N26)</f>
        <v>0</v>
      </c>
      <c r="P26" s="274" t="str">
        <f t="shared" si="3"/>
        <v>Mortgage Overpayment</v>
      </c>
      <c r="Q26" s="282">
        <f t="shared" si="4"/>
        <v>0</v>
      </c>
    </row>
    <row r="27" spans="2:19" ht="15" customHeight="1" outlineLevel="1">
      <c r="B27" s="7"/>
      <c r="C27" s="7"/>
      <c r="D27" s="300" t="s">
        <v>1000</v>
      </c>
      <c r="E27" s="365">
        <v>0</v>
      </c>
      <c r="F27" s="365">
        <v>150</v>
      </c>
      <c r="G27" s="11"/>
      <c r="H27" s="306"/>
      <c r="J27" s="305"/>
      <c r="L27" s="305"/>
      <c r="N27" s="305"/>
      <c r="O27" s="274">
        <f t="shared" si="5"/>
        <v>150</v>
      </c>
      <c r="P27" s="274" t="str">
        <f t="shared" si="3"/>
        <v>Finance Overpayment</v>
      </c>
      <c r="Q27" s="282">
        <f t="shared" si="4"/>
        <v>0</v>
      </c>
    </row>
    <row r="28" spans="2:19" ht="15" customHeight="1" outlineLevel="1">
      <c r="B28" s="7"/>
      <c r="C28" s="7"/>
      <c r="D28" s="300" t="s">
        <v>1001</v>
      </c>
      <c r="E28" s="365">
        <v>0</v>
      </c>
      <c r="F28" s="365">
        <v>0</v>
      </c>
      <c r="G28" s="11"/>
      <c r="H28" s="306"/>
      <c r="J28" s="305"/>
      <c r="L28" s="305"/>
      <c r="N28" s="305"/>
      <c r="O28" s="274">
        <f t="shared" si="5"/>
        <v>0</v>
      </c>
      <c r="P28" s="274" t="str">
        <f t="shared" si="3"/>
        <v>CC Overpayment</v>
      </c>
      <c r="Q28" s="282">
        <f t="shared" si="4"/>
        <v>0</v>
      </c>
    </row>
    <row r="29" spans="2:19" ht="15" customHeight="1">
      <c r="B29" s="118"/>
      <c r="C29" s="118"/>
      <c r="E29" s="365"/>
      <c r="F29" s="365"/>
      <c r="H29" s="305"/>
      <c r="J29" s="305"/>
      <c r="L29" s="305"/>
      <c r="N29" s="305"/>
      <c r="O29" s="273"/>
      <c r="P29" s="273"/>
      <c r="Q29" s="282"/>
    </row>
    <row r="30" spans="2:19" ht="15" customHeight="1">
      <c r="B30" s="727" t="str">
        <f>_xlfn.CONCAT("Wants - 30 - ",G45*0.3," / Actual = ",D31," (",ROUND((D31/G45)*100,2),")")</f>
        <v>Wants - 30 - 1205.193 / Actual = 2690.93 (66.98)</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(E$45-D5-D23-E44)</f>
        <v>2690.9300000000003</v>
      </c>
      <c r="E31" s="727"/>
      <c r="F31" s="319">
        <f>SUM(F32:F41)</f>
        <v>2630.9300000000003</v>
      </c>
      <c r="H31" s="305"/>
      <c r="J31" s="305"/>
      <c r="L31" s="305"/>
      <c r="N31" s="305"/>
      <c r="O31" s="285">
        <f>SUMIF(O32:O40,"&gt;0")</f>
        <v>6698.49</v>
      </c>
      <c r="P31" s="285" t="s">
        <v>899</v>
      </c>
      <c r="Q31" s="271">
        <f>SUM(Q32:Q41)</f>
        <v>0</v>
      </c>
    </row>
    <row r="32" spans="2:19" ht="15" customHeight="1" outlineLevel="1">
      <c r="B32" s="734"/>
      <c r="C32" s="760"/>
      <c r="D32" s="300" t="s">
        <v>1030</v>
      </c>
      <c r="E32" s="365">
        <v>643.19000000000005</v>
      </c>
      <c r="F32" s="365">
        <f>45-8.2</f>
        <v>36.799999999999997</v>
      </c>
      <c r="G32">
        <f>14.99+50</f>
        <v>64.989999999999995</v>
      </c>
      <c r="H32" s="305"/>
      <c r="I32">
        <v>15</v>
      </c>
      <c r="J32" s="305"/>
      <c r="L32" s="315"/>
      <c r="N32" s="305"/>
      <c r="O32" s="274">
        <f>SUM(E32:F32)-SUM(G32:N32)</f>
        <v>600</v>
      </c>
      <c r="P32" s="274" t="str">
        <f t="shared" ref="P32:P43" si="6">D32</f>
        <v>Latvia Surgery</v>
      </c>
      <c r="Q32" s="282">
        <f t="shared" ref="Q32:Q39" si="7">IF(O32&lt;0,O32*-1,0)</f>
        <v>0</v>
      </c>
      <c r="R32" s="11"/>
      <c r="S32" s="11"/>
    </row>
    <row r="33" spans="2:19" ht="15" customHeight="1" outlineLevel="1">
      <c r="B33" s="734"/>
      <c r="C33" s="760"/>
      <c r="D33" s="300" t="s">
        <v>1031</v>
      </c>
      <c r="E33" s="365">
        <v>0</v>
      </c>
      <c r="F33" s="365">
        <f>200+140.02+61.67</f>
        <v>401.69</v>
      </c>
      <c r="H33" s="305"/>
      <c r="J33" s="305"/>
      <c r="L33" s="305">
        <f>10.1</f>
        <v>10.1</v>
      </c>
      <c r="N33" s="305"/>
      <c r="O33" s="274">
        <f>SUM(E33:F33)-SUM(G33:N33)</f>
        <v>391.59</v>
      </c>
      <c r="P33" s="274" t="str">
        <f t="shared" si="6"/>
        <v>Latvia Hotel</v>
      </c>
      <c r="Q33" s="282">
        <f t="shared" si="7"/>
        <v>0</v>
      </c>
      <c r="R33" s="11"/>
      <c r="S33" s="11"/>
    </row>
    <row r="34" spans="2:19" ht="15" customHeight="1" outlineLevel="1">
      <c r="B34" s="734"/>
      <c r="C34" s="760"/>
      <c r="D34" s="300" t="s">
        <v>354</v>
      </c>
      <c r="E34" s="365">
        <v>0</v>
      </c>
      <c r="F34" s="365">
        <f>250+242.3</f>
        <v>492.3</v>
      </c>
      <c r="H34" s="305"/>
      <c r="J34" s="305"/>
      <c r="L34" s="305"/>
      <c r="M34">
        <f>16.01+6.7+80.5</f>
        <v>103.21000000000001</v>
      </c>
      <c r="N34" s="305">
        <f>11.95+(85.02-24.99)+57.99+35.34+21.21</f>
        <v>186.52</v>
      </c>
      <c r="O34" s="274">
        <f>SUM(E34:F34)-SUM(G34:N34)</f>
        <v>202.57</v>
      </c>
      <c r="P34" s="274" t="str">
        <f t="shared" si="6"/>
        <v>Holiday</v>
      </c>
      <c r="Q34" s="282">
        <f t="shared" si="7"/>
        <v>0</v>
      </c>
      <c r="R34" s="11"/>
      <c r="S34" s="11"/>
    </row>
    <row r="35" spans="2:19" ht="15" customHeight="1" outlineLevel="1">
      <c r="B35" s="734"/>
      <c r="C35" s="760"/>
      <c r="D35" s="300" t="s">
        <v>170</v>
      </c>
      <c r="E35" s="365">
        <v>863.97</v>
      </c>
      <c r="F35" s="365">
        <f>200-61.4+50-180-90-25-10</f>
        <v>-116.4</v>
      </c>
      <c r="H35" s="305">
        <f>236.96+23.92+25.8+53+51.6+30</f>
        <v>421.28000000000003</v>
      </c>
      <c r="I35">
        <v>40</v>
      </c>
      <c r="J35" s="305">
        <f>45.44+105.97</f>
        <v>151.41</v>
      </c>
      <c r="L35" s="305">
        <f>20+5</f>
        <v>25</v>
      </c>
      <c r="M35">
        <f>12.5+11</f>
        <v>23.5</v>
      </c>
      <c r="N35" s="305">
        <f>13.95+(63.5-8)+9.99+6.49</f>
        <v>85.929999999999993</v>
      </c>
      <c r="O35" s="274">
        <f t="shared" ref="O35:O37" si="8">SUM(E35:F35)-SUM(G35:N35)</f>
        <v>0.45000000000004547</v>
      </c>
      <c r="P35" s="274" t="str">
        <f t="shared" si="6"/>
        <v>Gift Fund</v>
      </c>
      <c r="Q35" s="282">
        <f t="shared" si="7"/>
        <v>0</v>
      </c>
      <c r="R35" s="11"/>
      <c r="S35" s="11"/>
    </row>
    <row r="36" spans="2:19" ht="15" customHeight="1" outlineLevel="1">
      <c r="B36" s="734"/>
      <c r="C36" s="760"/>
      <c r="D36" s="300" t="s">
        <v>812</v>
      </c>
      <c r="E36" s="365">
        <f>6912.02-138.64</f>
        <v>6773.38</v>
      </c>
      <c r="F36" s="365">
        <f>915+150+38.38+138.64-61.67-50-26.4+180+90+25+10-20</f>
        <v>1388.9499999999998</v>
      </c>
      <c r="G36">
        <f>5+1993</f>
        <v>1998</v>
      </c>
      <c r="H36" s="305"/>
      <c r="J36" s="305"/>
      <c r="L36" s="305">
        <f>22.95</f>
        <v>22.95</v>
      </c>
      <c r="N36" s="305">
        <f>637.5</f>
        <v>637.5</v>
      </c>
      <c r="O36" s="274">
        <f t="shared" si="8"/>
        <v>5503.88</v>
      </c>
      <c r="P36" s="274" t="str">
        <f t="shared" si="6"/>
        <v>Wedding</v>
      </c>
      <c r="Q36" s="282">
        <f t="shared" si="7"/>
        <v>0</v>
      </c>
      <c r="R36" s="11"/>
    </row>
    <row r="37" spans="2:19" ht="15" customHeight="1" outlineLevel="1">
      <c r="B37" s="734"/>
      <c r="C37" s="760"/>
      <c r="D37" s="300" t="s">
        <v>174</v>
      </c>
      <c r="E37" s="365">
        <v>0</v>
      </c>
      <c r="F37" s="365">
        <v>0</v>
      </c>
      <c r="G37" s="11"/>
      <c r="H37" s="306"/>
      <c r="J37" s="305"/>
      <c r="L37" s="305"/>
      <c r="N37" s="305"/>
      <c r="O37" s="274">
        <f t="shared" si="8"/>
        <v>0</v>
      </c>
      <c r="P37" s="274" t="str">
        <f t="shared" si="6"/>
        <v>House</v>
      </c>
      <c r="Q37" s="282">
        <f t="shared" si="7"/>
        <v>0</v>
      </c>
    </row>
    <row r="38" spans="2:19" ht="18" outlineLevel="1">
      <c r="B38" s="734"/>
      <c r="C38" s="760"/>
      <c r="D38" s="13" t="s">
        <v>943</v>
      </c>
      <c r="E38" s="365">
        <v>0</v>
      </c>
      <c r="F38" s="365">
        <v>0</v>
      </c>
      <c r="H38" s="305"/>
      <c r="J38" s="305"/>
      <c r="L38" s="305"/>
      <c r="N38" s="305"/>
      <c r="O38" s="274">
        <f t="shared" ref="O38:O43" si="9">SUM(E38:F38)-SUM(G38:N38)</f>
        <v>0</v>
      </c>
      <c r="P38" s="274" t="str">
        <f t="shared" si="6"/>
        <v>Car wash</v>
      </c>
      <c r="Q38" s="282">
        <f>IF(O38&lt;0,O38*-1,0)</f>
        <v>0</v>
      </c>
    </row>
    <row r="39" spans="2:19" ht="18" outlineLevel="1">
      <c r="B39" s="734"/>
      <c r="C39" s="760"/>
      <c r="D39" s="13" t="s">
        <v>177</v>
      </c>
      <c r="E39" s="365">
        <v>0</v>
      </c>
      <c r="F39" s="365">
        <v>0</v>
      </c>
      <c r="H39" s="305"/>
      <c r="J39" s="305"/>
      <c r="L39" s="305"/>
      <c r="N39" s="305"/>
      <c r="O39" s="274">
        <f>SUM(E39:F39)-SUM(G39:N39)</f>
        <v>0</v>
      </c>
      <c r="P39" s="274" t="str">
        <f t="shared" si="6"/>
        <v>Gym</v>
      </c>
      <c r="Q39" s="282">
        <f t="shared" si="7"/>
        <v>0</v>
      </c>
    </row>
    <row r="40" spans="2:19" ht="15.75" customHeight="1" outlineLevel="1">
      <c r="B40" s="734"/>
      <c r="C40" s="760"/>
      <c r="D40" s="13" t="s">
        <v>781</v>
      </c>
      <c r="E40" s="365">
        <v>0</v>
      </c>
      <c r="F40" s="365">
        <f>13+2+10.65+5.99+10.99+5.99</f>
        <v>48.620000000000005</v>
      </c>
      <c r="G40">
        <f>13+2</f>
        <v>15</v>
      </c>
      <c r="H40" s="305"/>
      <c r="I40">
        <f>10.99+5.99+10.65</f>
        <v>27.630000000000003</v>
      </c>
      <c r="J40" s="305"/>
      <c r="K40">
        <v>5.99</v>
      </c>
      <c r="L40" s="305"/>
      <c r="N40" s="305"/>
      <c r="O40" s="274">
        <f t="shared" si="9"/>
        <v>0</v>
      </c>
      <c r="P40" s="274" t="str">
        <f t="shared" si="6"/>
        <v>Subscriptions</v>
      </c>
      <c r="Q40" s="282">
        <f>IF(O40&lt;0,O40*-1,0)</f>
        <v>0</v>
      </c>
    </row>
    <row r="41" spans="2:19" ht="18" outlineLevel="1">
      <c r="B41" s="734"/>
      <c r="C41" s="760"/>
      <c r="D41" s="13" t="s">
        <v>922</v>
      </c>
      <c r="E41" s="365">
        <v>0</v>
      </c>
      <c r="F41" s="365">
        <f>(D31-SUM(F32:F40))-F43</f>
        <v>378.97000000000071</v>
      </c>
      <c r="G41">
        <f>(71.41-17.99)+6.57+10+23.23</f>
        <v>93.220000000000013</v>
      </c>
      <c r="H41" s="305">
        <f>34.08+20+24+20</f>
        <v>98.08</v>
      </c>
      <c r="I41">
        <f>10+20+3.9+4+3.5+4.5</f>
        <v>45.9</v>
      </c>
      <c r="J41" s="305">
        <f>15+76.96</f>
        <v>91.96</v>
      </c>
      <c r="K41">
        <v>1.1000000000000001</v>
      </c>
      <c r="L41" s="305"/>
      <c r="M41">
        <f>2+5.87+3.67+12.81+3.09+20</f>
        <v>47.44</v>
      </c>
      <c r="N41" s="305"/>
      <c r="O41" s="274">
        <f>SUM(E41:F41)-SUM(G41:N41)</f>
        <v>1.2700000000006639</v>
      </c>
      <c r="P41" s="274" t="str">
        <f t="shared" si="6"/>
        <v>Matt Fun</v>
      </c>
      <c r="Q41" s="282">
        <f>IF(SUM(E41:F41)-SUM(G41:N41)&lt;=0,(SUM(E41:F41)-SUM(G41:N41))*-1,0)</f>
        <v>0</v>
      </c>
    </row>
    <row r="42" spans="2:19" ht="18" outlineLevel="1">
      <c r="B42" s="7"/>
      <c r="C42" s="284"/>
      <c r="D42" s="13" t="s">
        <v>1025</v>
      </c>
      <c r="E42" s="365">
        <v>0</v>
      </c>
      <c r="F42" s="365">
        <v>0</v>
      </c>
      <c r="H42" s="305">
        <f>47+8.71+7.23</f>
        <v>62.94</v>
      </c>
      <c r="I42">
        <f>12.45</f>
        <v>12.45</v>
      </c>
      <c r="J42" s="305">
        <f>6+145.92</f>
        <v>151.91999999999999</v>
      </c>
      <c r="L42" s="305">
        <f>(46.08-25)+5</f>
        <v>26.08</v>
      </c>
      <c r="M42">
        <f>5.99</f>
        <v>5.99</v>
      </c>
      <c r="N42" s="305">
        <f>6+51.53+3.51+7.4+14</f>
        <v>82.44</v>
      </c>
      <c r="O42" s="274">
        <f>SUM(G42:N42)</f>
        <v>341.82</v>
      </c>
      <c r="P42" s="274" t="str">
        <f t="shared" si="6"/>
        <v>Work Expenses</v>
      </c>
      <c r="Q42" s="333"/>
      <c r="R42" s="11">
        <f>505.06-O42</f>
        <v>163.24</v>
      </c>
      <c r="S42" s="11"/>
    </row>
    <row r="43" spans="2:19" ht="18" outlineLevel="1">
      <c r="B43" s="7"/>
      <c r="C43" s="284"/>
      <c r="D43" s="13" t="s">
        <v>152</v>
      </c>
      <c r="E43" s="365">
        <v>0</v>
      </c>
      <c r="F43" s="365">
        <f>60</f>
        <v>60</v>
      </c>
      <c r="G43">
        <f>31+10+20</f>
        <v>61</v>
      </c>
      <c r="H43" s="305"/>
      <c r="J43" s="305"/>
      <c r="L43" s="305"/>
      <c r="N43" s="305"/>
      <c r="O43" s="274">
        <f t="shared" si="9"/>
        <v>-1</v>
      </c>
      <c r="P43" s="274" t="str">
        <f t="shared" si="6"/>
        <v>Kris</v>
      </c>
      <c r="Q43" s="271">
        <f>IF(F43-SUM(G43:N43)&lt;=0,(F43-SUM(G43:N43))*-1,0)</f>
        <v>1</v>
      </c>
      <c r="R43" s="11">
        <f>R42-161.67</f>
        <v>1.5700000000000216</v>
      </c>
    </row>
    <row r="44" spans="2:19">
      <c r="B44" s="118"/>
      <c r="C44" s="118"/>
      <c r="E44" s="365">
        <f>SUM(E32:E43)+SUM(E24:E28)+SUM(E6:E20)</f>
        <v>8281.34</v>
      </c>
      <c r="F44" s="365"/>
      <c r="H44" s="7" t="s">
        <v>986</v>
      </c>
      <c r="J44" s="7" t="s">
        <v>986</v>
      </c>
      <c r="L44" s="7" t="s">
        <v>986</v>
      </c>
      <c r="N44" s="7"/>
      <c r="O44" s="273"/>
      <c r="P44" s="273"/>
      <c r="Q44" s="282"/>
    </row>
    <row r="45" spans="2:19" ht="18">
      <c r="B45" s="728" t="s">
        <v>817</v>
      </c>
      <c r="C45" s="728"/>
      <c r="D45" s="728"/>
      <c r="E45" s="375">
        <f>G45+I45+K45+M45+N45+E44</f>
        <v>12902.99</v>
      </c>
      <c r="F45" s="379"/>
      <c r="G45" s="271">
        <f>2472.31+1500+45</f>
        <v>4017.31</v>
      </c>
      <c r="H45" s="271"/>
      <c r="I45" s="271">
        <f>38.38+45</f>
        <v>83.38</v>
      </c>
      <c r="J45" s="271"/>
      <c r="K45" s="271">
        <f>242.3+278.66</f>
        <v>520.96</v>
      </c>
      <c r="L45" s="271"/>
      <c r="M45" s="271"/>
      <c r="N45" s="271"/>
      <c r="O45" s="314" t="str">
        <f>"£" &amp; ROUND(O5+O31+O23+O41+O43+O4,2)-O42 &amp; " / " &amp; "£" &amp; E45</f>
        <v>£7577.12 / £12902.99</v>
      </c>
      <c r="P45" s="274"/>
      <c r="Q45" s="282">
        <f>SUM(Q31,Q23,Q5)</f>
        <v>25.32</v>
      </c>
    </row>
    <row r="46" spans="2:19">
      <c r="B46" s="118"/>
      <c r="C46" s="7"/>
      <c r="E46" s="365"/>
      <c r="F46" s="365"/>
      <c r="G46" s="365"/>
      <c r="H46" s="365"/>
    </row>
    <row r="47" spans="2:19" ht="14.4">
      <c r="B47" s="729"/>
      <c r="C47" s="729"/>
      <c r="D47" s="729"/>
      <c r="E47" s="729"/>
      <c r="F47" s="729"/>
      <c r="G47" s="729"/>
      <c r="H47" s="297"/>
      <c r="K47" s="729"/>
      <c r="L47" s="729"/>
      <c r="M47" s="729"/>
      <c r="N47" s="729"/>
      <c r="O47" s="729"/>
      <c r="P47" s="297"/>
    </row>
    <row r="48" spans="2:19" ht="15" customHeight="1">
      <c r="B48" s="726" t="s">
        <v>955</v>
      </c>
      <c r="C48" s="726"/>
      <c r="D48" s="726"/>
      <c r="E48" s="726"/>
      <c r="F48" s="79"/>
      <c r="K48" s="212"/>
      <c r="L48" s="212"/>
      <c r="N48" s="118" t="s">
        <v>991</v>
      </c>
      <c r="O48" s="316">
        <v>44188</v>
      </c>
      <c r="P48" s="7">
        <f ca="1">DATEDIF(O48,NOW(),"d")</f>
        <v>2063</v>
      </c>
      <c r="Q48" t="s">
        <v>1032</v>
      </c>
    </row>
    <row r="49" spans="2:17">
      <c r="B49" s="365"/>
      <c r="C49" s="38"/>
      <c r="E49" s="11"/>
      <c r="F49" s="11"/>
      <c r="K49" s="214"/>
      <c r="L49" s="214"/>
      <c r="N49" s="322" t="s">
        <v>992</v>
      </c>
      <c r="O49" s="42">
        <v>44188</v>
      </c>
      <c r="P49" s="7">
        <f ca="1">DATEDIF(O49,NOW(),"d")</f>
        <v>2063</v>
      </c>
      <c r="Q49" t="s">
        <v>1033</v>
      </c>
    </row>
    <row r="50" spans="2:17" ht="14.4">
      <c r="E50" s="11"/>
      <c r="F50" s="11"/>
      <c r="H50" s="11"/>
      <c r="N50" t="s">
        <v>993</v>
      </c>
      <c r="O50">
        <v>0</v>
      </c>
      <c r="P50"/>
    </row>
    <row r="51" spans="2:17" ht="16.2" customHeight="1">
      <c r="E51" s="214"/>
      <c r="F51" s="214"/>
      <c r="H51" s="11"/>
      <c r="K51" s="332"/>
      <c r="L51" s="332"/>
      <c r="M51" s="332"/>
      <c r="N51" s="212"/>
      <c r="O51" s="212"/>
      <c r="P51" s="212"/>
      <c r="Q51" s="11"/>
    </row>
    <row r="52" spans="2:17">
      <c r="B52" s="378"/>
      <c r="E52"/>
      <c r="F52" s="214"/>
      <c r="H52" s="11"/>
      <c r="K52" s="243"/>
      <c r="L52" s="56"/>
      <c r="M52" s="365"/>
      <c r="N52" s="243"/>
      <c r="O52" s="11"/>
      <c r="P52" s="56"/>
      <c r="Q52" s="11"/>
    </row>
    <row r="53" spans="2:17">
      <c r="E53"/>
      <c r="F53" s="38"/>
      <c r="H53" s="11"/>
      <c r="K53" s="11"/>
      <c r="M53" s="365"/>
      <c r="N53" s="243"/>
      <c r="O53" s="11"/>
      <c r="P53"/>
    </row>
    <row r="54" spans="2:17">
      <c r="E54"/>
      <c r="F54" s="38"/>
      <c r="G54" s="38"/>
      <c r="H54" s="38"/>
      <c r="J54" s="11"/>
      <c r="K54" s="11"/>
      <c r="M54" s="365"/>
      <c r="N54" s="243"/>
      <c r="P54" s="212"/>
      <c r="Q54" s="212"/>
    </row>
    <row r="55" spans="2:17">
      <c r="E55"/>
      <c r="F55" s="38"/>
      <c r="H55" s="38"/>
      <c r="J55" s="11"/>
      <c r="K55" s="11"/>
      <c r="M55" s="365"/>
      <c r="N55" s="243"/>
      <c r="O55" s="243"/>
      <c r="P55" s="56"/>
      <c r="Q55" s="38"/>
    </row>
    <row r="56" spans="2:17" ht="14.4">
      <c r="E56"/>
      <c r="F56" s="38"/>
      <c r="H56" s="38"/>
      <c r="J56" s="11"/>
      <c r="N56" s="56"/>
      <c r="O56" s="342"/>
    </row>
    <row r="57" spans="2:17">
      <c r="E57" s="365"/>
      <c r="F57" s="365"/>
      <c r="H57" s="38"/>
      <c r="I57" s="11"/>
      <c r="J57" s="11"/>
      <c r="M57" s="365"/>
      <c r="N57" s="764"/>
      <c r="O57" s="343"/>
    </row>
    <row r="58" spans="2:17">
      <c r="E58" s="365"/>
      <c r="F58" s="365"/>
      <c r="H58" s="38"/>
      <c r="I58" s="11"/>
      <c r="J58" s="11"/>
      <c r="N58" s="765"/>
      <c r="O58" s="275"/>
      <c r="P58" s="275"/>
    </row>
    <row r="59" spans="2:17">
      <c r="B59" s="11"/>
      <c r="E59" s="365"/>
      <c r="F59" s="365"/>
      <c r="H59" s="38"/>
      <c r="I59" s="11"/>
      <c r="J59" s="11"/>
      <c r="N59" s="765"/>
    </row>
    <row r="60" spans="2:17" ht="14.4">
      <c r="B60" s="11"/>
      <c r="E60"/>
      <c r="F60"/>
      <c r="H60" s="38"/>
      <c r="I60" s="11"/>
      <c r="J60" s="11"/>
      <c r="L60" s="79"/>
      <c r="M60" s="726"/>
      <c r="N60" s="726"/>
      <c r="O60" s="726"/>
      <c r="P60" s="726"/>
    </row>
    <row r="61" spans="2:17">
      <c r="E61"/>
      <c r="F61"/>
      <c r="H61" s="38"/>
      <c r="I61" s="11"/>
      <c r="N61" s="278"/>
      <c r="O61" s="212"/>
      <c r="P61" s="212"/>
    </row>
    <row r="62" spans="2:17">
      <c r="B62" s="212"/>
      <c r="C62" s="212"/>
      <c r="E62"/>
      <c r="F62"/>
      <c r="H62" s="38"/>
      <c r="I62" s="11"/>
      <c r="N62" s="376"/>
      <c r="O62" s="214"/>
      <c r="P62" s="214"/>
    </row>
    <row r="63" spans="2:17">
      <c r="C63" s="56"/>
      <c r="D63" s="243"/>
      <c r="E63"/>
      <c r="F63"/>
      <c r="H63" s="38"/>
      <c r="I63" s="11"/>
      <c r="N63" s="365"/>
      <c r="O63"/>
      <c r="P63"/>
    </row>
    <row r="64" spans="2:17">
      <c r="C64" s="56"/>
      <c r="E64"/>
      <c r="F64"/>
      <c r="H64" s="38"/>
      <c r="I64" s="11"/>
      <c r="N64" s="278"/>
      <c r="O64" s="212"/>
      <c r="P64" s="212"/>
    </row>
    <row r="65" spans="2:16">
      <c r="C65" s="56"/>
      <c r="D65" s="56"/>
      <c r="E65"/>
      <c r="F65"/>
      <c r="H65" s="38"/>
      <c r="I65" s="11"/>
      <c r="N65" s="365"/>
      <c r="O65" s="56"/>
      <c r="P65" s="56"/>
    </row>
    <row r="66" spans="2:16">
      <c r="C66" s="56"/>
      <c r="E66"/>
      <c r="F66"/>
      <c r="H66" s="38"/>
      <c r="I66" s="11"/>
      <c r="N66" s="365"/>
      <c r="O66"/>
      <c r="P66"/>
    </row>
    <row r="67" spans="2:16">
      <c r="C67" s="56"/>
      <c r="E67"/>
      <c r="F67"/>
      <c r="H67" s="38"/>
      <c r="I67" s="11"/>
      <c r="N67" s="278"/>
      <c r="O67" s="212"/>
      <c r="P67" s="212"/>
    </row>
    <row r="68" spans="2:16">
      <c r="C68" s="56"/>
      <c r="E68"/>
      <c r="F68"/>
      <c r="H68" s="38"/>
      <c r="I68" s="11"/>
      <c r="N68" s="365"/>
      <c r="O68" s="38"/>
      <c r="P68" s="56"/>
    </row>
    <row r="69" spans="2:16" ht="14.4">
      <c r="C69" s="56"/>
      <c r="E69"/>
      <c r="F69"/>
      <c r="H69" s="38"/>
      <c r="I69" s="11"/>
      <c r="O69"/>
    </row>
    <row r="70" spans="2:16" ht="14.4">
      <c r="C70" s="56"/>
      <c r="E70"/>
      <c r="F70"/>
      <c r="H70" s="38"/>
      <c r="I70" s="11"/>
    </row>
    <row r="71" spans="2:16" ht="14.4">
      <c r="C71" s="56"/>
      <c r="E71"/>
      <c r="F71"/>
    </row>
    <row r="72" spans="2:16" ht="14.4">
      <c r="C72" s="56"/>
      <c r="E72"/>
      <c r="F72"/>
    </row>
    <row r="73" spans="2:16" ht="14.4">
      <c r="C73" s="56"/>
      <c r="E73"/>
      <c r="F73"/>
    </row>
    <row r="74" spans="2:16">
      <c r="E74" s="365"/>
      <c r="F74" s="365"/>
    </row>
    <row r="75" spans="2:16" ht="14.4">
      <c r="B75" s="212"/>
      <c r="C75" s="294"/>
      <c r="D75" s="212"/>
      <c r="E75" s="212"/>
      <c r="F75" s="212"/>
      <c r="G75" s="212"/>
      <c r="H75" s="212"/>
    </row>
    <row r="76" spans="2:16" ht="14.4">
      <c r="C76" s="56"/>
      <c r="D76" s="56"/>
      <c r="E76" s="56"/>
      <c r="F76" s="56"/>
      <c r="G76" s="56"/>
      <c r="H76" s="56"/>
    </row>
    <row r="77" spans="2:16" ht="14.4">
      <c r="C77" s="56"/>
      <c r="D77" s="56"/>
      <c r="E77" s="56"/>
      <c r="F77" s="56"/>
      <c r="G77" s="56"/>
      <c r="H77" s="56"/>
    </row>
    <row r="78" spans="2:16" ht="14.4">
      <c r="C78" s="56"/>
      <c r="D78" s="56"/>
      <c r="E78" s="56"/>
      <c r="F78" s="56"/>
      <c r="G78" s="56"/>
      <c r="H78" s="56"/>
    </row>
    <row r="79" spans="2:16" ht="14.4">
      <c r="C79" s="56"/>
      <c r="D79" s="56"/>
      <c r="E79" s="56"/>
      <c r="F79" s="56"/>
      <c r="G79" s="56"/>
      <c r="H79" s="56"/>
    </row>
    <row r="80" spans="2:16" ht="14.4">
      <c r="C80" s="56"/>
      <c r="D80" s="56"/>
      <c r="E80" s="56"/>
      <c r="F80" s="56"/>
      <c r="G80" s="56"/>
      <c r="H80" s="56"/>
    </row>
    <row r="81" spans="3:8" ht="14.4">
      <c r="C81" s="56"/>
      <c r="E81" s="56"/>
      <c r="F81" s="56"/>
    </row>
    <row r="83" spans="3:8" ht="14.4">
      <c r="E83" s="212"/>
      <c r="F83" s="212"/>
      <c r="G83" s="212"/>
      <c r="H83" s="212"/>
    </row>
    <row r="84" spans="3:8" ht="14.4">
      <c r="E84" s="56"/>
      <c r="F84" s="56"/>
      <c r="G84" s="56"/>
      <c r="H84" s="56"/>
    </row>
    <row r="85" spans="3:8" ht="14.4">
      <c r="E85" s="56"/>
      <c r="F85" s="56"/>
      <c r="G85" s="56"/>
      <c r="H85" s="56"/>
    </row>
    <row r="86" spans="3:8" ht="14.4">
      <c r="E86" s="56"/>
      <c r="F86" s="56"/>
      <c r="G86" s="56"/>
      <c r="H86" s="56"/>
    </row>
    <row r="87" spans="3:8" ht="14.4">
      <c r="E87" s="56"/>
      <c r="F87" s="56"/>
      <c r="G87" s="56"/>
      <c r="H87" s="56"/>
    </row>
    <row r="88" spans="3:8" ht="14.4">
      <c r="E88" s="56"/>
      <c r="F88" s="56"/>
      <c r="G88" s="56"/>
      <c r="H88" s="56"/>
    </row>
    <row r="89" spans="3:8" ht="14.4">
      <c r="E89" s="56"/>
      <c r="F89" s="56"/>
    </row>
    <row r="91" spans="3:8" ht="14.4">
      <c r="E91" s="212"/>
      <c r="F91" s="212"/>
      <c r="G91" s="212"/>
      <c r="H91" s="212"/>
    </row>
    <row r="92" spans="3:8" ht="14.4">
      <c r="E92" s="56"/>
      <c r="F92" s="56"/>
      <c r="G92" s="56"/>
      <c r="H92" s="56"/>
    </row>
    <row r="93" spans="3:8" ht="14.4">
      <c r="E93" s="56"/>
      <c r="F93" s="56"/>
      <c r="G93" s="56"/>
      <c r="H93" s="56"/>
    </row>
    <row r="94" spans="3:8" ht="14.4">
      <c r="E94" s="56"/>
      <c r="F94" s="56"/>
      <c r="G94" s="56"/>
      <c r="H94" s="56"/>
    </row>
    <row r="95" spans="3:8" ht="14.4">
      <c r="E95" s="56"/>
      <c r="F95" s="56"/>
      <c r="G95" s="56"/>
      <c r="H95" s="56"/>
    </row>
    <row r="96" spans="3:8" ht="14.4">
      <c r="E96" s="56"/>
      <c r="F96" s="56"/>
      <c r="G96" s="56"/>
      <c r="H96" s="56"/>
    </row>
    <row r="97" spans="5:6" ht="14.4">
      <c r="E97" s="56"/>
      <c r="F97" s="56"/>
    </row>
    <row r="98" spans="5:6">
      <c r="E98" s="365"/>
      <c r="F98" s="365"/>
    </row>
  </sheetData>
  <mergeCells count="25">
    <mergeCell ref="B23:C23"/>
    <mergeCell ref="D23:E23"/>
    <mergeCell ref="B1:O1"/>
    <mergeCell ref="G3:H3"/>
    <mergeCell ref="I3:J3"/>
    <mergeCell ref="K3:L3"/>
    <mergeCell ref="M3:N3"/>
    <mergeCell ref="B4:E4"/>
    <mergeCell ref="B5:C5"/>
    <mergeCell ref="D5:E5"/>
    <mergeCell ref="B6:B20"/>
    <mergeCell ref="C6:C20"/>
    <mergeCell ref="B22:E22"/>
    <mergeCell ref="M60:P60"/>
    <mergeCell ref="B30:E30"/>
    <mergeCell ref="B31:C31"/>
    <mergeCell ref="D31:E31"/>
    <mergeCell ref="B32:B41"/>
    <mergeCell ref="C32:C41"/>
    <mergeCell ref="B45:D45"/>
    <mergeCell ref="B47:G47"/>
    <mergeCell ref="K47:O47"/>
    <mergeCell ref="B48:C48"/>
    <mergeCell ref="D48:E48"/>
    <mergeCell ref="N57:N59"/>
  </mergeCells>
  <pageMargins left="0.7" right="0.7" top="0.75" bottom="0.75" header="0.3" footer="0.3"/>
  <pageSetup orientation="portrait" r:id="rId1"/>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7DA9-0250-DD47-B26C-DC5EC45EAEB4}">
  <dimension ref="A1:U98"/>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NOV-DEC 2021</v>
      </c>
      <c r="B1" s="730" t="str">
        <f ca="1">MID(CELL("filename",B1),FIND("]",CELL("filename",B1))+1,255)</f>
        <v>DEC-JAN 2021</v>
      </c>
      <c r="C1" s="731"/>
      <c r="D1" s="731"/>
      <c r="E1" s="731"/>
      <c r="F1" s="731"/>
      <c r="G1" s="731"/>
      <c r="H1" s="731"/>
      <c r="I1" s="731"/>
      <c r="J1" s="731"/>
      <c r="K1" s="731"/>
      <c r="L1" s="731"/>
      <c r="M1" s="731"/>
      <c r="N1" s="731"/>
      <c r="O1" s="731"/>
      <c r="P1" s="298">
        <f>118.92-O4</f>
        <v>-817.14</v>
      </c>
      <c r="Q1" s="281"/>
      <c r="R1" s="272"/>
      <c r="S1" s="272"/>
      <c r="T1" s="272"/>
    </row>
    <row r="2" spans="1:21">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44189</v>
      </c>
      <c r="H3" s="732"/>
      <c r="I3" s="732">
        <f>G3+7</f>
        <v>44196</v>
      </c>
      <c r="J3" s="732"/>
      <c r="K3" s="732">
        <f>I3+7</f>
        <v>44203</v>
      </c>
      <c r="L3" s="732"/>
      <c r="M3" s="732">
        <f>K3+7</f>
        <v>44210</v>
      </c>
      <c r="N3" s="732"/>
      <c r="O3" s="325" t="str">
        <f>0 &amp; " / " &amp; ROUND(0-O4,2)</f>
        <v>0 / -936.06</v>
      </c>
      <c r="P3" s="325" t="s">
        <v>994</v>
      </c>
      <c r="Q3" s="282"/>
    </row>
    <row r="4" spans="1:21" ht="15" customHeight="1">
      <c r="B4" s="727" t="str">
        <f>_xlfn.CONCAT("Expenses - 50 - ",G45*0.5," / Actual = ",D5," (",ROUND((D5/G45)*100,2),")")</f>
        <v>Expenses - 50 - 2021.755 / Actual = 1675.76 (41.44)</v>
      </c>
      <c r="C4" s="727"/>
      <c r="D4" s="727"/>
      <c r="E4" s="727"/>
      <c r="F4" s="318"/>
      <c r="H4" s="243">
        <f>SUM(H5:H43)</f>
        <v>336.85</v>
      </c>
      <c r="J4" s="243">
        <f>SUM(J5:J43)</f>
        <v>272.03999999999996</v>
      </c>
      <c r="L4" s="243">
        <f>SUM(L5:L43)</f>
        <v>87.389999999999986</v>
      </c>
      <c r="N4" s="243">
        <f>SUM(N5:N43)</f>
        <v>239.78</v>
      </c>
      <c r="O4" s="308">
        <f>IF(H44&lt;&gt;"PAID",H4,0)+IF(J44&lt;&gt;"PAID",J4,0)+IF(L44&lt;&gt;"PAID",L4,0)+IF(N44&lt;&gt;"PAID",N4,0)</f>
        <v>936.06</v>
      </c>
      <c r="P4" s="309" t="s">
        <v>973</v>
      </c>
      <c r="Q4" s="282"/>
      <c r="R4" s="243"/>
      <c r="S4" s="243">
        <f>O4+25.05+4.39+2.85</f>
        <v>968.34999999999991</v>
      </c>
    </row>
    <row r="5" spans="1:21" ht="15" customHeight="1">
      <c r="B5" s="733" t="str">
        <f>IF(D5&gt;E$45*0.5,ROUND(D5-E$45*0.5,2) &amp; " Over",ROUND(E$45*0.5-D5,2) &amp; " Under")</f>
        <v>4477.09 Under</v>
      </c>
      <c r="C5" s="733"/>
      <c r="D5" s="761">
        <f>SUM(F6:F20)</f>
        <v>1675.7599999999998</v>
      </c>
      <c r="E5" s="761"/>
      <c r="F5" s="321"/>
      <c r="G5" s="284"/>
      <c r="H5" s="306"/>
      <c r="I5" s="79"/>
      <c r="J5" s="306"/>
      <c r="K5" s="79"/>
      <c r="L5" s="306"/>
      <c r="M5" s="79"/>
      <c r="N5" s="305"/>
      <c r="O5" s="285">
        <f>SUMIF(O6:O20,"&gt;0")</f>
        <v>31.699999999999989</v>
      </c>
      <c r="P5" s="285" t="s">
        <v>892</v>
      </c>
      <c r="Q5" s="282">
        <f>SUM(Q6:Q20)</f>
        <v>12.599999999999996</v>
      </c>
      <c r="S5" s="243">
        <f>968.35-S4</f>
        <v>0</v>
      </c>
    </row>
    <row r="6" spans="1:21" ht="15" customHeight="1">
      <c r="B6" s="734" t="str">
        <f>"50%: " &amp; E$45*0.5</f>
        <v>50%: 6152.845</v>
      </c>
      <c r="C6" s="734" t="str">
        <f>ROUND((D5/E$45)*100,2) &amp; "%: " &amp;D5</f>
        <v>13.62%: 1675.76</v>
      </c>
      <c r="D6" s="13" t="s">
        <v>805</v>
      </c>
      <c r="E6" s="365">
        <v>0</v>
      </c>
      <c r="F6" s="374">
        <f>100-35</f>
        <v>65</v>
      </c>
      <c r="H6" s="305">
        <f>20+25</f>
        <v>45</v>
      </c>
      <c r="J6" s="305"/>
      <c r="L6" s="305">
        <v>20</v>
      </c>
      <c r="N6" s="305"/>
      <c r="O6" s="274">
        <f>SUM(E6:F6)-SUM(G6:N6)</f>
        <v>0</v>
      </c>
      <c r="P6" s="274" t="str">
        <f t="shared" ref="P6:P20" si="0">D6</f>
        <v>Car Petrol / commuting</v>
      </c>
      <c r="Q6" s="282">
        <f t="shared" ref="Q6:Q20" si="1">IF(O6&lt;0,O6*-1,0)</f>
        <v>0</v>
      </c>
    </row>
    <row r="7" spans="1:21" ht="15" customHeight="1">
      <c r="B7" s="734"/>
      <c r="C7" s="734"/>
      <c r="D7" s="13" t="s">
        <v>169</v>
      </c>
      <c r="E7" s="365">
        <v>0</v>
      </c>
      <c r="F7" s="365">
        <f>300-20+0.84</f>
        <v>280.83999999999997</v>
      </c>
      <c r="G7">
        <f>0.99+2.64+14.26+3.16</f>
        <v>21.05</v>
      </c>
      <c r="H7" s="305">
        <f>4.95+33.99</f>
        <v>38.940000000000005</v>
      </c>
      <c r="I7">
        <f>8+4</f>
        <v>12</v>
      </c>
      <c r="J7" s="305">
        <f>24.27+33.57+12.75</f>
        <v>70.59</v>
      </c>
      <c r="K7">
        <f>4.39</f>
        <v>4.3899999999999997</v>
      </c>
      <c r="L7" s="305">
        <f>12.9+6.04+16.09</f>
        <v>35.03</v>
      </c>
      <c r="M7">
        <f>90</f>
        <v>90</v>
      </c>
      <c r="N7" s="305">
        <f>2.69+4.45</f>
        <v>7.1400000000000006</v>
      </c>
      <c r="O7" s="274">
        <f t="shared" ref="O7:O20" si="2">SUM(E7:F7)-SUM(G7:N7)</f>
        <v>1.6999999999999886</v>
      </c>
      <c r="P7" s="274" t="str">
        <f t="shared" si="0"/>
        <v>Food</v>
      </c>
      <c r="Q7" s="282">
        <f t="shared" si="1"/>
        <v>0</v>
      </c>
    </row>
    <row r="8" spans="1:21" ht="15" customHeight="1">
      <c r="B8" s="734"/>
      <c r="C8" s="734"/>
      <c r="D8" s="13" t="s">
        <v>919</v>
      </c>
      <c r="E8" s="365">
        <v>0</v>
      </c>
      <c r="F8" s="365">
        <f>40-0.84</f>
        <v>39.159999999999997</v>
      </c>
      <c r="H8" s="305"/>
      <c r="J8" s="305">
        <f>35.07</f>
        <v>35.07</v>
      </c>
      <c r="L8" s="305"/>
      <c r="N8" s="305">
        <f>4.09</f>
        <v>4.09</v>
      </c>
      <c r="O8" s="274">
        <f t="shared" si="2"/>
        <v>0</v>
      </c>
      <c r="P8" s="274" t="str">
        <f t="shared" si="0"/>
        <v>Bun</v>
      </c>
      <c r="Q8" s="282">
        <f t="shared" si="1"/>
        <v>0</v>
      </c>
    </row>
    <row r="9" spans="1:21" ht="15" customHeight="1" outlineLevel="1">
      <c r="B9" s="734"/>
      <c r="C9" s="734"/>
      <c r="D9" s="201" t="s">
        <v>595</v>
      </c>
      <c r="E9" s="365">
        <v>0</v>
      </c>
      <c r="F9" s="365">
        <f>452.64</f>
        <v>452.64</v>
      </c>
      <c r="H9" s="305"/>
      <c r="J9" s="305"/>
      <c r="L9" s="305"/>
      <c r="M9">
        <v>452.64</v>
      </c>
      <c r="N9" s="305"/>
      <c r="O9" s="274">
        <f t="shared" si="2"/>
        <v>0</v>
      </c>
      <c r="P9" s="274" t="str">
        <f t="shared" si="0"/>
        <v>Mortgage</v>
      </c>
      <c r="Q9" s="282">
        <f t="shared" si="1"/>
        <v>0</v>
      </c>
    </row>
    <row r="10" spans="1:21" ht="15" customHeight="1" outlineLevel="1">
      <c r="B10" s="734"/>
      <c r="C10" s="734"/>
      <c r="D10" s="201" t="s">
        <v>596</v>
      </c>
      <c r="E10" s="365">
        <v>0</v>
      </c>
      <c r="F10" s="365">
        <v>129</v>
      </c>
      <c r="H10" s="305"/>
      <c r="J10" s="305"/>
      <c r="L10" s="305"/>
      <c r="M10">
        <v>129</v>
      </c>
      <c r="N10" s="305"/>
      <c r="O10" s="274">
        <f t="shared" si="2"/>
        <v>0</v>
      </c>
      <c r="P10" s="274" t="str">
        <f t="shared" si="0"/>
        <v>Council tax</v>
      </c>
      <c r="Q10" s="282">
        <f t="shared" si="1"/>
        <v>0</v>
      </c>
    </row>
    <row r="11" spans="1:21" ht="15" customHeight="1" outlineLevel="1">
      <c r="B11" s="734"/>
      <c r="C11" s="734"/>
      <c r="D11" s="201" t="s">
        <v>1002</v>
      </c>
      <c r="E11" s="365">
        <v>0</v>
      </c>
      <c r="F11" s="365">
        <f>23+75+1</f>
        <v>99</v>
      </c>
      <c r="H11" s="305"/>
      <c r="I11">
        <v>1</v>
      </c>
      <c r="J11" s="305"/>
      <c r="L11" s="305"/>
      <c r="M11">
        <f>23+75</f>
        <v>98</v>
      </c>
      <c r="N11" s="305"/>
      <c r="O11" s="274">
        <f t="shared" si="2"/>
        <v>0</v>
      </c>
      <c r="P11" s="274" t="str">
        <f t="shared" si="0"/>
        <v>Utilities (G,W,E,HTB)</v>
      </c>
      <c r="Q11" s="282">
        <f t="shared" si="1"/>
        <v>0</v>
      </c>
    </row>
    <row r="12" spans="1:21" ht="15" customHeight="1" outlineLevel="1">
      <c r="B12" s="734"/>
      <c r="C12" s="734"/>
      <c r="D12" s="201" t="s">
        <v>996</v>
      </c>
      <c r="E12" s="365">
        <v>0</v>
      </c>
      <c r="F12" s="365">
        <f>20.78</f>
        <v>20.78</v>
      </c>
      <c r="H12" s="305"/>
      <c r="J12" s="305"/>
      <c r="L12" s="305"/>
      <c r="M12">
        <f>20.78</f>
        <v>20.78</v>
      </c>
      <c r="N12" s="305"/>
      <c r="O12" s="274">
        <f t="shared" si="2"/>
        <v>0</v>
      </c>
      <c r="P12" s="274" t="str">
        <f t="shared" si="0"/>
        <v>Home Insurance</v>
      </c>
      <c r="Q12" s="282"/>
    </row>
    <row r="13" spans="1:21" ht="15" customHeight="1" outlineLevel="1">
      <c r="B13" s="734"/>
      <c r="C13" s="734"/>
      <c r="D13" s="201" t="s">
        <v>359</v>
      </c>
      <c r="E13" s="365">
        <v>15</v>
      </c>
      <c r="F13" s="365">
        <f>15</f>
        <v>15</v>
      </c>
      <c r="H13" s="305"/>
      <c r="J13" s="305"/>
      <c r="L13" s="305"/>
      <c r="N13" s="305"/>
      <c r="O13" s="274">
        <f t="shared" si="2"/>
        <v>30</v>
      </c>
      <c r="P13" s="274" t="str">
        <f t="shared" si="0"/>
        <v>TV License</v>
      </c>
      <c r="Q13" s="282"/>
    </row>
    <row r="14" spans="1:21" ht="15" customHeight="1" outlineLevel="1">
      <c r="B14" s="734"/>
      <c r="C14" s="734"/>
      <c r="D14" s="201" t="s">
        <v>1003</v>
      </c>
      <c r="E14" s="365">
        <v>0</v>
      </c>
      <c r="F14" s="365">
        <f>4.52+15.97+8.56+8</f>
        <v>37.050000000000004</v>
      </c>
      <c r="H14" s="305"/>
      <c r="I14">
        <v>29.05</v>
      </c>
      <c r="J14" s="305"/>
      <c r="L14" s="305"/>
      <c r="M14">
        <v>8</v>
      </c>
      <c r="N14" s="305"/>
      <c r="O14" s="274">
        <f t="shared" si="2"/>
        <v>0</v>
      </c>
      <c r="P14" s="274" t="str">
        <f t="shared" si="0"/>
        <v>Other Insurances</v>
      </c>
      <c r="Q14" s="282">
        <f t="shared" si="1"/>
        <v>0</v>
      </c>
    </row>
    <row r="15" spans="1:21" ht="15" customHeight="1" outlineLevel="1">
      <c r="B15" s="734"/>
      <c r="C15" s="734"/>
      <c r="D15" s="201" t="s">
        <v>602</v>
      </c>
      <c r="E15" s="365">
        <v>0</v>
      </c>
      <c r="F15" s="365">
        <v>39.99</v>
      </c>
      <c r="H15" s="305"/>
      <c r="J15" s="305"/>
      <c r="L15" s="305"/>
      <c r="M15">
        <v>51.33</v>
      </c>
      <c r="N15" s="305"/>
      <c r="O15" s="274">
        <f t="shared" si="2"/>
        <v>-11.339999999999996</v>
      </c>
      <c r="P15" s="274" t="str">
        <f t="shared" si="0"/>
        <v>Broadband / TV</v>
      </c>
      <c r="Q15" s="282">
        <f t="shared" si="1"/>
        <v>11.339999999999996</v>
      </c>
    </row>
    <row r="16" spans="1:21" ht="15" customHeight="1" outlineLevel="1">
      <c r="B16" s="734"/>
      <c r="C16" s="734"/>
      <c r="D16" s="201" t="s">
        <v>582</v>
      </c>
      <c r="E16" s="365">
        <v>0</v>
      </c>
      <c r="F16" s="365">
        <v>7.99</v>
      </c>
      <c r="H16" s="305"/>
      <c r="I16">
        <v>7.99</v>
      </c>
      <c r="J16" s="305"/>
      <c r="L16" s="305"/>
      <c r="N16" s="305"/>
      <c r="O16" s="274">
        <f t="shared" si="2"/>
        <v>0</v>
      </c>
      <c r="P16" s="274" t="str">
        <f t="shared" si="0"/>
        <v>Onedrive (6th)</v>
      </c>
      <c r="Q16" s="282">
        <f t="shared" si="1"/>
        <v>0</v>
      </c>
    </row>
    <row r="17" spans="2:19" ht="15" customHeight="1" outlineLevel="1">
      <c r="B17" s="734"/>
      <c r="C17" s="734"/>
      <c r="D17" s="201" t="s">
        <v>788</v>
      </c>
      <c r="E17" s="365">
        <v>0</v>
      </c>
      <c r="F17" s="365">
        <v>10.44</v>
      </c>
      <c r="G17">
        <v>11.7</v>
      </c>
      <c r="H17" s="305"/>
      <c r="J17" s="305"/>
      <c r="L17" s="305"/>
      <c r="N17" s="305"/>
      <c r="O17" s="274">
        <f t="shared" si="2"/>
        <v>-1.2599999999999998</v>
      </c>
      <c r="P17" s="274" t="str">
        <f t="shared" si="0"/>
        <v>Matt Phone</v>
      </c>
      <c r="Q17" s="282">
        <f t="shared" si="1"/>
        <v>1.2599999999999998</v>
      </c>
    </row>
    <row r="18" spans="2:19" ht="15" customHeight="1" outlineLevel="1">
      <c r="B18" s="734"/>
      <c r="C18" s="734"/>
      <c r="D18" s="201" t="s">
        <v>985</v>
      </c>
      <c r="E18" s="365">
        <v>0</v>
      </c>
      <c r="F18" s="365">
        <f>28.87+50.08+75.88</f>
        <v>154.82999999999998</v>
      </c>
      <c r="H18" s="305"/>
      <c r="I18">
        <f>28.87+50.08+75.88</f>
        <v>154.82999999999998</v>
      </c>
      <c r="J18" s="305"/>
      <c r="L18" s="305"/>
      <c r="N18" s="305"/>
      <c r="O18" s="274">
        <f t="shared" si="2"/>
        <v>0</v>
      </c>
      <c r="P18" s="274" t="str">
        <f t="shared" si="0"/>
        <v>Car Tax / Insurance</v>
      </c>
      <c r="Q18" s="282">
        <f t="shared" si="1"/>
        <v>0</v>
      </c>
    </row>
    <row r="19" spans="2:19" ht="15" customHeight="1" outlineLevel="1">
      <c r="B19" s="734"/>
      <c r="C19" s="734"/>
      <c r="D19" s="201" t="s">
        <v>944</v>
      </c>
      <c r="E19" s="365">
        <v>0</v>
      </c>
      <c r="F19" s="365">
        <v>15</v>
      </c>
      <c r="G19">
        <v>15</v>
      </c>
      <c r="H19" s="305"/>
      <c r="J19" s="305"/>
      <c r="L19" s="305"/>
      <c r="N19" s="305"/>
      <c r="O19" s="274">
        <f t="shared" si="2"/>
        <v>0</v>
      </c>
      <c r="P19" s="274" t="str">
        <f t="shared" si="0"/>
        <v>Windows</v>
      </c>
      <c r="Q19" s="282">
        <f t="shared" si="1"/>
        <v>0</v>
      </c>
    </row>
    <row r="20" spans="2:19" ht="15" customHeight="1" outlineLevel="1">
      <c r="B20" s="734"/>
      <c r="C20" s="734"/>
      <c r="D20" s="293" t="s">
        <v>920</v>
      </c>
      <c r="E20" s="365">
        <v>0</v>
      </c>
      <c r="F20" s="277">
        <f>179.07+129.97</f>
        <v>309.03999999999996</v>
      </c>
      <c r="H20" s="305"/>
      <c r="I20">
        <v>129.97</v>
      </c>
      <c r="J20" s="305"/>
      <c r="L20" s="305"/>
      <c r="M20">
        <v>179.07</v>
      </c>
      <c r="N20" s="305"/>
      <c r="O20" s="274">
        <f t="shared" si="2"/>
        <v>0</v>
      </c>
      <c r="P20" s="274" t="str">
        <f t="shared" si="0"/>
        <v>Finance</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",G45*0.2," / Actual = ",D23," (",ROUND((D23/G45)*100,2),")")</f>
        <v>Savings - 20 - 808.702 / Actual = 300 (7.42)</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300</v>
      </c>
      <c r="E23" s="759"/>
      <c r="F23" s="319"/>
      <c r="H23" s="305"/>
      <c r="J23" s="305"/>
      <c r="L23" s="305"/>
      <c r="N23" s="305"/>
      <c r="O23" s="285">
        <f>SUMIF(O24:O28,"&gt;0")</f>
        <v>437.88</v>
      </c>
      <c r="P23" s="285" t="s">
        <v>895</v>
      </c>
      <c r="Q23" s="282">
        <f>SUM(Q25:Q25)</f>
        <v>0</v>
      </c>
    </row>
    <row r="24" spans="2:19" ht="15" customHeight="1" outlineLevel="1">
      <c r="B24" s="7" t="str">
        <f>"20% : " &amp; E$45*0.2</f>
        <v>20% : 2461.138</v>
      </c>
      <c r="C24" s="7" t="str">
        <f>"20% : " &amp; E$45*0.2</f>
        <v>20% : 2461.138</v>
      </c>
      <c r="D24" s="300" t="s">
        <v>590</v>
      </c>
      <c r="E24" s="365">
        <v>0.48</v>
      </c>
      <c r="F24" s="365">
        <v>50</v>
      </c>
      <c r="H24" s="305"/>
      <c r="J24" s="305"/>
      <c r="L24" s="315"/>
      <c r="N24" s="305"/>
      <c r="O24" s="274">
        <f>SUM(E24:F24)-SUM(G24:N24)-Q45</f>
        <v>37.880000000000003</v>
      </c>
      <c r="P24" s="274" t="str">
        <f t="shared" ref="P24:P28" si="3">D24</f>
        <v>Contingency</v>
      </c>
      <c r="Q24" s="282">
        <f>SUM(Q25:Q29)</f>
        <v>0</v>
      </c>
    </row>
    <row r="25" spans="2:19" ht="15" customHeight="1" outlineLevel="1">
      <c r="B25" s="7"/>
      <c r="C25" s="7"/>
      <c r="D25" s="300" t="s">
        <v>998</v>
      </c>
      <c r="E25" s="365">
        <v>0</v>
      </c>
      <c r="F25" s="365">
        <v>50</v>
      </c>
      <c r="G25" s="11"/>
      <c r="H25" s="306"/>
      <c r="J25" s="305"/>
      <c r="L25" s="305"/>
      <c r="N25" s="305"/>
      <c r="O25" s="274">
        <f>SUM(E25:F25)-SUM(G25:N25)</f>
        <v>50</v>
      </c>
      <c r="P25" s="274" t="str">
        <f t="shared" si="3"/>
        <v>Cars (Service / MOT)</v>
      </c>
      <c r="Q25" s="282">
        <f t="shared" ref="Q25:Q28" si="4">IF(O25&lt;0,O25*-1,0)</f>
        <v>0</v>
      </c>
    </row>
    <row r="26" spans="2:19" ht="15" customHeight="1" outlineLevel="1">
      <c r="B26" s="7"/>
      <c r="C26" s="7"/>
      <c r="D26" s="300" t="s">
        <v>999</v>
      </c>
      <c r="E26" s="365">
        <v>0</v>
      </c>
      <c r="F26" s="365">
        <v>0</v>
      </c>
      <c r="G26" s="11"/>
      <c r="H26" s="306"/>
      <c r="J26" s="305"/>
      <c r="L26" s="305"/>
      <c r="N26" s="305"/>
      <c r="O26" s="274">
        <f t="shared" ref="O26:O28" si="5">SUM(E26:F26)-SUM(G26:N26)</f>
        <v>0</v>
      </c>
      <c r="P26" s="274" t="str">
        <f t="shared" si="3"/>
        <v>Mortgage Overpayment</v>
      </c>
      <c r="Q26" s="282">
        <f t="shared" si="4"/>
        <v>0</v>
      </c>
    </row>
    <row r="27" spans="2:19" ht="15" customHeight="1" outlineLevel="1">
      <c r="B27" s="7"/>
      <c r="C27" s="7"/>
      <c r="D27" s="300" t="s">
        <v>1000</v>
      </c>
      <c r="E27" s="365">
        <v>150</v>
      </c>
      <c r="F27" s="365">
        <v>200</v>
      </c>
      <c r="G27" s="11"/>
      <c r="H27" s="306"/>
      <c r="J27" s="305"/>
      <c r="L27" s="305"/>
      <c r="N27" s="305"/>
      <c r="O27" s="274">
        <f t="shared" si="5"/>
        <v>350</v>
      </c>
      <c r="P27" s="274" t="str">
        <f t="shared" si="3"/>
        <v>Finance Overpayment</v>
      </c>
      <c r="Q27" s="282">
        <f t="shared" si="4"/>
        <v>0</v>
      </c>
    </row>
    <row r="28" spans="2:19" ht="15" customHeight="1" outlineLevel="1">
      <c r="B28" s="7"/>
      <c r="C28" s="7"/>
      <c r="D28" s="300" t="s">
        <v>814</v>
      </c>
      <c r="E28" s="365">
        <v>1054.7</v>
      </c>
      <c r="F28" s="365">
        <v>0</v>
      </c>
      <c r="G28" s="11">
        <v>1054.7</v>
      </c>
      <c r="H28" s="306"/>
      <c r="J28" s="305"/>
      <c r="L28" s="305"/>
      <c r="N28" s="305"/>
      <c r="O28" s="274">
        <f t="shared" si="5"/>
        <v>0</v>
      </c>
      <c r="P28" s="274" t="str">
        <f t="shared" si="3"/>
        <v>CC</v>
      </c>
      <c r="Q28" s="282">
        <f t="shared" si="4"/>
        <v>0</v>
      </c>
    </row>
    <row r="29" spans="2:19" ht="15" customHeight="1">
      <c r="B29" s="118"/>
      <c r="C29" s="118"/>
      <c r="E29" s="365"/>
      <c r="F29" s="365"/>
      <c r="H29" s="305"/>
      <c r="J29" s="305"/>
      <c r="L29" s="305"/>
      <c r="N29" s="305"/>
      <c r="O29" s="273"/>
      <c r="P29" s="273"/>
      <c r="Q29" s="282"/>
    </row>
    <row r="30" spans="2:19" ht="15" customHeight="1">
      <c r="B30" s="727" t="str">
        <f>_xlfn.CONCAT("Wants - 30 - ",G45*0.3," / Actual = ",D31," (",ROUND((D31/G45)*100,2),")")</f>
        <v>Wants - 30 - 1213.053 / Actual = 2752.81 (68.08)</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(E$45-D5-D23-E44)</f>
        <v>2752.8099999999995</v>
      </c>
      <c r="E31" s="727"/>
      <c r="F31" s="319">
        <f>SUM(F32:F41)</f>
        <v>2520.8099999999995</v>
      </c>
      <c r="H31" s="305"/>
      <c r="J31" s="305"/>
      <c r="L31" s="305"/>
      <c r="N31" s="305"/>
      <c r="O31" s="285">
        <f>SUMIF(O32:O40,"&gt;0")</f>
        <v>4606.4100000000008</v>
      </c>
      <c r="P31" s="285" t="s">
        <v>899</v>
      </c>
      <c r="Q31" s="282">
        <f>SUM(Q32:Q41)</f>
        <v>0</v>
      </c>
    </row>
    <row r="32" spans="2:19" ht="15" customHeight="1" outlineLevel="1">
      <c r="B32" s="734"/>
      <c r="C32" s="760"/>
      <c r="D32" s="300" t="s">
        <v>1030</v>
      </c>
      <c r="E32" s="365">
        <v>600</v>
      </c>
      <c r="F32" s="365">
        <v>0</v>
      </c>
      <c r="H32" s="305"/>
      <c r="J32" s="305"/>
      <c r="L32" s="305"/>
      <c r="M32">
        <f>200</f>
        <v>200</v>
      </c>
      <c r="N32" s="305"/>
      <c r="O32" s="274">
        <f t="shared" ref="O32:O37" si="6">SUM(E32:F32)-SUM(G32:N32)</f>
        <v>400</v>
      </c>
      <c r="P32" s="274" t="str">
        <f>D32</f>
        <v>Latvia Surgery</v>
      </c>
      <c r="Q32" s="282">
        <f t="shared" ref="Q32:Q39" si="7">IF(O32&lt;0,O32*-1,0)</f>
        <v>0</v>
      </c>
      <c r="R32" s="11"/>
      <c r="S32" s="11"/>
    </row>
    <row r="33" spans="2:19" ht="15" customHeight="1" outlineLevel="1">
      <c r="B33" s="734"/>
      <c r="C33" s="760"/>
      <c r="D33" s="300" t="s">
        <v>1031</v>
      </c>
      <c r="E33" s="365">
        <v>391.59</v>
      </c>
      <c r="F33" s="365">
        <f>250+100</f>
        <v>350</v>
      </c>
      <c r="H33" s="305">
        <f>49.99</f>
        <v>49.99</v>
      </c>
      <c r="I33">
        <f>100.51+35</f>
        <v>135.51</v>
      </c>
      <c r="J33" s="305">
        <f>58.44+46.97</f>
        <v>105.41</v>
      </c>
      <c r="K33">
        <f>3+34.97</f>
        <v>37.97</v>
      </c>
      <c r="L33" s="305">
        <f>142.45-112.08</f>
        <v>30.36999999999999</v>
      </c>
      <c r="M33">
        <f>200</f>
        <v>200</v>
      </c>
      <c r="N33" s="305">
        <f>6.01+-49.99</f>
        <v>-43.980000000000004</v>
      </c>
      <c r="O33" s="274">
        <f t="shared" si="6"/>
        <v>226.31999999999994</v>
      </c>
      <c r="P33" s="274" t="str">
        <f t="shared" ref="P33:P34" si="8">D33</f>
        <v>Latvia Hotel</v>
      </c>
      <c r="Q33" s="282">
        <f t="shared" si="7"/>
        <v>0</v>
      </c>
      <c r="R33" s="11"/>
      <c r="S33" s="11"/>
    </row>
    <row r="34" spans="2:19" ht="15" customHeight="1" outlineLevel="1">
      <c r="B34" s="734"/>
      <c r="C34" s="760"/>
      <c r="D34" s="300" t="s">
        <v>354</v>
      </c>
      <c r="E34" s="365">
        <v>202.57</v>
      </c>
      <c r="F34" s="365">
        <v>60</v>
      </c>
      <c r="H34" s="305"/>
      <c r="J34" s="305"/>
      <c r="L34" s="305"/>
      <c r="N34" s="305"/>
      <c r="O34" s="274">
        <f t="shared" si="6"/>
        <v>262.57</v>
      </c>
      <c r="P34" s="274" t="str">
        <f t="shared" si="8"/>
        <v>Holiday</v>
      </c>
      <c r="Q34" s="282">
        <f t="shared" si="7"/>
        <v>0</v>
      </c>
      <c r="R34" s="11"/>
      <c r="S34" s="11"/>
    </row>
    <row r="35" spans="2:19" ht="15" customHeight="1" outlineLevel="1">
      <c r="B35" s="734"/>
      <c r="C35" s="760"/>
      <c r="D35" s="300" t="s">
        <v>170</v>
      </c>
      <c r="E35" s="365">
        <v>0</v>
      </c>
      <c r="F35" s="365">
        <f>215+150</f>
        <v>365</v>
      </c>
      <c r="G35">
        <f>270.6</f>
        <v>270.60000000000002</v>
      </c>
      <c r="H35" s="305"/>
      <c r="J35" s="305"/>
      <c r="L35" s="305"/>
      <c r="N35" s="305">
        <f>10</f>
        <v>10</v>
      </c>
      <c r="O35" s="274">
        <f t="shared" si="6"/>
        <v>84.399999999999977</v>
      </c>
      <c r="P35" s="274" t="str">
        <f t="shared" ref="P35:P43" si="9">D35</f>
        <v>Gift Fund</v>
      </c>
      <c r="Q35" s="282">
        <f t="shared" si="7"/>
        <v>0</v>
      </c>
      <c r="R35" s="11"/>
      <c r="S35" s="11"/>
    </row>
    <row r="36" spans="2:19" ht="15" customHeight="1" outlineLevel="1">
      <c r="B36" s="734"/>
      <c r="C36" s="760"/>
      <c r="D36" s="300" t="s">
        <v>812</v>
      </c>
      <c r="E36" s="365">
        <f>5503.88-341.82</f>
        <v>5162.0600000000004</v>
      </c>
      <c r="F36" s="365">
        <f>915-50+21-50+150+20+505.06-40</f>
        <v>1471.06</v>
      </c>
      <c r="H36" s="305"/>
      <c r="J36" s="305"/>
      <c r="L36" s="305"/>
      <c r="M36">
        <f>3000</f>
        <v>3000</v>
      </c>
      <c r="N36" s="305"/>
      <c r="O36" s="274">
        <f t="shared" si="6"/>
        <v>3633.1200000000008</v>
      </c>
      <c r="P36" s="274" t="str">
        <f t="shared" si="9"/>
        <v>Wedding</v>
      </c>
      <c r="Q36" s="282">
        <f t="shared" si="7"/>
        <v>0</v>
      </c>
      <c r="R36" s="11"/>
    </row>
    <row r="37" spans="2:19" ht="15" customHeight="1" outlineLevel="1">
      <c r="B37" s="734"/>
      <c r="C37" s="760"/>
      <c r="D37" s="300" t="s">
        <v>174</v>
      </c>
      <c r="E37" s="365">
        <v>0</v>
      </c>
      <c r="F37" s="365">
        <v>0</v>
      </c>
      <c r="G37" s="11"/>
      <c r="H37" s="306"/>
      <c r="J37" s="305"/>
      <c r="L37" s="305"/>
      <c r="N37" s="305"/>
      <c r="O37" s="274">
        <f t="shared" si="6"/>
        <v>0</v>
      </c>
      <c r="P37" s="274" t="str">
        <f t="shared" si="9"/>
        <v>House</v>
      </c>
      <c r="Q37" s="282">
        <f t="shared" si="7"/>
        <v>0</v>
      </c>
    </row>
    <row r="38" spans="2:19" ht="18" outlineLevel="1">
      <c r="B38" s="734"/>
      <c r="C38" s="760"/>
      <c r="D38" s="13" t="s">
        <v>943</v>
      </c>
      <c r="E38" s="365">
        <v>0</v>
      </c>
      <c r="F38" s="365">
        <v>0</v>
      </c>
      <c r="H38" s="305"/>
      <c r="J38" s="305"/>
      <c r="L38" s="305"/>
      <c r="N38" s="305"/>
      <c r="O38" s="274">
        <f t="shared" ref="O38:O43" si="10">SUM(E38:F38)-SUM(G38:N38)</f>
        <v>0</v>
      </c>
      <c r="P38" s="274" t="str">
        <f t="shared" si="9"/>
        <v>Car wash</v>
      </c>
      <c r="Q38" s="282">
        <f>IF(O38&lt;0,O38*-1,0)</f>
        <v>0</v>
      </c>
    </row>
    <row r="39" spans="2:19" ht="18" outlineLevel="1">
      <c r="B39" s="734"/>
      <c r="C39" s="760"/>
      <c r="D39" s="13" t="s">
        <v>177</v>
      </c>
      <c r="E39" s="365">
        <v>0</v>
      </c>
      <c r="F39" s="365">
        <v>0</v>
      </c>
      <c r="H39" s="305"/>
      <c r="J39" s="305"/>
      <c r="L39" s="305"/>
      <c r="N39" s="305"/>
      <c r="O39" s="274">
        <f>SUM(E39:F39)-SUM(G39:N39)</f>
        <v>0</v>
      </c>
      <c r="P39" s="274" t="str">
        <f t="shared" si="9"/>
        <v>Gym</v>
      </c>
      <c r="Q39" s="282">
        <f t="shared" si="7"/>
        <v>0</v>
      </c>
    </row>
    <row r="40" spans="2:19" ht="15.75" customHeight="1" outlineLevel="1">
      <c r="B40" s="734"/>
      <c r="C40" s="760"/>
      <c r="D40" s="13" t="s">
        <v>781</v>
      </c>
      <c r="E40" s="365">
        <v>0</v>
      </c>
      <c r="F40" s="365">
        <f>13+2+10.65+5.99+5.99+10.99</f>
        <v>48.620000000000005</v>
      </c>
      <c r="G40">
        <f>13+10.99</f>
        <v>23.990000000000002</v>
      </c>
      <c r="H40" s="305"/>
      <c r="I40">
        <f>2+5.99</f>
        <v>7.99</v>
      </c>
      <c r="J40" s="305"/>
      <c r="K40">
        <f>10.65</f>
        <v>10.65</v>
      </c>
      <c r="L40" s="305"/>
      <c r="M40">
        <v>5.99</v>
      </c>
      <c r="N40" s="305"/>
      <c r="O40" s="274">
        <f t="shared" si="10"/>
        <v>0</v>
      </c>
      <c r="P40" s="274" t="str">
        <f t="shared" si="9"/>
        <v>Subscriptions</v>
      </c>
      <c r="Q40" s="282">
        <f>IF(O40&lt;0,O40*-1,0)</f>
        <v>0</v>
      </c>
    </row>
    <row r="41" spans="2:19" ht="18" outlineLevel="1">
      <c r="B41" s="734"/>
      <c r="C41" s="760"/>
      <c r="D41" s="13" t="s">
        <v>922</v>
      </c>
      <c r="E41" s="365">
        <f>0.27+0.45</f>
        <v>0.72</v>
      </c>
      <c r="F41" s="365">
        <f>(D31-SUM(F32:F40))-F43</f>
        <v>226.12999999999965</v>
      </c>
      <c r="G41">
        <f>2.2+10.55+55.08+10</f>
        <v>77.83</v>
      </c>
      <c r="H41" s="305">
        <f>9.99</f>
        <v>9.99</v>
      </c>
      <c r="J41" s="305">
        <f>2.49+46.98+11.5</f>
        <v>60.97</v>
      </c>
      <c r="K41">
        <f>42</f>
        <v>42</v>
      </c>
      <c r="L41" s="305">
        <f>1.99</f>
        <v>1.99</v>
      </c>
      <c r="M41">
        <f>7+5.25+11</f>
        <v>23.25</v>
      </c>
      <c r="N41" s="305"/>
      <c r="O41" s="274">
        <f>SUM(E41:F41)-SUM(G41:N41)</f>
        <v>10.819999999999652</v>
      </c>
      <c r="P41" s="274" t="str">
        <f t="shared" si="9"/>
        <v>Matt Fun</v>
      </c>
      <c r="Q41" s="282">
        <f>IF(SUM(E41:F41)-SUM(G41:N41)&lt;=0,(SUM(E41:F41)-SUM(G41:N41))*-1,0)</f>
        <v>0</v>
      </c>
    </row>
    <row r="42" spans="2:19" ht="18" outlineLevel="1">
      <c r="B42" s="7"/>
      <c r="C42" s="284"/>
      <c r="D42" s="13" t="s">
        <v>1025</v>
      </c>
      <c r="E42" s="365">
        <v>0</v>
      </c>
      <c r="F42" s="365">
        <v>0</v>
      </c>
      <c r="H42" s="305"/>
      <c r="J42" s="305"/>
      <c r="L42" s="305"/>
      <c r="M42">
        <f>0.25+0.7+1.2+2.25+4.25+0.85+1.35+7.8</f>
        <v>18.649999999999999</v>
      </c>
      <c r="N42" s="305">
        <f>25+9.55+307.95</f>
        <v>342.5</v>
      </c>
      <c r="O42" s="274">
        <f>SUM(G42:N42)</f>
        <v>361.15</v>
      </c>
      <c r="P42" s="274" t="str">
        <f t="shared" si="9"/>
        <v>Work Expenses</v>
      </c>
      <c r="Q42" s="333"/>
      <c r="S42" s="11"/>
    </row>
    <row r="43" spans="2:19" ht="18" outlineLevel="1">
      <c r="B43" s="7"/>
      <c r="C43" s="284"/>
      <c r="D43" s="13" t="s">
        <v>152</v>
      </c>
      <c r="E43" s="365">
        <v>0</v>
      </c>
      <c r="F43" s="365">
        <f>302-150+80</f>
        <v>232</v>
      </c>
      <c r="H43" s="305">
        <f>139.96+52.97</f>
        <v>192.93</v>
      </c>
      <c r="J43" s="305"/>
      <c r="K43">
        <v>80</v>
      </c>
      <c r="L43" s="305"/>
      <c r="N43" s="305">
        <f>-59.98+-19.99</f>
        <v>-79.97</v>
      </c>
      <c r="O43" s="274">
        <f t="shared" si="10"/>
        <v>39.039999999999992</v>
      </c>
      <c r="P43" s="274" t="str">
        <f t="shared" si="9"/>
        <v>Kris</v>
      </c>
      <c r="Q43" s="271">
        <f>IF(F43-SUM(G43:N43)&lt;=0,(F43-SUM(G43:N43))*-1,0)</f>
        <v>0</v>
      </c>
    </row>
    <row r="44" spans="2:19">
      <c r="B44" s="118"/>
      <c r="C44" s="118"/>
      <c r="E44" s="365">
        <f>SUM(E32:E43)+SUM(E24:E28)+SUM(E6:E20)</f>
        <v>7577.1200000000008</v>
      </c>
      <c r="F44" s="365"/>
      <c r="H44" s="7"/>
      <c r="J44" s="7"/>
      <c r="L44" s="7"/>
      <c r="N44" s="7"/>
      <c r="O44" s="273"/>
      <c r="P44" s="273"/>
      <c r="Q44" s="282"/>
    </row>
    <row r="45" spans="2:19" ht="18">
      <c r="B45" s="728" t="s">
        <v>817</v>
      </c>
      <c r="C45" s="728"/>
      <c r="D45" s="728"/>
      <c r="E45" s="375">
        <f>G45+I45+K45+M45+N45+E44</f>
        <v>12305.69</v>
      </c>
      <c r="F45" s="379"/>
      <c r="G45" s="271">
        <f>2493.51+1088+150+312</f>
        <v>4043.51</v>
      </c>
      <c r="H45" s="271"/>
      <c r="I45" s="271"/>
      <c r="J45" s="271"/>
      <c r="K45" s="271">
        <f>100+80+505.06</f>
        <v>685.06</v>
      </c>
      <c r="L45" s="271"/>
      <c r="M45" s="271"/>
      <c r="N45" s="271"/>
      <c r="O45" s="314" t="str">
        <f>"£" &amp; ROUND(O5+O31+O23+O41+O43+O4,2)-O42 &amp; " / " &amp; "£" &amp; E45</f>
        <v>£5700.76 / £12305.69</v>
      </c>
      <c r="P45" s="274"/>
      <c r="Q45" s="282">
        <f>SUM(Q31,Q23,Q5)</f>
        <v>12.599999999999996</v>
      </c>
    </row>
    <row r="46" spans="2:19">
      <c r="B46" s="118"/>
      <c r="C46" s="7"/>
      <c r="E46" s="365"/>
      <c r="F46" s="365"/>
      <c r="G46" s="365"/>
      <c r="H46" s="365"/>
    </row>
    <row r="47" spans="2:19" ht="14.4">
      <c r="B47" s="729"/>
      <c r="C47" s="729"/>
      <c r="D47" s="729"/>
      <c r="E47" s="729"/>
      <c r="F47" s="729"/>
      <c r="G47" s="729"/>
      <c r="H47" s="297"/>
      <c r="K47" s="729"/>
      <c r="L47" s="729"/>
      <c r="M47" s="729"/>
      <c r="N47" s="729"/>
      <c r="O47" s="729"/>
      <c r="P47" s="297"/>
    </row>
    <row r="48" spans="2:19" ht="15" customHeight="1">
      <c r="B48" s="726" t="s">
        <v>955</v>
      </c>
      <c r="C48" s="726"/>
      <c r="D48" s="726"/>
      <c r="E48" s="726"/>
      <c r="F48" s="79"/>
      <c r="K48" s="212"/>
      <c r="L48" s="212"/>
      <c r="N48" s="118" t="s">
        <v>991</v>
      </c>
      <c r="O48" s="316">
        <v>44218</v>
      </c>
      <c r="P48" s="7">
        <f ca="1">DATEDIF(O48,NOW(),"d")</f>
        <v>2033</v>
      </c>
      <c r="Q48" t="s">
        <v>1034</v>
      </c>
    </row>
    <row r="49" spans="2:17">
      <c r="B49" s="365"/>
      <c r="C49" s="38"/>
      <c r="E49" s="11"/>
      <c r="F49" s="11"/>
      <c r="K49" s="214"/>
      <c r="L49" s="214"/>
      <c r="N49" s="322" t="s">
        <v>992</v>
      </c>
      <c r="O49" s="42">
        <v>44218</v>
      </c>
      <c r="P49" s="7">
        <f ca="1">DATEDIF(O49,NOW(),"d")</f>
        <v>2033</v>
      </c>
      <c r="Q49" t="s">
        <v>1035</v>
      </c>
    </row>
    <row r="50" spans="2:17" ht="14.4">
      <c r="E50" s="11"/>
      <c r="F50" s="11"/>
      <c r="H50" s="11"/>
      <c r="N50" t="s">
        <v>993</v>
      </c>
      <c r="O50">
        <v>0</v>
      </c>
      <c r="P50"/>
    </row>
    <row r="51" spans="2:17" ht="16.2" customHeight="1">
      <c r="E51" s="214"/>
      <c r="F51" s="214"/>
      <c r="J51" s="332"/>
      <c r="K51" s="332">
        <f>47.48+O41-34.97+O7+O8</f>
        <v>25.029999999999639</v>
      </c>
      <c r="L51" s="332"/>
      <c r="M51" s="332"/>
      <c r="N51" s="212"/>
      <c r="O51" s="212"/>
      <c r="P51" s="212"/>
    </row>
    <row r="52" spans="2:17">
      <c r="B52" s="378"/>
      <c r="E52"/>
      <c r="F52" s="214"/>
      <c r="J52" s="11"/>
      <c r="K52" s="56"/>
      <c r="L52" s="56"/>
      <c r="M52" s="365"/>
      <c r="N52" s="56" t="s">
        <v>98</v>
      </c>
      <c r="O52" s="243"/>
      <c r="P52" s="56"/>
    </row>
    <row r="53" spans="2:17">
      <c r="E53"/>
      <c r="F53" s="38"/>
      <c r="J53" s="11"/>
      <c r="M53" s="365"/>
      <c r="N53" s="56"/>
      <c r="O53" s="11"/>
      <c r="P53"/>
    </row>
    <row r="54" spans="2:17">
      <c r="E54"/>
      <c r="F54" s="38"/>
      <c r="G54" s="38"/>
      <c r="H54" s="38"/>
      <c r="J54" s="11"/>
      <c r="L54">
        <f>4985-2472</f>
        <v>2513</v>
      </c>
      <c r="M54" s="365"/>
      <c r="N54" s="56"/>
      <c r="O54" s="284"/>
      <c r="P54" s="212"/>
      <c r="Q54" s="212"/>
    </row>
    <row r="55" spans="2:17">
      <c r="E55"/>
      <c r="F55" s="38"/>
      <c r="H55" s="38"/>
      <c r="J55" s="11"/>
      <c r="M55" s="365"/>
      <c r="N55" s="56"/>
      <c r="O55" s="56"/>
      <c r="P55" s="56"/>
      <c r="Q55" s="38"/>
    </row>
    <row r="56" spans="2:17" ht="14.4">
      <c r="E56"/>
      <c r="F56" s="38"/>
      <c r="H56" s="38"/>
      <c r="J56" s="11"/>
      <c r="N56" s="56"/>
    </row>
    <row r="57" spans="2:17">
      <c r="E57" s="365"/>
      <c r="F57" s="365"/>
      <c r="H57" s="38"/>
      <c r="I57" s="11"/>
      <c r="J57" s="11"/>
      <c r="M57" s="365"/>
      <c r="N57" s="764"/>
    </row>
    <row r="58" spans="2:17">
      <c r="E58" s="365"/>
      <c r="F58" s="365"/>
      <c r="H58" s="38"/>
      <c r="I58" s="11"/>
      <c r="J58" s="11"/>
      <c r="N58" s="765"/>
      <c r="O58" s="275"/>
      <c r="P58" s="275"/>
    </row>
    <row r="59" spans="2:17">
      <c r="B59" s="11"/>
      <c r="E59" s="365"/>
      <c r="F59" s="365"/>
      <c r="H59" s="38"/>
      <c r="I59" s="11"/>
      <c r="J59" s="11"/>
      <c r="N59" s="765"/>
    </row>
    <row r="60" spans="2:17" ht="14.4">
      <c r="B60" s="11"/>
      <c r="E60"/>
      <c r="F60"/>
      <c r="H60" s="38"/>
      <c r="I60" s="11"/>
      <c r="J60" s="11"/>
      <c r="L60" s="79"/>
      <c r="M60" s="726"/>
      <c r="N60" s="726"/>
      <c r="O60" s="726"/>
      <c r="P60" s="726"/>
    </row>
    <row r="61" spans="2:17">
      <c r="E61"/>
      <c r="F61"/>
      <c r="H61" s="38"/>
      <c r="I61" s="11"/>
      <c r="N61" s="278"/>
      <c r="O61" s="212"/>
      <c r="P61" s="212"/>
    </row>
    <row r="62" spans="2:17">
      <c r="B62" s="212"/>
      <c r="C62" s="212"/>
      <c r="E62"/>
      <c r="F62"/>
      <c r="H62" s="38"/>
      <c r="I62" s="11"/>
      <c r="N62" s="376"/>
      <c r="O62" s="214"/>
      <c r="P62" s="214"/>
    </row>
    <row r="63" spans="2:17">
      <c r="C63" s="56"/>
      <c r="D63" s="243"/>
      <c r="E63"/>
      <c r="F63"/>
      <c r="H63" s="38"/>
      <c r="I63" s="11"/>
      <c r="N63" s="365"/>
      <c r="O63"/>
      <c r="P63"/>
    </row>
    <row r="64" spans="2:17">
      <c r="C64" s="56"/>
      <c r="E64"/>
      <c r="F64"/>
      <c r="H64" s="38"/>
      <c r="I64" s="11"/>
      <c r="N64" s="278"/>
      <c r="O64" s="212"/>
      <c r="P64" s="212"/>
    </row>
    <row r="65" spans="2:16">
      <c r="C65" s="56"/>
      <c r="D65" s="56"/>
      <c r="E65"/>
      <c r="F65"/>
      <c r="H65" s="38"/>
      <c r="I65" s="11"/>
      <c r="N65" s="365"/>
      <c r="O65" s="56"/>
      <c r="P65" s="56"/>
    </row>
    <row r="66" spans="2:16">
      <c r="C66" s="56"/>
      <c r="E66"/>
      <c r="F66"/>
      <c r="H66" s="38"/>
      <c r="I66" s="11"/>
      <c r="N66" s="365"/>
      <c r="O66"/>
      <c r="P66"/>
    </row>
    <row r="67" spans="2:16">
      <c r="C67" s="56"/>
      <c r="E67"/>
      <c r="F67"/>
      <c r="H67" s="38"/>
      <c r="I67" s="11"/>
      <c r="N67" s="278"/>
      <c r="O67" s="212"/>
      <c r="P67" s="212"/>
    </row>
    <row r="68" spans="2:16">
      <c r="C68" s="56"/>
      <c r="E68"/>
      <c r="F68"/>
      <c r="H68" s="38"/>
      <c r="I68" s="11"/>
      <c r="N68" s="365"/>
      <c r="O68" s="38"/>
      <c r="P68" s="56"/>
    </row>
    <row r="69" spans="2:16" ht="14.4">
      <c r="C69" s="56"/>
      <c r="E69"/>
      <c r="F69"/>
      <c r="H69" s="38"/>
      <c r="I69" s="11"/>
      <c r="O69"/>
    </row>
    <row r="70" spans="2:16" ht="14.4">
      <c r="C70" s="56"/>
      <c r="E70"/>
      <c r="F70"/>
      <c r="H70" s="38"/>
      <c r="I70" s="11"/>
    </row>
    <row r="71" spans="2:16" ht="14.4">
      <c r="C71" s="56"/>
      <c r="E71"/>
      <c r="F71"/>
    </row>
    <row r="72" spans="2:16" ht="14.4">
      <c r="C72" s="56"/>
      <c r="E72"/>
      <c r="F72"/>
    </row>
    <row r="73" spans="2:16" ht="14.4">
      <c r="C73" s="56"/>
      <c r="E73"/>
      <c r="F73"/>
    </row>
    <row r="74" spans="2:16">
      <c r="E74" s="365"/>
      <c r="F74" s="365"/>
    </row>
    <row r="75" spans="2:16" ht="14.4">
      <c r="B75" s="212"/>
      <c r="C75" s="294"/>
      <c r="D75" s="212"/>
      <c r="E75" s="212"/>
      <c r="F75" s="212"/>
      <c r="G75" s="212"/>
      <c r="H75" s="212"/>
    </row>
    <row r="76" spans="2:16" ht="14.4">
      <c r="C76" s="56"/>
      <c r="D76" s="56"/>
      <c r="E76" s="56"/>
      <c r="F76" s="56"/>
      <c r="G76" s="56"/>
      <c r="H76" s="56"/>
    </row>
    <row r="77" spans="2:16" ht="14.4">
      <c r="C77" s="56"/>
      <c r="D77" s="56"/>
      <c r="E77" s="56"/>
      <c r="F77" s="56"/>
      <c r="G77" s="56"/>
      <c r="H77" s="56"/>
    </row>
    <row r="78" spans="2:16" ht="14.4">
      <c r="C78" s="56"/>
      <c r="D78" s="56"/>
      <c r="E78" s="56"/>
      <c r="F78" s="56"/>
      <c r="G78" s="56"/>
      <c r="H78" s="56"/>
    </row>
    <row r="79" spans="2:16" ht="14.4">
      <c r="C79" s="56"/>
      <c r="D79" s="56"/>
      <c r="E79" s="56"/>
      <c r="F79" s="56"/>
      <c r="G79" s="56"/>
      <c r="H79" s="56"/>
    </row>
    <row r="80" spans="2:16" ht="14.4">
      <c r="C80" s="56"/>
      <c r="D80" s="56"/>
      <c r="E80" s="56"/>
      <c r="F80" s="56"/>
      <c r="G80" s="56"/>
      <c r="H80" s="56"/>
    </row>
    <row r="81" spans="3:8" ht="14.4">
      <c r="C81" s="56"/>
      <c r="E81" s="56"/>
      <c r="F81" s="56"/>
    </row>
    <row r="83" spans="3:8" ht="14.4">
      <c r="E83" s="212"/>
      <c r="F83" s="212"/>
      <c r="G83" s="212"/>
      <c r="H83" s="212"/>
    </row>
    <row r="84" spans="3:8" ht="14.4">
      <c r="E84" s="56"/>
      <c r="F84" s="56"/>
      <c r="G84" s="56"/>
      <c r="H84" s="56"/>
    </row>
    <row r="85" spans="3:8" ht="14.4">
      <c r="E85" s="56"/>
      <c r="F85" s="56"/>
      <c r="G85" s="56"/>
      <c r="H85" s="56"/>
    </row>
    <row r="86" spans="3:8" ht="14.4">
      <c r="E86" s="56"/>
      <c r="F86" s="56"/>
      <c r="G86" s="56"/>
      <c r="H86" s="56"/>
    </row>
    <row r="87" spans="3:8" ht="14.4">
      <c r="E87" s="56"/>
      <c r="F87" s="56"/>
      <c r="G87" s="56"/>
      <c r="H87" s="56"/>
    </row>
    <row r="88" spans="3:8" ht="14.4">
      <c r="E88" s="56"/>
      <c r="F88" s="56"/>
      <c r="G88" s="56"/>
      <c r="H88" s="56"/>
    </row>
    <row r="89" spans="3:8" ht="14.4">
      <c r="E89" s="56"/>
      <c r="F89" s="56"/>
    </row>
    <row r="91" spans="3:8" ht="14.4">
      <c r="E91" s="212"/>
      <c r="F91" s="212"/>
      <c r="G91" s="212"/>
      <c r="H91" s="212"/>
    </row>
    <row r="92" spans="3:8" ht="14.4">
      <c r="E92" s="56"/>
      <c r="F92" s="56"/>
      <c r="G92" s="56"/>
      <c r="H92" s="56"/>
    </row>
    <row r="93" spans="3:8" ht="14.4">
      <c r="E93" s="56"/>
      <c r="F93" s="56"/>
      <c r="G93" s="56"/>
      <c r="H93" s="56"/>
    </row>
    <row r="94" spans="3:8" ht="14.4">
      <c r="E94" s="56"/>
      <c r="F94" s="56"/>
      <c r="G94" s="56"/>
      <c r="H94" s="56"/>
    </row>
    <row r="95" spans="3:8" ht="14.4">
      <c r="E95" s="56"/>
      <c r="F95" s="56"/>
      <c r="G95" s="56"/>
      <c r="H95" s="56"/>
    </row>
    <row r="96" spans="3:8" ht="14.4">
      <c r="E96" s="56"/>
      <c r="F96" s="56"/>
      <c r="G96" s="56"/>
      <c r="H96" s="56"/>
    </row>
    <row r="97" spans="5:6" ht="14.4">
      <c r="E97" s="56"/>
      <c r="F97" s="56"/>
    </row>
    <row r="98" spans="5:6">
      <c r="E98" s="365"/>
      <c r="F98" s="365"/>
    </row>
  </sheetData>
  <mergeCells count="25">
    <mergeCell ref="B23:C23"/>
    <mergeCell ref="D23:E23"/>
    <mergeCell ref="B1:O1"/>
    <mergeCell ref="G3:H3"/>
    <mergeCell ref="I3:J3"/>
    <mergeCell ref="K3:L3"/>
    <mergeCell ref="M3:N3"/>
    <mergeCell ref="B4:E4"/>
    <mergeCell ref="B5:C5"/>
    <mergeCell ref="D5:E5"/>
    <mergeCell ref="B6:B20"/>
    <mergeCell ref="C6:C20"/>
    <mergeCell ref="B22:E22"/>
    <mergeCell ref="M60:P60"/>
    <mergeCell ref="B30:E30"/>
    <mergeCell ref="B31:C31"/>
    <mergeCell ref="D31:E31"/>
    <mergeCell ref="B32:B41"/>
    <mergeCell ref="C32:C41"/>
    <mergeCell ref="B45:D45"/>
    <mergeCell ref="B47:G47"/>
    <mergeCell ref="K47:O47"/>
    <mergeCell ref="B48:C48"/>
    <mergeCell ref="D48:E48"/>
    <mergeCell ref="N57:N59"/>
  </mergeCells>
  <pageMargins left="0.7" right="0.7" top="0.75" bottom="0.75" header="0.3" footer="0.3"/>
  <pageSetup orientation="portrait" r:id="rId1"/>
  <legacy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4F6A-7634-6D45-B6F2-F2DAA203E755}">
  <dimension ref="A1:U99"/>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DEC-JAN 2021</v>
      </c>
      <c r="B1" s="730" t="str">
        <f ca="1">MID(CELL("filename",B1),FIND("]",CELL("filename",B1))+1,255)</f>
        <v>JAN-FEB 2021</v>
      </c>
      <c r="C1" s="731"/>
      <c r="D1" s="731"/>
      <c r="E1" s="731"/>
      <c r="F1" s="731"/>
      <c r="G1" s="731"/>
      <c r="H1" s="731"/>
      <c r="I1" s="731"/>
      <c r="J1" s="731"/>
      <c r="K1" s="731"/>
      <c r="L1" s="731"/>
      <c r="M1" s="731"/>
      <c r="N1" s="731"/>
      <c r="O1" s="731"/>
      <c r="P1" s="298">
        <f>118.92-O4</f>
        <v>-1358.81</v>
      </c>
      <c r="Q1" s="281"/>
      <c r="R1" s="272"/>
      <c r="S1" s="272"/>
      <c r="T1" s="272"/>
    </row>
    <row r="2" spans="1:21">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44221</v>
      </c>
      <c r="H3" s="732"/>
      <c r="I3" s="732">
        <f>G3+7</f>
        <v>44228</v>
      </c>
      <c r="J3" s="732"/>
      <c r="K3" s="732">
        <f>I3+7</f>
        <v>44235</v>
      </c>
      <c r="L3" s="732"/>
      <c r="M3" s="732">
        <f>K3+7</f>
        <v>44242</v>
      </c>
      <c r="N3" s="732"/>
      <c r="O3" s="325" t="str">
        <f>0 &amp; " / " &amp; ROUND(0-O4,2)</f>
        <v>0 / -1477.73</v>
      </c>
      <c r="P3" s="325" t="s">
        <v>994</v>
      </c>
      <c r="Q3" s="282"/>
    </row>
    <row r="4" spans="1:21" ht="15" customHeight="1">
      <c r="B4" s="727" t="str">
        <f>_xlfn.CONCAT("Expenses - 50 - ",G46*0.5," / Actual = ",D5," (",ROUND((D5/G46)*100,2),")")</f>
        <v>Expenses - 50 - 3750.795 / Actual = 1726.38 (23.01)</v>
      </c>
      <c r="C4" s="727"/>
      <c r="D4" s="727"/>
      <c r="E4" s="727"/>
      <c r="F4" s="318"/>
      <c r="H4" s="243">
        <f>SUM(H5:H44)</f>
        <v>762.99</v>
      </c>
      <c r="J4" s="243">
        <f>SUM(J5:J44)</f>
        <v>498.08</v>
      </c>
      <c r="L4" s="243">
        <f>SUM(L5:L44)</f>
        <v>178.16</v>
      </c>
      <c r="N4" s="243">
        <f>SUM(N5:N44)</f>
        <v>38.5</v>
      </c>
      <c r="O4" s="308">
        <f>IF(H45&lt;&gt;"PAID",H4,0)+IF(J45&lt;&gt;"PAID",J4,0)+IF(L45&lt;&gt;"PAID",L4,0)+IF(N45&lt;&gt;"PAID",N4,0)</f>
        <v>1477.73</v>
      </c>
      <c r="P4" s="309" t="s">
        <v>973</v>
      </c>
      <c r="Q4" s="282"/>
      <c r="R4" s="243"/>
      <c r="S4" s="243">
        <f>O4-1616.15</f>
        <v>-138.42000000000007</v>
      </c>
    </row>
    <row r="5" spans="1:21" ht="15" customHeight="1">
      <c r="B5" s="733" t="str">
        <f>IF(D5&gt;E$46*0.5,ROUND(D5-E$46*0.5,2) &amp; " Over",ROUND(E$46*0.5-D5,2) &amp; " Under")</f>
        <v>5727.88 Under</v>
      </c>
      <c r="C5" s="733"/>
      <c r="D5" s="761">
        <f>SUM(F6:F20)</f>
        <v>1726.3799999999997</v>
      </c>
      <c r="E5" s="761"/>
      <c r="F5" s="321"/>
      <c r="G5" s="284"/>
      <c r="H5" s="306"/>
      <c r="I5" s="79"/>
      <c r="J5" s="306"/>
      <c r="K5" s="79"/>
      <c r="L5" s="306"/>
      <c r="M5" s="79"/>
      <c r="N5" s="305"/>
      <c r="O5" s="285">
        <f>SUMIF(O6:O20,"&gt;0")</f>
        <v>0</v>
      </c>
      <c r="P5" s="285" t="s">
        <v>892</v>
      </c>
      <c r="Q5" s="282">
        <f>SUM(Q6:Q20)</f>
        <v>23.949999999999974</v>
      </c>
    </row>
    <row r="6" spans="1:21" ht="15" customHeight="1">
      <c r="B6" s="734" t="str">
        <f>"50%: " &amp; E$46*0.5</f>
        <v>50%: 7454.255</v>
      </c>
      <c r="C6" s="734" t="str">
        <f>ROUND((D5/E$46)*100,2) &amp; "%: " &amp;D5</f>
        <v>11.58%: 1726.38</v>
      </c>
      <c r="D6" s="13" t="s">
        <v>805</v>
      </c>
      <c r="E6" s="365">
        <v>0</v>
      </c>
      <c r="F6" s="374">
        <f>100-19.99</f>
        <v>80.010000000000005</v>
      </c>
      <c r="H6" s="305">
        <f>10</f>
        <v>10</v>
      </c>
      <c r="J6" s="305">
        <f>50.01</f>
        <v>50.01</v>
      </c>
      <c r="L6" s="305">
        <f>20</f>
        <v>20</v>
      </c>
      <c r="N6" s="305"/>
      <c r="O6" s="274">
        <f>SUM(E6:F6)-SUM(G6:N6)</f>
        <v>0</v>
      </c>
      <c r="P6" s="274" t="str">
        <f t="shared" ref="P6:P20" si="0">D6</f>
        <v>Car Petrol / commuting</v>
      </c>
      <c r="Q6" s="282">
        <f t="shared" ref="Q6:Q20" si="1">IF(O6&lt;0,O6*-1,0)</f>
        <v>0</v>
      </c>
    </row>
    <row r="7" spans="1:21" ht="15" customHeight="1">
      <c r="B7" s="734"/>
      <c r="C7" s="734"/>
      <c r="D7" s="13" t="s">
        <v>169</v>
      </c>
      <c r="E7" s="365">
        <v>0</v>
      </c>
      <c r="F7" s="365">
        <f>319.99</f>
        <v>319.99</v>
      </c>
      <c r="G7">
        <v>75</v>
      </c>
      <c r="H7" s="305">
        <f>4.39+2.85</f>
        <v>7.24</v>
      </c>
      <c r="J7" s="305">
        <f>54.98+24.97</f>
        <v>79.949999999999989</v>
      </c>
      <c r="L7" s="305">
        <f>(67.69-30)+35.63+12.6+3+7.95</f>
        <v>96.86999999999999</v>
      </c>
      <c r="M7">
        <f>23.46</f>
        <v>23.46</v>
      </c>
      <c r="N7" s="305">
        <f>20.39+18.11</f>
        <v>38.5</v>
      </c>
      <c r="O7" s="274">
        <f t="shared" ref="O7:O20" si="2">SUM(E7:F7)-SUM(G7:N7)</f>
        <v>-1.0299999999999727</v>
      </c>
      <c r="P7" s="274" t="str">
        <f t="shared" si="0"/>
        <v>Food</v>
      </c>
      <c r="Q7" s="282">
        <f t="shared" si="1"/>
        <v>1.0299999999999727</v>
      </c>
    </row>
    <row r="8" spans="1:21" ht="15" customHeight="1">
      <c r="B8" s="734"/>
      <c r="C8" s="734"/>
      <c r="D8" s="13" t="s">
        <v>919</v>
      </c>
      <c r="E8" s="365">
        <v>0</v>
      </c>
      <c r="F8" s="365">
        <f>40</f>
        <v>40</v>
      </c>
      <c r="H8" s="305"/>
      <c r="J8" s="305">
        <f>32.98+26.94</f>
        <v>59.92</v>
      </c>
      <c r="L8" s="305"/>
      <c r="N8" s="305"/>
      <c r="O8" s="274">
        <f t="shared" si="2"/>
        <v>-19.920000000000002</v>
      </c>
      <c r="P8" s="274" t="str">
        <f t="shared" si="0"/>
        <v>Bun</v>
      </c>
      <c r="Q8" s="282">
        <f t="shared" si="1"/>
        <v>19.920000000000002</v>
      </c>
    </row>
    <row r="9" spans="1:21" ht="15" customHeight="1" outlineLevel="1">
      <c r="B9" s="734"/>
      <c r="C9" s="734"/>
      <c r="D9" s="201" t="s">
        <v>595</v>
      </c>
      <c r="E9" s="365">
        <v>0</v>
      </c>
      <c r="F9" s="365">
        <f>452.64</f>
        <v>452.64</v>
      </c>
      <c r="H9" s="305"/>
      <c r="J9" s="305"/>
      <c r="L9" s="305"/>
      <c r="M9">
        <v>452.64</v>
      </c>
      <c r="N9" s="305"/>
      <c r="O9" s="274">
        <f t="shared" si="2"/>
        <v>0</v>
      </c>
      <c r="P9" s="274" t="str">
        <f t="shared" si="0"/>
        <v>Mortgage</v>
      </c>
      <c r="Q9" s="282">
        <f t="shared" si="1"/>
        <v>0</v>
      </c>
    </row>
    <row r="10" spans="1:21" ht="15" customHeight="1" outlineLevel="1">
      <c r="B10" s="734"/>
      <c r="C10" s="734"/>
      <c r="D10" s="201" t="s">
        <v>596</v>
      </c>
      <c r="E10" s="365">
        <v>0</v>
      </c>
      <c r="F10" s="365">
        <v>129</v>
      </c>
      <c r="H10" s="305"/>
      <c r="J10" s="305"/>
      <c r="L10" s="305"/>
      <c r="M10">
        <v>129</v>
      </c>
      <c r="N10" s="305"/>
      <c r="O10" s="274">
        <f t="shared" si="2"/>
        <v>0</v>
      </c>
      <c r="P10" s="274" t="str">
        <f t="shared" si="0"/>
        <v>Council tax</v>
      </c>
      <c r="Q10" s="282">
        <f t="shared" si="1"/>
        <v>0</v>
      </c>
    </row>
    <row r="11" spans="1:21" ht="15" customHeight="1" outlineLevel="1">
      <c r="B11" s="734"/>
      <c r="C11" s="734"/>
      <c r="D11" s="201" t="s">
        <v>1002</v>
      </c>
      <c r="E11" s="365">
        <v>0</v>
      </c>
      <c r="F11" s="365">
        <f>23+75+1</f>
        <v>99</v>
      </c>
      <c r="H11" s="305"/>
      <c r="I11">
        <f>1</f>
        <v>1</v>
      </c>
      <c r="J11" s="305"/>
      <c r="L11" s="305"/>
      <c r="M11">
        <f>23+75</f>
        <v>98</v>
      </c>
      <c r="N11" s="305"/>
      <c r="O11" s="274">
        <f t="shared" si="2"/>
        <v>0</v>
      </c>
      <c r="P11" s="274" t="str">
        <f t="shared" si="0"/>
        <v>Utilities (G,W,E,HTB)</v>
      </c>
      <c r="Q11" s="282">
        <f t="shared" si="1"/>
        <v>0</v>
      </c>
    </row>
    <row r="12" spans="1:21" ht="15" customHeight="1" outlineLevel="1">
      <c r="B12" s="734"/>
      <c r="C12" s="734"/>
      <c r="D12" s="201" t="s">
        <v>996</v>
      </c>
      <c r="E12" s="365">
        <v>0</v>
      </c>
      <c r="F12" s="365">
        <f>20.78</f>
        <v>20.78</v>
      </c>
      <c r="H12" s="305"/>
      <c r="J12" s="305"/>
      <c r="L12" s="305"/>
      <c r="M12">
        <v>20.78</v>
      </c>
      <c r="N12" s="305"/>
      <c r="O12" s="274">
        <f t="shared" si="2"/>
        <v>0</v>
      </c>
      <c r="P12" s="274" t="str">
        <f t="shared" si="0"/>
        <v>Home Insurance</v>
      </c>
      <c r="Q12" s="282"/>
    </row>
    <row r="13" spans="1:21" ht="15" customHeight="1" outlineLevel="1">
      <c r="B13" s="734"/>
      <c r="C13" s="734"/>
      <c r="D13" s="201" t="s">
        <v>359</v>
      </c>
      <c r="E13" s="365">
        <v>30</v>
      </c>
      <c r="F13" s="365">
        <f>15-4.38</f>
        <v>10.620000000000001</v>
      </c>
      <c r="H13" s="305"/>
      <c r="J13" s="305"/>
      <c r="L13" s="305"/>
      <c r="M13">
        <f>40.62</f>
        <v>40.619999999999997</v>
      </c>
      <c r="N13" s="305"/>
      <c r="O13" s="274">
        <f t="shared" si="2"/>
        <v>0</v>
      </c>
      <c r="P13" s="274" t="str">
        <f t="shared" si="0"/>
        <v>TV License</v>
      </c>
      <c r="Q13" s="282"/>
    </row>
    <row r="14" spans="1:21" ht="15" customHeight="1" outlineLevel="1">
      <c r="B14" s="734"/>
      <c r="C14" s="734"/>
      <c r="D14" s="201" t="s">
        <v>1003</v>
      </c>
      <c r="E14" s="365">
        <v>0</v>
      </c>
      <c r="F14" s="365">
        <f>4.52+15.97+8.56+8</f>
        <v>37.050000000000004</v>
      </c>
      <c r="H14" s="305"/>
      <c r="I14" s="11">
        <f>F14-8</f>
        <v>29.050000000000004</v>
      </c>
      <c r="J14" s="305"/>
      <c r="L14" s="305"/>
      <c r="M14">
        <v>8</v>
      </c>
      <c r="N14" s="305"/>
      <c r="O14" s="274">
        <f t="shared" si="2"/>
        <v>0</v>
      </c>
      <c r="P14" s="274" t="str">
        <f t="shared" si="0"/>
        <v>Other Insurances</v>
      </c>
      <c r="Q14" s="282">
        <f t="shared" si="1"/>
        <v>0</v>
      </c>
    </row>
    <row r="15" spans="1:21" ht="15" customHeight="1" outlineLevel="1">
      <c r="B15" s="734"/>
      <c r="C15" s="734"/>
      <c r="D15" s="201" t="s">
        <v>602</v>
      </c>
      <c r="E15" s="365">
        <v>0</v>
      </c>
      <c r="F15" s="365">
        <v>39.99</v>
      </c>
      <c r="G15">
        <f>5</f>
        <v>5</v>
      </c>
      <c r="H15" s="305"/>
      <c r="J15" s="305"/>
      <c r="L15" s="305"/>
      <c r="M15">
        <f>(49.8-34.81)+20</f>
        <v>34.989999999999995</v>
      </c>
      <c r="N15" s="305"/>
      <c r="O15" s="274">
        <f t="shared" si="2"/>
        <v>0</v>
      </c>
      <c r="P15" s="274" t="str">
        <f t="shared" si="0"/>
        <v>Broadband / TV</v>
      </c>
      <c r="Q15" s="282">
        <f t="shared" si="1"/>
        <v>0</v>
      </c>
    </row>
    <row r="16" spans="1:21" ht="15" customHeight="1" outlineLevel="1">
      <c r="B16" s="734"/>
      <c r="C16" s="734"/>
      <c r="D16" s="201" t="s">
        <v>582</v>
      </c>
      <c r="E16" s="365">
        <v>0</v>
      </c>
      <c r="F16" s="365">
        <v>7.99</v>
      </c>
      <c r="H16" s="305"/>
      <c r="I16">
        <v>7.99</v>
      </c>
      <c r="J16" s="305"/>
      <c r="L16" s="305"/>
      <c r="N16" s="305"/>
      <c r="O16" s="274">
        <f t="shared" si="2"/>
        <v>0</v>
      </c>
      <c r="P16" s="274" t="str">
        <f t="shared" si="0"/>
        <v>Onedrive (6th)</v>
      </c>
      <c r="Q16" s="282">
        <f t="shared" si="1"/>
        <v>0</v>
      </c>
    </row>
    <row r="17" spans="2:19" ht="15" customHeight="1" outlineLevel="1">
      <c r="B17" s="734"/>
      <c r="C17" s="734"/>
      <c r="D17" s="201" t="s">
        <v>788</v>
      </c>
      <c r="E17" s="365">
        <v>0</v>
      </c>
      <c r="F17" s="365">
        <v>10.44</v>
      </c>
      <c r="H17" s="305"/>
      <c r="I17">
        <f>13.44</f>
        <v>13.44</v>
      </c>
      <c r="J17" s="305"/>
      <c r="L17" s="305"/>
      <c r="N17" s="305"/>
      <c r="O17" s="274">
        <f>SUM(E17:F17)-SUM(H17:N17)</f>
        <v>-3</v>
      </c>
      <c r="P17" s="274" t="str">
        <f t="shared" si="0"/>
        <v>Matt Phone</v>
      </c>
      <c r="Q17" s="282">
        <f t="shared" si="1"/>
        <v>3</v>
      </c>
    </row>
    <row r="18" spans="2:19" ht="15" customHeight="1" outlineLevel="1">
      <c r="B18" s="734"/>
      <c r="C18" s="734"/>
      <c r="D18" s="201" t="s">
        <v>985</v>
      </c>
      <c r="E18" s="365">
        <v>0</v>
      </c>
      <c r="F18" s="365">
        <f>28.87+50.08+75.88</f>
        <v>154.82999999999998</v>
      </c>
      <c r="H18" s="305"/>
      <c r="I18">
        <f>28.87+50.08+75.88</f>
        <v>154.82999999999998</v>
      </c>
      <c r="J18" s="305"/>
      <c r="L18" s="305"/>
      <c r="N18" s="305"/>
      <c r="O18" s="274">
        <f>SUM(E18:F18)-SUM(H18:N18)</f>
        <v>0</v>
      </c>
      <c r="P18" s="274" t="str">
        <f t="shared" si="0"/>
        <v>Car Tax / Insurance</v>
      </c>
      <c r="Q18" s="282">
        <f t="shared" si="1"/>
        <v>0</v>
      </c>
    </row>
    <row r="19" spans="2:19" ht="15" customHeight="1" outlineLevel="1">
      <c r="B19" s="734"/>
      <c r="C19" s="734"/>
      <c r="D19" s="201" t="s">
        <v>944</v>
      </c>
      <c r="E19" s="365">
        <v>0</v>
      </c>
      <c r="F19" s="365">
        <v>15</v>
      </c>
      <c r="G19">
        <v>15</v>
      </c>
      <c r="H19" s="305"/>
      <c r="J19" s="305"/>
      <c r="L19" s="305"/>
      <c r="N19" s="305"/>
      <c r="O19" s="274">
        <f t="shared" si="2"/>
        <v>0</v>
      </c>
      <c r="P19" s="274" t="str">
        <f t="shared" si="0"/>
        <v>Windows</v>
      </c>
      <c r="Q19" s="282">
        <f t="shared" si="1"/>
        <v>0</v>
      </c>
    </row>
    <row r="20" spans="2:19" ht="15" customHeight="1" outlineLevel="1">
      <c r="B20" s="734"/>
      <c r="C20" s="734"/>
      <c r="D20" s="293" t="s">
        <v>920</v>
      </c>
      <c r="E20" s="365">
        <v>0</v>
      </c>
      <c r="F20" s="277">
        <f>179.07+129.97</f>
        <v>309.03999999999996</v>
      </c>
      <c r="G20">
        <v>129.97</v>
      </c>
      <c r="H20" s="305"/>
      <c r="J20" s="305"/>
      <c r="L20" s="305"/>
      <c r="M20">
        <v>179.07</v>
      </c>
      <c r="N20" s="305"/>
      <c r="O20" s="274">
        <f t="shared" si="2"/>
        <v>0</v>
      </c>
      <c r="P20" s="274" t="str">
        <f t="shared" si="0"/>
        <v>Finance</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",G46*0.2," / Actual = ",D23," (",ROUND((D23/G46)*100,2),")")</f>
        <v>Savings - 20 - 1500.318 / Actual = 300 (4)</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300</v>
      </c>
      <c r="E23" s="759"/>
      <c r="F23" s="319"/>
      <c r="H23" s="305"/>
      <c r="J23" s="305"/>
      <c r="L23" s="305"/>
      <c r="N23" s="305"/>
      <c r="O23" s="285">
        <f>SUMIF(O24:O28,"&gt;0")</f>
        <v>89.140000000000015</v>
      </c>
      <c r="P23" s="285" t="s">
        <v>895</v>
      </c>
      <c r="Q23" s="282">
        <f>SUM(Q25:Q25)</f>
        <v>0</v>
      </c>
    </row>
    <row r="24" spans="2:19" ht="15" customHeight="1" outlineLevel="1">
      <c r="B24" s="7" t="str">
        <f>"20% : " &amp; E$46*0.2</f>
        <v>20% : 2981.702</v>
      </c>
      <c r="C24" s="7" t="str">
        <f>"20% : " &amp; E$46*0.2</f>
        <v>20% : 2981.702</v>
      </c>
      <c r="D24" s="300" t="s">
        <v>590</v>
      </c>
      <c r="E24" s="365">
        <v>37.880000000000003</v>
      </c>
      <c r="F24" s="365">
        <v>50</v>
      </c>
      <c r="H24" s="305"/>
      <c r="J24" s="305"/>
      <c r="L24" s="315"/>
      <c r="M24">
        <f>(49.8-15.01)</f>
        <v>34.79</v>
      </c>
      <c r="N24" s="305"/>
      <c r="O24" s="274">
        <f>SUM(E24:F24)-SUM(G24:N24)-Q46</f>
        <v>29.140000000000022</v>
      </c>
      <c r="P24" s="274" t="str">
        <f t="shared" ref="P24:P28" si="3">D24</f>
        <v>Contingency</v>
      </c>
      <c r="Q24" s="282">
        <f>SUM(Q25:Q29)</f>
        <v>0</v>
      </c>
    </row>
    <row r="25" spans="2:19" ht="15" customHeight="1" outlineLevel="1">
      <c r="B25" s="7"/>
      <c r="C25" s="7"/>
      <c r="D25" s="300" t="s">
        <v>998</v>
      </c>
      <c r="E25" s="365">
        <v>50</v>
      </c>
      <c r="F25" s="365">
        <v>50</v>
      </c>
      <c r="G25" s="11">
        <f>40</f>
        <v>40</v>
      </c>
      <c r="H25" s="306"/>
      <c r="J25" s="305"/>
      <c r="L25" s="305"/>
      <c r="N25" s="305"/>
      <c r="O25" s="274">
        <f>SUM(E25:F25)-SUM(G25:N25)</f>
        <v>60</v>
      </c>
      <c r="P25" s="274" t="str">
        <f t="shared" si="3"/>
        <v>Cars (Service / MOT)</v>
      </c>
      <c r="Q25" s="282">
        <f t="shared" ref="Q25:Q28" si="4">IF(O25&lt;0,O25*-1,0)</f>
        <v>0</v>
      </c>
    </row>
    <row r="26" spans="2:19" ht="15" customHeight="1" outlineLevel="1">
      <c r="B26" s="7"/>
      <c r="C26" s="7"/>
      <c r="D26" s="300" t="s">
        <v>999</v>
      </c>
      <c r="E26" s="365">
        <v>0</v>
      </c>
      <c r="F26" s="365">
        <v>0</v>
      </c>
      <c r="G26" s="11"/>
      <c r="H26" s="306"/>
      <c r="J26" s="305"/>
      <c r="L26" s="305"/>
      <c r="N26" s="305"/>
      <c r="O26" s="274">
        <f t="shared" ref="O26:O28" si="5">SUM(E26:F26)-SUM(G26:N26)</f>
        <v>0</v>
      </c>
      <c r="P26" s="274" t="str">
        <f t="shared" si="3"/>
        <v>Mortgage Overpayment</v>
      </c>
      <c r="Q26" s="282">
        <f t="shared" si="4"/>
        <v>0</v>
      </c>
    </row>
    <row r="27" spans="2:19" ht="15" customHeight="1" outlineLevel="1">
      <c r="B27" s="7"/>
      <c r="C27" s="7"/>
      <c r="D27" s="300" t="s">
        <v>1000</v>
      </c>
      <c r="E27" s="365">
        <v>350</v>
      </c>
      <c r="F27" s="365">
        <v>200</v>
      </c>
      <c r="G27" s="11">
        <f>550</f>
        <v>550</v>
      </c>
      <c r="H27" s="306"/>
      <c r="J27" s="305"/>
      <c r="L27" s="305"/>
      <c r="N27" s="305"/>
      <c r="O27" s="274">
        <f t="shared" si="5"/>
        <v>0</v>
      </c>
      <c r="P27" s="274" t="str">
        <f t="shared" si="3"/>
        <v>Finance Overpayment</v>
      </c>
      <c r="Q27" s="282">
        <f t="shared" si="4"/>
        <v>0</v>
      </c>
    </row>
    <row r="28" spans="2:19" ht="15" customHeight="1" outlineLevel="1">
      <c r="B28" s="7"/>
      <c r="C28" s="7"/>
      <c r="D28" s="300" t="s">
        <v>814</v>
      </c>
      <c r="E28" s="365">
        <v>936.06</v>
      </c>
      <c r="F28" s="365">
        <v>0</v>
      </c>
      <c r="G28" s="11">
        <v>936.06</v>
      </c>
      <c r="H28" s="306"/>
      <c r="J28" s="305"/>
      <c r="L28" s="305"/>
      <c r="N28" s="305"/>
      <c r="O28" s="274">
        <f t="shared" si="5"/>
        <v>0</v>
      </c>
      <c r="P28" s="274" t="str">
        <f t="shared" si="3"/>
        <v>CC</v>
      </c>
      <c r="Q28" s="282">
        <f t="shared" si="4"/>
        <v>0</v>
      </c>
    </row>
    <row r="29" spans="2:19" ht="15" customHeight="1">
      <c r="B29" s="118"/>
      <c r="C29" s="118"/>
      <c r="E29" s="365"/>
      <c r="F29" s="365"/>
      <c r="H29" s="305"/>
      <c r="J29" s="305"/>
      <c r="L29" s="305"/>
      <c r="N29" s="305"/>
      <c r="O29" s="273"/>
      <c r="P29" s="273"/>
      <c r="Q29" s="282"/>
    </row>
    <row r="30" spans="2:19" ht="15" customHeight="1">
      <c r="B30" s="727" t="str">
        <f>_xlfn.CONCAT("Wants - 30 - ",G46*0.3," / Actual = ",D31," (",ROUND((D31/G46)*100,2),")")</f>
        <v>Wants - 30 - 2250.477 / Actual = 7181.37 (95.73)</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(E$46-D5-D23-E45)</f>
        <v>7181.3700000000008</v>
      </c>
      <c r="E31" s="727"/>
      <c r="F31" s="319">
        <f>SUM(F32:F42)</f>
        <v>7181.3700000000008</v>
      </c>
      <c r="H31" s="305"/>
      <c r="J31" s="305"/>
      <c r="L31" s="305"/>
      <c r="N31" s="305"/>
      <c r="O31" s="285">
        <f>SUMIF(O32:O41,"&gt;0")</f>
        <v>8088.8499999999985</v>
      </c>
      <c r="P31" s="285" t="s">
        <v>899</v>
      </c>
      <c r="Q31" s="282">
        <f>SUM(Q32:Q42)</f>
        <v>0</v>
      </c>
    </row>
    <row r="32" spans="2:19" ht="15" customHeight="1" outlineLevel="1">
      <c r="B32" s="734"/>
      <c r="C32" s="760"/>
      <c r="D32" s="300" t="s">
        <v>1036</v>
      </c>
      <c r="E32" s="365">
        <v>0</v>
      </c>
      <c r="F32" s="365">
        <v>200</v>
      </c>
      <c r="H32" s="305"/>
      <c r="J32" s="305"/>
      <c r="L32" s="305"/>
      <c r="N32" s="305"/>
      <c r="O32" s="274">
        <f t="shared" ref="O32:O38" si="6">SUM(E32:F32)-SUM(G32:N32)</f>
        <v>200</v>
      </c>
      <c r="P32" s="274" t="str">
        <f>D32</f>
        <v>Eye Surgery</v>
      </c>
      <c r="Q32" s="282">
        <f t="shared" ref="Q32:Q40" si="7">IF(O32&lt;0,O32*-1,0)</f>
        <v>0</v>
      </c>
      <c r="R32" s="11"/>
      <c r="S32" s="11"/>
    </row>
    <row r="33" spans="2:19" ht="15" customHeight="1" outlineLevel="1">
      <c r="B33" s="734"/>
      <c r="C33" s="760"/>
      <c r="D33" s="300" t="s">
        <v>1031</v>
      </c>
      <c r="E33" s="365">
        <v>226.31999999999994</v>
      </c>
      <c r="F33" s="365">
        <f>48.68+200-0.93</f>
        <v>247.75</v>
      </c>
      <c r="G33">
        <v>200</v>
      </c>
      <c r="H33" s="305"/>
      <c r="J33" s="305">
        <f>174.07</f>
        <v>174.07</v>
      </c>
      <c r="L33" s="305"/>
      <c r="N33" s="305"/>
      <c r="O33" s="274">
        <f t="shared" si="6"/>
        <v>99.999999999999943</v>
      </c>
      <c r="P33" s="274" t="str">
        <f t="shared" ref="P33:P44" si="8">D33</f>
        <v>Latvia Hotel</v>
      </c>
      <c r="Q33" s="282">
        <f t="shared" si="7"/>
        <v>0</v>
      </c>
      <c r="R33" s="11"/>
      <c r="S33" s="11"/>
    </row>
    <row r="34" spans="2:19" ht="15" customHeight="1" outlineLevel="1">
      <c r="B34" s="734"/>
      <c r="C34" s="760"/>
      <c r="D34" s="300" t="s">
        <v>1037</v>
      </c>
      <c r="E34" s="365">
        <v>0</v>
      </c>
      <c r="F34" s="365">
        <v>500</v>
      </c>
      <c r="H34" s="305"/>
      <c r="J34" s="305"/>
      <c r="L34" s="305"/>
      <c r="N34" s="305"/>
      <c r="O34" s="274">
        <f t="shared" si="6"/>
        <v>500</v>
      </c>
      <c r="P34" s="274" t="str">
        <f t="shared" si="8"/>
        <v>Mango</v>
      </c>
      <c r="Q34" s="282">
        <f t="shared" si="7"/>
        <v>0</v>
      </c>
      <c r="R34" s="11"/>
      <c r="S34" s="11"/>
    </row>
    <row r="35" spans="2:19" ht="15" customHeight="1" outlineLevel="1">
      <c r="B35" s="734"/>
      <c r="C35" s="760"/>
      <c r="D35" s="300" t="s">
        <v>354</v>
      </c>
      <c r="E35" s="365">
        <v>262.57</v>
      </c>
      <c r="F35" s="365">
        <f>-12.57</f>
        <v>-12.57</v>
      </c>
      <c r="H35" s="305"/>
      <c r="J35" s="305"/>
      <c r="L35" s="305"/>
      <c r="N35" s="305"/>
      <c r="O35" s="274">
        <f t="shared" si="6"/>
        <v>250</v>
      </c>
      <c r="P35" s="274" t="str">
        <f t="shared" si="8"/>
        <v>Holiday</v>
      </c>
      <c r="Q35" s="282">
        <f t="shared" si="7"/>
        <v>0</v>
      </c>
      <c r="R35" s="11"/>
      <c r="S35" s="11"/>
    </row>
    <row r="36" spans="2:19" ht="15" customHeight="1" outlineLevel="1">
      <c r="B36" s="734"/>
      <c r="C36" s="760"/>
      <c r="D36" s="300" t="s">
        <v>170</v>
      </c>
      <c r="E36" s="365">
        <v>84.399999999999977</v>
      </c>
      <c r="F36" s="365">
        <v>250</v>
      </c>
      <c r="H36" s="305"/>
      <c r="I36">
        <f>15+100</f>
        <v>115</v>
      </c>
      <c r="J36" s="305"/>
      <c r="K36">
        <v>10</v>
      </c>
      <c r="L36" s="305">
        <f>2.99+24.5+15</f>
        <v>42.49</v>
      </c>
      <c r="M36">
        <v>15</v>
      </c>
      <c r="N36" s="305"/>
      <c r="O36" s="274">
        <f t="shared" si="6"/>
        <v>151.90999999999997</v>
      </c>
      <c r="P36" s="274" t="str">
        <f t="shared" si="8"/>
        <v>Gift Fund</v>
      </c>
      <c r="Q36" s="282">
        <f t="shared" si="7"/>
        <v>0</v>
      </c>
      <c r="R36" s="11"/>
      <c r="S36" s="11"/>
    </row>
    <row r="37" spans="2:19" ht="15" customHeight="1" outlineLevel="1">
      <c r="B37" s="734"/>
      <c r="C37" s="760"/>
      <c r="D37" s="300" t="s">
        <v>812</v>
      </c>
      <c r="E37" s="365">
        <f>6633.12-3000+400-361.15</f>
        <v>3671.97</v>
      </c>
      <c r="F37" s="365">
        <f>915+2000+158.59+1070+516.15+972.41</f>
        <v>5632.15</v>
      </c>
      <c r="G37">
        <f>1144.77</f>
        <v>1144.77</v>
      </c>
      <c r="H37" s="305"/>
      <c r="I37">
        <v>300</v>
      </c>
      <c r="J37" s="305"/>
      <c r="L37" s="305"/>
      <c r="N37" s="305"/>
      <c r="O37" s="274">
        <f>SUM(E37:F37)-SUM(G37:N37)-O43</f>
        <v>6886.9399999999987</v>
      </c>
      <c r="P37" s="274" t="str">
        <f t="shared" si="8"/>
        <v>Wedding</v>
      </c>
      <c r="Q37" s="282">
        <f t="shared" si="7"/>
        <v>0</v>
      </c>
      <c r="R37" s="11"/>
    </row>
    <row r="38" spans="2:19" ht="15" customHeight="1" outlineLevel="1">
      <c r="B38" s="734"/>
      <c r="C38" s="760"/>
      <c r="D38" s="300" t="s">
        <v>174</v>
      </c>
      <c r="E38" s="365">
        <v>0</v>
      </c>
      <c r="F38" s="365">
        <v>0</v>
      </c>
      <c r="G38" s="11"/>
      <c r="H38" s="306"/>
      <c r="J38" s="305"/>
      <c r="L38" s="305"/>
      <c r="N38" s="305"/>
      <c r="O38" s="274">
        <f t="shared" si="6"/>
        <v>0</v>
      </c>
      <c r="P38" s="274" t="str">
        <f t="shared" si="8"/>
        <v>House</v>
      </c>
      <c r="Q38" s="282">
        <f t="shared" si="7"/>
        <v>0</v>
      </c>
    </row>
    <row r="39" spans="2:19" ht="18" outlineLevel="1">
      <c r="B39" s="734"/>
      <c r="C39" s="760"/>
      <c r="D39" s="13" t="s">
        <v>943</v>
      </c>
      <c r="E39" s="365">
        <v>0</v>
      </c>
      <c r="F39" s="365">
        <v>0</v>
      </c>
      <c r="H39" s="305"/>
      <c r="J39" s="305"/>
      <c r="L39" s="305"/>
      <c r="N39" s="305"/>
      <c r="O39" s="274">
        <f t="shared" ref="O39:O44" si="9">SUM(E39:F39)-SUM(G39:N39)</f>
        <v>0</v>
      </c>
      <c r="P39" s="274" t="str">
        <f t="shared" si="8"/>
        <v>Car wash</v>
      </c>
      <c r="Q39" s="282">
        <f>IF(O39&lt;0,O39*-1,0)</f>
        <v>0</v>
      </c>
      <c r="R39" s="11"/>
    </row>
    <row r="40" spans="2:19" ht="18" outlineLevel="1">
      <c r="B40" s="734"/>
      <c r="C40" s="760"/>
      <c r="D40" s="13" t="s">
        <v>177</v>
      </c>
      <c r="E40" s="365">
        <v>0</v>
      </c>
      <c r="F40" s="365">
        <v>0</v>
      </c>
      <c r="H40" s="305"/>
      <c r="J40" s="305"/>
      <c r="L40" s="305"/>
      <c r="N40" s="305"/>
      <c r="O40" s="274">
        <f>SUM(E40:F40)-SUM(G40:N40)</f>
        <v>0</v>
      </c>
      <c r="P40" s="274" t="str">
        <f t="shared" si="8"/>
        <v>Gym</v>
      </c>
      <c r="Q40" s="282">
        <f t="shared" si="7"/>
        <v>0</v>
      </c>
    </row>
    <row r="41" spans="2:19" ht="15.75" customHeight="1" outlineLevel="1">
      <c r="B41" s="734"/>
      <c r="C41" s="760"/>
      <c r="D41" s="13" t="s">
        <v>781</v>
      </c>
      <c r="E41" s="365">
        <v>0</v>
      </c>
      <c r="F41" s="365">
        <f>13+2+10.65+5.99+5.99+10.99</f>
        <v>48.620000000000005</v>
      </c>
      <c r="G41">
        <f>13</f>
        <v>13</v>
      </c>
      <c r="H41" s="305"/>
      <c r="I41">
        <f>2+10.99+5.99</f>
        <v>18.98</v>
      </c>
      <c r="J41" s="305"/>
      <c r="K41">
        <f>10.65+5.99</f>
        <v>16.64</v>
      </c>
      <c r="L41" s="305"/>
      <c r="N41" s="305"/>
      <c r="O41" s="274">
        <f t="shared" si="9"/>
        <v>0</v>
      </c>
      <c r="P41" s="274" t="str">
        <f t="shared" si="8"/>
        <v>Subscriptions</v>
      </c>
      <c r="Q41" s="282">
        <f>IF(O41&lt;0,O41*-1,0)</f>
        <v>0</v>
      </c>
    </row>
    <row r="42" spans="2:19" ht="18" outlineLevel="1">
      <c r="B42" s="734"/>
      <c r="C42" s="760"/>
      <c r="D42" s="13" t="s">
        <v>922</v>
      </c>
      <c r="E42" s="365">
        <f>10.8199999999997+1.7</f>
        <v>12.519999999999699</v>
      </c>
      <c r="F42" s="365">
        <f>(D31-SUM(F32:F41))-F44</f>
        <v>315.42000000000098</v>
      </c>
      <c r="G42">
        <f>1</f>
        <v>1</v>
      </c>
      <c r="H42" s="305"/>
      <c r="I42">
        <v>100</v>
      </c>
      <c r="J42" s="305">
        <f>24.99</f>
        <v>24.99</v>
      </c>
      <c r="K42">
        <f>3.5+2.39+2.99+5.25+20+2.59</f>
        <v>36.72</v>
      </c>
      <c r="L42" s="305">
        <f>(67.69-37.69)+-23.49+9.64+2.65</f>
        <v>18.8</v>
      </c>
      <c r="M42">
        <f>35+12.02</f>
        <v>47.019999999999996</v>
      </c>
      <c r="N42" s="305"/>
      <c r="O42" s="274">
        <f>SUM(E42:F42)-SUM(G42:N42)</f>
        <v>99.410000000000707</v>
      </c>
      <c r="P42" s="274" t="str">
        <f t="shared" si="8"/>
        <v>Matt Fun</v>
      </c>
      <c r="Q42" s="282">
        <f>IF(SUM(E42:F42)-SUM(G42:N42)&lt;=0,(SUM(E42:F42)-SUM(G42:N42))*-1,0)</f>
        <v>0</v>
      </c>
    </row>
    <row r="43" spans="2:19" ht="18" outlineLevel="1">
      <c r="B43" s="7"/>
      <c r="C43" s="284"/>
      <c r="D43" s="13" t="s">
        <v>1025</v>
      </c>
      <c r="E43" s="365">
        <v>0</v>
      </c>
      <c r="F43" s="365">
        <v>0</v>
      </c>
      <c r="G43">
        <f>5.39+4.5+8+8.18+14.17+9.2+14.49</f>
        <v>63.93</v>
      </c>
      <c r="H43" s="305">
        <f>25.05+660+24.95+16.25+4.5+15</f>
        <v>745.75</v>
      </c>
      <c r="I43">
        <f>4+8.65+4+17.85+4+4+4.09+4+3</f>
        <v>53.59</v>
      </c>
      <c r="J43" s="305">
        <f>5.5+6.85+7.5+11.79+77.5</f>
        <v>109.14</v>
      </c>
      <c r="L43" s="305"/>
      <c r="N43" s="305"/>
      <c r="O43" s="274">
        <f>SUM(G43:N43)</f>
        <v>972.41</v>
      </c>
      <c r="P43" s="274" t="str">
        <f t="shared" si="8"/>
        <v>Work Expenses</v>
      </c>
      <c r="Q43" s="333"/>
      <c r="S43" s="11"/>
    </row>
    <row r="44" spans="2:19" ht="18" outlineLevel="1">
      <c r="B44" s="7"/>
      <c r="C44" s="284"/>
      <c r="D44" s="13" t="s">
        <v>152</v>
      </c>
      <c r="E44" s="365">
        <v>39.039999999999992</v>
      </c>
      <c r="F44" s="365">
        <v>0</v>
      </c>
      <c r="H44" s="305"/>
      <c r="I44">
        <v>40</v>
      </c>
      <c r="J44" s="305"/>
      <c r="L44" s="305"/>
      <c r="N44" s="305"/>
      <c r="O44" s="274">
        <f t="shared" si="9"/>
        <v>-0.96000000000000796</v>
      </c>
      <c r="P44" s="274" t="str">
        <f t="shared" si="8"/>
        <v>Kris</v>
      </c>
      <c r="Q44" s="271">
        <f>IF(F44-SUM(G44:N44)&lt;=0,(F44-SUM(G44:N44))*-1,0)</f>
        <v>40</v>
      </c>
    </row>
    <row r="45" spans="2:19">
      <c r="B45" s="118"/>
      <c r="C45" s="118"/>
      <c r="E45" s="365">
        <f>SUM(E32:E44)+SUM(E24:E28)+SUM(E6:E20)</f>
        <v>5700.76</v>
      </c>
      <c r="F45" s="365"/>
      <c r="H45" s="7"/>
      <c r="J45" s="7"/>
      <c r="L45" s="7"/>
      <c r="N45" s="7"/>
      <c r="O45" s="273"/>
      <c r="P45" s="273"/>
      <c r="Q45" s="282"/>
    </row>
    <row r="46" spans="2:19" ht="18">
      <c r="B46" s="728" t="s">
        <v>817</v>
      </c>
      <c r="C46" s="728"/>
      <c r="D46" s="728"/>
      <c r="E46" s="375">
        <f>G46+I46+K46+M46+N46+E45</f>
        <v>14908.51</v>
      </c>
      <c r="F46" s="379"/>
      <c r="G46" s="271">
        <f>(4985+158.59)+1000+1070+288</f>
        <v>7501.59</v>
      </c>
      <c r="H46" s="271"/>
      <c r="I46" s="271"/>
      <c r="J46" s="271"/>
      <c r="K46" s="271"/>
      <c r="L46" s="271"/>
      <c r="M46" s="271">
        <v>1706.16</v>
      </c>
      <c r="N46" s="271"/>
      <c r="O46" s="314" t="str">
        <f>"£" &amp; ROUND(O5+O31+O23+O42+O44+O4,2) &amp; " / " &amp; "£" &amp; E46</f>
        <v>£9754.17 / £14908.51</v>
      </c>
      <c r="P46" s="274"/>
      <c r="Q46" s="282">
        <f>SUM(Q31,Q23,Q5)</f>
        <v>23.949999999999974</v>
      </c>
    </row>
    <row r="47" spans="2:19">
      <c r="B47" s="118"/>
      <c r="C47" s="7"/>
      <c r="E47" s="365"/>
      <c r="F47" s="365"/>
      <c r="G47" s="365"/>
      <c r="H47" s="365"/>
    </row>
    <row r="48" spans="2:19" ht="14.4">
      <c r="B48" s="729"/>
      <c r="C48" s="729"/>
      <c r="D48" s="729"/>
      <c r="E48" s="729"/>
      <c r="F48" s="729"/>
      <c r="G48" s="729"/>
      <c r="H48" s="297"/>
      <c r="K48" s="729"/>
      <c r="L48" s="729"/>
      <c r="M48" s="729"/>
      <c r="N48" s="729"/>
      <c r="O48" s="729"/>
      <c r="P48" s="297"/>
    </row>
    <row r="49" spans="2:17" ht="15" customHeight="1">
      <c r="B49" s="726" t="s">
        <v>955</v>
      </c>
      <c r="C49" s="726"/>
      <c r="D49" s="726"/>
      <c r="E49" s="726"/>
      <c r="F49" s="79"/>
      <c r="K49" s="212"/>
      <c r="L49" s="212"/>
      <c r="N49" s="118" t="s">
        <v>991</v>
      </c>
      <c r="O49" s="316">
        <v>44248</v>
      </c>
      <c r="P49" s="7">
        <f ca="1">DATEDIF(O49,NOW(),"d")</f>
        <v>2003</v>
      </c>
      <c r="Q49" t="s">
        <v>1038</v>
      </c>
    </row>
    <row r="50" spans="2:17">
      <c r="B50" s="365"/>
      <c r="C50" s="38"/>
      <c r="D50" t="s">
        <v>1039</v>
      </c>
      <c r="E50" s="11"/>
      <c r="F50" s="11"/>
      <c r="K50" s="214"/>
      <c r="L50" s="214"/>
      <c r="M50">
        <f>9754.19-15</f>
        <v>9739.19</v>
      </c>
      <c r="N50" s="322" t="s">
        <v>992</v>
      </c>
      <c r="O50" s="42">
        <v>44248</v>
      </c>
      <c r="P50" s="7">
        <f ca="1">DATEDIF(O50,NOW(),"d")</f>
        <v>2003</v>
      </c>
      <c r="Q50" t="s">
        <v>1040</v>
      </c>
    </row>
    <row r="51" spans="2:17" ht="14.4">
      <c r="D51" t="s">
        <v>1041</v>
      </c>
      <c r="E51" s="11">
        <v>20</v>
      </c>
      <c r="F51" s="11"/>
      <c r="G51" s="11"/>
      <c r="H51" s="11"/>
      <c r="L51" s="347"/>
      <c r="N51" t="s">
        <v>993</v>
      </c>
      <c r="O51">
        <v>0</v>
      </c>
      <c r="P51"/>
    </row>
    <row r="52" spans="2:17" ht="16.2" customHeight="1">
      <c r="D52" t="s">
        <v>1042</v>
      </c>
      <c r="E52" s="214">
        <v>15</v>
      </c>
      <c r="F52" s="214"/>
      <c r="G52" s="11">
        <f>514.9</f>
        <v>514.9</v>
      </c>
      <c r="J52" s="332"/>
      <c r="K52" s="332"/>
      <c r="L52" s="332"/>
      <c r="M52" s="332"/>
      <c r="N52" s="212"/>
      <c r="O52" s="212"/>
      <c r="P52" s="212"/>
    </row>
    <row r="53" spans="2:17">
      <c r="B53" s="378"/>
      <c r="D53" t="s">
        <v>1043</v>
      </c>
      <c r="E53">
        <v>29.97</v>
      </c>
      <c r="F53" s="214"/>
      <c r="G53" s="11">
        <f>G52-361.15</f>
        <v>153.75</v>
      </c>
      <c r="H53" s="11">
        <f>G53-55</f>
        <v>98.75</v>
      </c>
      <c r="J53" s="11"/>
      <c r="K53" s="56"/>
      <c r="L53" s="56"/>
      <c r="M53" s="365"/>
      <c r="N53" s="56" t="s">
        <v>98</v>
      </c>
      <c r="O53" s="243">
        <f>9755.13-9754.17</f>
        <v>0.95999999999912689</v>
      </c>
      <c r="P53" s="56"/>
    </row>
    <row r="54" spans="2:17">
      <c r="E54"/>
      <c r="F54" s="38"/>
      <c r="G54">
        <f>1191.26</f>
        <v>1191.26</v>
      </c>
      <c r="H54" s="11">
        <f>G54-O43-100</f>
        <v>118.85000000000002</v>
      </c>
      <c r="J54" s="11"/>
      <c r="M54" s="365"/>
      <c r="N54" s="56"/>
      <c r="O54" s="11"/>
      <c r="P54"/>
    </row>
    <row r="55" spans="2:17">
      <c r="E55"/>
      <c r="F55" s="38"/>
      <c r="G55" s="38"/>
      <c r="H55" s="38"/>
      <c r="J55" s="11"/>
      <c r="M55" s="365"/>
      <c r="N55" s="56"/>
      <c r="O55" s="284"/>
      <c r="P55" s="212"/>
      <c r="Q55" s="212"/>
    </row>
    <row r="56" spans="2:17">
      <c r="E56"/>
      <c r="F56" s="38"/>
      <c r="H56" s="38"/>
      <c r="J56" s="11"/>
      <c r="M56" s="365"/>
      <c r="N56" s="56"/>
      <c r="O56" s="56"/>
      <c r="P56" s="56"/>
      <c r="Q56" s="38"/>
    </row>
    <row r="57" spans="2:17" ht="14.4">
      <c r="E57"/>
      <c r="F57" s="38"/>
      <c r="H57" s="38"/>
      <c r="J57" s="11"/>
      <c r="N57" s="56"/>
    </row>
    <row r="58" spans="2:17">
      <c r="E58" s="365"/>
      <c r="F58" s="365"/>
      <c r="H58" s="38"/>
      <c r="I58" s="11"/>
      <c r="J58" s="11"/>
      <c r="M58" s="365"/>
      <c r="N58" s="764"/>
    </row>
    <row r="59" spans="2:17">
      <c r="E59" s="365"/>
      <c r="F59" s="365"/>
      <c r="H59" s="38"/>
      <c r="I59" s="11"/>
      <c r="J59" s="11"/>
      <c r="N59" s="765"/>
      <c r="O59" s="275"/>
      <c r="P59" s="275"/>
    </row>
    <row r="60" spans="2:17">
      <c r="B60" s="11"/>
      <c r="E60" s="365"/>
      <c r="F60" s="365"/>
      <c r="H60" s="38"/>
      <c r="I60" s="11"/>
      <c r="J60" s="11"/>
      <c r="N60" s="765"/>
    </row>
    <row r="61" spans="2:17" ht="14.4">
      <c r="B61" s="11"/>
      <c r="E61"/>
      <c r="F61"/>
      <c r="H61" s="38"/>
      <c r="I61" s="11"/>
      <c r="J61" s="11"/>
      <c r="L61" s="79"/>
      <c r="M61" s="726"/>
      <c r="N61" s="726"/>
      <c r="O61" s="726"/>
      <c r="P61" s="726"/>
    </row>
    <row r="62" spans="2:17">
      <c r="E62"/>
      <c r="F62"/>
      <c r="H62" s="38"/>
      <c r="I62" s="11"/>
      <c r="N62" s="278"/>
      <c r="O62" s="212"/>
      <c r="P62" s="212"/>
    </row>
    <row r="63" spans="2:17">
      <c r="B63" s="212"/>
      <c r="C63" s="212"/>
      <c r="E63"/>
      <c r="F63"/>
      <c r="H63" s="38"/>
      <c r="I63" s="11"/>
      <c r="N63" s="376"/>
      <c r="O63" s="214"/>
      <c r="P63" s="214"/>
    </row>
    <row r="64" spans="2:17">
      <c r="C64" s="56"/>
      <c r="D64" s="243"/>
      <c r="E64"/>
      <c r="F64"/>
      <c r="H64" s="38"/>
      <c r="I64" s="11"/>
      <c r="N64" s="365"/>
      <c r="O64"/>
      <c r="P64"/>
    </row>
    <row r="65" spans="2:16">
      <c r="C65" s="56"/>
      <c r="E65"/>
      <c r="F65"/>
      <c r="H65" s="38"/>
      <c r="I65" s="11"/>
      <c r="N65" s="278"/>
      <c r="O65" s="212"/>
      <c r="P65" s="212"/>
    </row>
    <row r="66" spans="2:16">
      <c r="C66" s="56"/>
      <c r="D66" s="56"/>
      <c r="E66"/>
      <c r="F66"/>
      <c r="H66" s="38"/>
      <c r="I66" s="11"/>
      <c r="N66" s="365"/>
      <c r="O66" s="56"/>
      <c r="P66" s="56"/>
    </row>
    <row r="67" spans="2:16">
      <c r="C67" s="56"/>
      <c r="E67"/>
      <c r="F67"/>
      <c r="H67" s="38"/>
      <c r="I67" s="11"/>
      <c r="N67" s="365"/>
      <c r="O67"/>
      <c r="P67"/>
    </row>
    <row r="68" spans="2:16">
      <c r="C68" s="56"/>
      <c r="E68"/>
      <c r="F68"/>
      <c r="H68" s="38"/>
      <c r="I68" s="11"/>
      <c r="N68" s="278"/>
      <c r="O68" s="212"/>
      <c r="P68" s="212"/>
    </row>
    <row r="69" spans="2:16">
      <c r="C69" s="56"/>
      <c r="E69"/>
      <c r="F69"/>
      <c r="H69" s="38"/>
      <c r="I69" s="11"/>
      <c r="N69" s="365"/>
      <c r="O69" s="38"/>
      <c r="P69" s="56"/>
    </row>
    <row r="70" spans="2:16" ht="14.4">
      <c r="C70" s="56"/>
      <c r="E70"/>
      <c r="F70"/>
      <c r="H70" s="38"/>
      <c r="I70" s="11"/>
      <c r="O70"/>
    </row>
    <row r="71" spans="2:16" ht="14.4">
      <c r="C71" s="56"/>
      <c r="E71"/>
      <c r="F71"/>
      <c r="H71" s="38"/>
      <c r="I71" s="11"/>
    </row>
    <row r="72" spans="2:16" ht="14.4">
      <c r="C72" s="56"/>
      <c r="E72"/>
      <c r="F72"/>
    </row>
    <row r="73" spans="2:16" ht="14.4">
      <c r="C73" s="56"/>
      <c r="E73"/>
      <c r="F73"/>
    </row>
    <row r="74" spans="2:16" ht="14.4">
      <c r="C74" s="56"/>
      <c r="E74"/>
      <c r="F74"/>
    </row>
    <row r="75" spans="2:16">
      <c r="E75" s="365"/>
      <c r="F75" s="365"/>
    </row>
    <row r="76" spans="2:16" ht="14.4">
      <c r="B76" s="212"/>
      <c r="C76" s="294"/>
      <c r="D76" s="212"/>
      <c r="E76" s="212"/>
      <c r="F76" s="212"/>
      <c r="G76" s="212"/>
      <c r="H76" s="212"/>
    </row>
    <row r="77" spans="2:16" ht="14.4">
      <c r="C77" s="56"/>
      <c r="D77" s="56"/>
      <c r="E77" s="56"/>
      <c r="F77" s="56"/>
      <c r="G77" s="56"/>
      <c r="H77" s="56"/>
    </row>
    <row r="78" spans="2:16" ht="14.4">
      <c r="C78" s="56"/>
      <c r="D78" s="56"/>
      <c r="E78" s="56"/>
      <c r="F78" s="56"/>
      <c r="G78" s="56"/>
      <c r="H78" s="56"/>
    </row>
    <row r="79" spans="2:16" ht="14.4">
      <c r="C79" s="56"/>
      <c r="D79" s="56"/>
      <c r="E79" s="56"/>
      <c r="F79" s="56"/>
      <c r="G79" s="56"/>
      <c r="H79" s="56"/>
    </row>
    <row r="80" spans="2:16" ht="14.4">
      <c r="C80" s="56"/>
      <c r="D80" s="56"/>
      <c r="E80" s="56"/>
      <c r="F80" s="56"/>
      <c r="G80" s="56"/>
      <c r="H80" s="56"/>
    </row>
    <row r="81" spans="3:8" ht="14.4">
      <c r="C81" s="56"/>
      <c r="D81" s="56"/>
      <c r="E81" s="56"/>
      <c r="F81" s="56"/>
      <c r="G81" s="56"/>
      <c r="H81" s="56"/>
    </row>
    <row r="82" spans="3:8" ht="14.4">
      <c r="C82" s="56"/>
      <c r="E82" s="56"/>
      <c r="F82" s="56"/>
    </row>
    <row r="84" spans="3:8" ht="14.4">
      <c r="E84" s="212"/>
      <c r="F84" s="212"/>
      <c r="G84" s="212"/>
      <c r="H84" s="212"/>
    </row>
    <row r="85" spans="3:8" ht="14.4">
      <c r="E85" s="56"/>
      <c r="F85" s="56"/>
      <c r="G85" s="56"/>
      <c r="H85" s="56"/>
    </row>
    <row r="86" spans="3:8" ht="14.4">
      <c r="E86" s="56"/>
      <c r="F86" s="56"/>
      <c r="G86" s="56"/>
      <c r="H86" s="56"/>
    </row>
    <row r="87" spans="3:8" ht="14.4">
      <c r="E87" s="56"/>
      <c r="F87" s="56"/>
      <c r="G87" s="56"/>
      <c r="H87" s="56"/>
    </row>
    <row r="88" spans="3:8" ht="14.4">
      <c r="E88" s="56"/>
      <c r="F88" s="56"/>
      <c r="G88" s="56"/>
      <c r="H88" s="56"/>
    </row>
    <row r="89" spans="3:8" ht="14.4">
      <c r="E89" s="56"/>
      <c r="F89" s="56"/>
      <c r="G89" s="56"/>
      <c r="H89" s="56"/>
    </row>
    <row r="90" spans="3:8" ht="14.4">
      <c r="E90" s="56"/>
      <c r="F90" s="56"/>
    </row>
    <row r="92" spans="3:8" ht="14.4">
      <c r="E92" s="212"/>
      <c r="F92" s="212"/>
      <c r="G92" s="212"/>
      <c r="H92" s="212"/>
    </row>
    <row r="93" spans="3:8" ht="14.4">
      <c r="E93" s="56"/>
      <c r="F93" s="56"/>
      <c r="G93" s="56"/>
      <c r="H93" s="56"/>
    </row>
    <row r="94" spans="3:8" ht="14.4">
      <c r="E94" s="56"/>
      <c r="F94" s="56"/>
      <c r="G94" s="56"/>
      <c r="H94" s="56"/>
    </row>
    <row r="95" spans="3:8" ht="14.4">
      <c r="E95" s="56"/>
      <c r="F95" s="56"/>
      <c r="G95" s="56"/>
      <c r="H95" s="56"/>
    </row>
    <row r="96" spans="3:8" ht="14.4">
      <c r="E96" s="56"/>
      <c r="F96" s="56"/>
      <c r="G96" s="56"/>
      <c r="H96" s="56"/>
    </row>
    <row r="97" spans="5:8" ht="14.4">
      <c r="E97" s="56"/>
      <c r="F97" s="56"/>
      <c r="G97" s="56"/>
      <c r="H97" s="56"/>
    </row>
    <row r="98" spans="5:8" ht="14.4">
      <c r="E98" s="56"/>
      <c r="F98" s="56"/>
    </row>
    <row r="99" spans="5:8">
      <c r="E99" s="365"/>
      <c r="F99" s="365"/>
    </row>
  </sheetData>
  <mergeCells count="25">
    <mergeCell ref="M61:P61"/>
    <mergeCell ref="B30:E30"/>
    <mergeCell ref="B31:C31"/>
    <mergeCell ref="D31:E31"/>
    <mergeCell ref="B32:B42"/>
    <mergeCell ref="C32:C42"/>
    <mergeCell ref="B46:D46"/>
    <mergeCell ref="B48:G48"/>
    <mergeCell ref="K48:O48"/>
    <mergeCell ref="B49:C49"/>
    <mergeCell ref="D49:E49"/>
    <mergeCell ref="N58:N60"/>
    <mergeCell ref="B23:C23"/>
    <mergeCell ref="D23:E23"/>
    <mergeCell ref="B1:O1"/>
    <mergeCell ref="G3:H3"/>
    <mergeCell ref="I3:J3"/>
    <mergeCell ref="K3:L3"/>
    <mergeCell ref="M3:N3"/>
    <mergeCell ref="B4:E4"/>
    <mergeCell ref="B5:C5"/>
    <mergeCell ref="D5:E5"/>
    <mergeCell ref="B6:B20"/>
    <mergeCell ref="C6:C20"/>
    <mergeCell ref="B22:E22"/>
  </mergeCells>
  <pageMargins left="0.7" right="0.7" top="0.75" bottom="0.75" header="0.3" footer="0.3"/>
  <pageSetup orientation="portrait" r:id="rId1"/>
  <legacy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CF2E-4EAF-0B40-A594-2B7695CB74D9}">
  <dimension ref="A1:U99"/>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JAN-FEB 2021</v>
      </c>
      <c r="B1" s="730" t="str">
        <f ca="1">MID(CELL("filename",B1),FIND("]",CELL("filename",B1))+1,255)</f>
        <v>FEB-MAR 2021</v>
      </c>
      <c r="C1" s="731"/>
      <c r="D1" s="731"/>
      <c r="E1" s="731"/>
      <c r="F1" s="731"/>
      <c r="G1" s="731"/>
      <c r="H1" s="731"/>
      <c r="I1" s="731"/>
      <c r="J1" s="731"/>
      <c r="K1" s="731"/>
      <c r="L1" s="731"/>
      <c r="M1" s="731"/>
      <c r="N1" s="731"/>
      <c r="O1" s="731"/>
      <c r="P1" s="298"/>
      <c r="Q1" s="281"/>
      <c r="R1" s="272"/>
      <c r="S1" s="272"/>
      <c r="T1" s="272"/>
    </row>
    <row r="2" spans="1:21">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44252</v>
      </c>
      <c r="H3" s="732"/>
      <c r="I3" s="732">
        <f>G3+7</f>
        <v>44259</v>
      </c>
      <c r="J3" s="732"/>
      <c r="K3" s="732">
        <f>I3+7</f>
        <v>44266</v>
      </c>
      <c r="L3" s="732"/>
      <c r="M3" s="732">
        <f>K3+7</f>
        <v>44273</v>
      </c>
      <c r="N3" s="732"/>
      <c r="O3" s="325" t="str">
        <f>0 &amp; " / " &amp; ROUND(0-O4,2)</f>
        <v>0 / -561.81</v>
      </c>
      <c r="P3" s="325" t="s">
        <v>994</v>
      </c>
      <c r="Q3" s="282"/>
      <c r="R3" s="243">
        <f>O4-20-4</f>
        <v>537.80999999999995</v>
      </c>
    </row>
    <row r="4" spans="1:21" ht="15" customHeight="1">
      <c r="B4" s="727" t="str">
        <f>_xlfn.CONCAT("Expenses - 50 - ",G46*0.5," / Actual = ",D5," (",ROUND((D5/G46)*100,2),")")</f>
        <v>Expenses - 50 - 2268.6 / Actual = 1600.79 (35.28)</v>
      </c>
      <c r="C4" s="727"/>
      <c r="D4" s="727"/>
      <c r="E4" s="727"/>
      <c r="F4" s="318"/>
      <c r="H4" s="243">
        <f>SUM(H5:H44)</f>
        <v>675.25999999999988</v>
      </c>
      <c r="J4" s="243">
        <f>SUM(J5:J44)</f>
        <v>1066.0899999999999</v>
      </c>
      <c r="L4" s="243">
        <f>SUM(L5:L44)</f>
        <v>83.72</v>
      </c>
      <c r="N4" s="243">
        <f>SUM(N5:N44)</f>
        <v>561.80999999999995</v>
      </c>
      <c r="O4" s="308">
        <f>IF(H45&lt;&gt;"PAID",H4,0)+IF(J45&lt;&gt;"PAID",J4,0)+IF(L45&lt;&gt;"PAID",L4,0)+IF(N45&lt;&gt;"PAID",N4,0)</f>
        <v>561.80999999999995</v>
      </c>
      <c r="P4" s="309" t="s">
        <v>973</v>
      </c>
      <c r="Q4" s="282"/>
      <c r="R4" s="243">
        <f>R3+6.48</f>
        <v>544.29</v>
      </c>
      <c r="S4" s="243"/>
    </row>
    <row r="5" spans="1:21" ht="15" customHeight="1">
      <c r="B5" s="733" t="str">
        <f>IF(D5&gt;E$46*0.5,ROUND(D5-E$46*0.5,2) &amp; " Over",ROUND(E$46*0.5-D5,2) &amp; " Under")</f>
        <v>6159.34 Under</v>
      </c>
      <c r="C5" s="733"/>
      <c r="D5" s="761">
        <f>SUM(F6:F20)</f>
        <v>1600.7899999999997</v>
      </c>
      <c r="E5" s="761"/>
      <c r="F5" s="321"/>
      <c r="G5" s="284"/>
      <c r="H5" s="306"/>
      <c r="I5" s="79"/>
      <c r="J5" s="306"/>
      <c r="K5" s="79"/>
      <c r="L5" s="306"/>
      <c r="M5" s="79"/>
      <c r="N5" s="305"/>
      <c r="O5" s="285">
        <f>SUMIF(O6:O20,"&gt;0")</f>
        <v>15</v>
      </c>
      <c r="P5" s="285" t="s">
        <v>892</v>
      </c>
      <c r="Q5" s="282">
        <f>SUM(Q6:Q20)</f>
        <v>2.3199999999999985</v>
      </c>
      <c r="R5" s="243">
        <f>O4-24</f>
        <v>537.80999999999995</v>
      </c>
    </row>
    <row r="6" spans="1:21" ht="15" customHeight="1">
      <c r="B6" s="734" t="str">
        <f>"50%: " &amp; E$46*0.5</f>
        <v>50%: 7760.125</v>
      </c>
      <c r="C6" s="734" t="str">
        <f>ROUND((D5/E$46)*100,2) &amp; "%: " &amp;D5</f>
        <v>10.31%: 1600.79</v>
      </c>
      <c r="D6" s="13" t="s">
        <v>805</v>
      </c>
      <c r="E6" s="365">
        <v>0</v>
      </c>
      <c r="F6" s="374">
        <v>100</v>
      </c>
      <c r="H6" s="305">
        <f>25.02+25</f>
        <v>50.019999999999996</v>
      </c>
      <c r="J6" s="305">
        <f>20</f>
        <v>20</v>
      </c>
      <c r="K6">
        <f>20.11</f>
        <v>20.11</v>
      </c>
      <c r="L6" s="305"/>
      <c r="N6" s="305">
        <v>9.8699999999999992</v>
      </c>
      <c r="O6" s="274">
        <f>SUM(E6:F6)-SUM(G6:N6)</f>
        <v>0</v>
      </c>
      <c r="P6" s="274" t="str">
        <f t="shared" ref="P6:P20" si="0">D6</f>
        <v>Car Petrol / commuting</v>
      </c>
      <c r="Q6" s="282">
        <f t="shared" ref="Q6:Q20" si="1">IF(O6&lt;0,O6*-1,0)</f>
        <v>0</v>
      </c>
    </row>
    <row r="7" spans="1:21" ht="15" customHeight="1">
      <c r="B7" s="734"/>
      <c r="C7" s="734"/>
      <c r="D7" s="13" t="s">
        <v>169</v>
      </c>
      <c r="E7" s="365">
        <v>0</v>
      </c>
      <c r="F7" s="365">
        <v>300</v>
      </c>
      <c r="G7">
        <f>1.09+5.07+6.44+19.89</f>
        <v>32.49</v>
      </c>
      <c r="H7" s="305">
        <f>(41.55-7.5)+22.16</f>
        <v>56.209999999999994</v>
      </c>
      <c r="I7">
        <f>3.44+9.98</f>
        <v>13.42</v>
      </c>
      <c r="J7" s="305">
        <f>50.67+26.49</f>
        <v>77.16</v>
      </c>
      <c r="K7">
        <f>42.79+1.5</f>
        <v>44.29</v>
      </c>
      <c r="L7" s="305">
        <f>29.68+15.06</f>
        <v>44.74</v>
      </c>
      <c r="M7">
        <f>19.37+12.32</f>
        <v>31.69</v>
      </c>
      <c r="N7" s="305"/>
      <c r="O7" s="274">
        <f t="shared" ref="O7:O19" si="2">SUM(E7:F7)-SUM(G7:N7)</f>
        <v>0</v>
      </c>
      <c r="P7" s="274" t="str">
        <f t="shared" si="0"/>
        <v>Food</v>
      </c>
      <c r="Q7" s="282">
        <f t="shared" si="1"/>
        <v>0</v>
      </c>
      <c r="S7">
        <f>41.5-12.32</f>
        <v>29.18</v>
      </c>
    </row>
    <row r="8" spans="1:21" ht="15" customHeight="1">
      <c r="B8" s="734"/>
      <c r="C8" s="734"/>
      <c r="D8" s="13" t="s">
        <v>919</v>
      </c>
      <c r="E8" s="365">
        <v>0</v>
      </c>
      <c r="F8" s="365">
        <f>40</f>
        <v>40</v>
      </c>
      <c r="H8" s="305"/>
      <c r="J8" s="305">
        <f>35.04</f>
        <v>35.04</v>
      </c>
      <c r="L8" s="305">
        <f>5.98</f>
        <v>5.98</v>
      </c>
      <c r="N8" s="305"/>
      <c r="O8" s="274">
        <f t="shared" si="2"/>
        <v>-1.019999999999996</v>
      </c>
      <c r="P8" s="274" t="str">
        <f t="shared" si="0"/>
        <v>Bun</v>
      </c>
      <c r="Q8" s="282">
        <f t="shared" si="1"/>
        <v>1.019999999999996</v>
      </c>
    </row>
    <row r="9" spans="1:21" ht="15" customHeight="1" outlineLevel="1">
      <c r="B9" s="734"/>
      <c r="C9" s="734"/>
      <c r="D9" s="201" t="s">
        <v>595</v>
      </c>
      <c r="E9" s="365">
        <v>0</v>
      </c>
      <c r="F9" s="365">
        <f>452.64</f>
        <v>452.64</v>
      </c>
      <c r="H9" s="305"/>
      <c r="J9" s="305"/>
      <c r="K9">
        <v>452.64</v>
      </c>
      <c r="L9" s="305"/>
      <c r="N9" s="305"/>
      <c r="O9" s="274">
        <f t="shared" si="2"/>
        <v>0</v>
      </c>
      <c r="P9" s="274" t="str">
        <f t="shared" si="0"/>
        <v>Mortgage</v>
      </c>
      <c r="Q9" s="282">
        <f t="shared" si="1"/>
        <v>0</v>
      </c>
    </row>
    <row r="10" spans="1:21" ht="15" customHeight="1" outlineLevel="1">
      <c r="B10" s="734"/>
      <c r="C10" s="734"/>
      <c r="D10" s="201" t="s">
        <v>596</v>
      </c>
      <c r="E10" s="365">
        <v>0</v>
      </c>
      <c r="F10" s="365">
        <v>129</v>
      </c>
      <c r="H10" s="305"/>
      <c r="J10" s="305"/>
      <c r="K10">
        <v>129</v>
      </c>
      <c r="L10" s="305"/>
      <c r="N10" s="305"/>
      <c r="O10" s="274">
        <f t="shared" si="2"/>
        <v>0</v>
      </c>
      <c r="P10" s="274" t="str">
        <f t="shared" si="0"/>
        <v>Council tax</v>
      </c>
      <c r="Q10" s="282">
        <f t="shared" si="1"/>
        <v>0</v>
      </c>
    </row>
    <row r="11" spans="1:21" ht="15" customHeight="1" outlineLevel="1">
      <c r="B11" s="734"/>
      <c r="C11" s="734"/>
      <c r="D11" s="201" t="s">
        <v>1002</v>
      </c>
      <c r="E11" s="365">
        <v>0</v>
      </c>
      <c r="F11" s="365">
        <f>23+75+1</f>
        <v>99</v>
      </c>
      <c r="G11">
        <v>1</v>
      </c>
      <c r="H11" s="305"/>
      <c r="J11" s="305"/>
      <c r="L11" s="305"/>
      <c r="M11">
        <f>23+75</f>
        <v>98</v>
      </c>
      <c r="N11" s="305"/>
      <c r="O11" s="274">
        <f>SUM(E11:F11)-SUM(G11:N11)</f>
        <v>0</v>
      </c>
      <c r="P11" s="274" t="str">
        <f t="shared" si="0"/>
        <v>Utilities (G,W,E,HTB)</v>
      </c>
      <c r="Q11" s="282">
        <f t="shared" si="1"/>
        <v>0</v>
      </c>
    </row>
    <row r="12" spans="1:21" ht="15" customHeight="1" outlineLevel="1">
      <c r="B12" s="734"/>
      <c r="C12" s="734"/>
      <c r="D12" s="201" t="s">
        <v>996</v>
      </c>
      <c r="E12" s="365">
        <v>0</v>
      </c>
      <c r="F12" s="365">
        <f>20.78</f>
        <v>20.78</v>
      </c>
      <c r="H12" s="305"/>
      <c r="J12" s="305"/>
      <c r="K12">
        <v>20.78</v>
      </c>
      <c r="L12" s="305"/>
      <c r="N12" s="305"/>
      <c r="O12" s="274">
        <f t="shared" ref="O12:O16" si="3">SUM(E12:F12)-SUM(G12:N12)</f>
        <v>0</v>
      </c>
      <c r="P12" s="274" t="str">
        <f t="shared" si="0"/>
        <v>Home Insurance</v>
      </c>
      <c r="Q12" s="282"/>
    </row>
    <row r="13" spans="1:21" ht="15" customHeight="1" outlineLevel="1">
      <c r="B13" s="734"/>
      <c r="C13" s="734"/>
      <c r="D13" s="201" t="s">
        <v>359</v>
      </c>
      <c r="E13" s="365">
        <v>0</v>
      </c>
      <c r="F13" s="365">
        <f>15</f>
        <v>15</v>
      </c>
      <c r="H13" s="305"/>
      <c r="J13" s="305"/>
      <c r="L13" s="305"/>
      <c r="N13" s="305"/>
      <c r="O13" s="274">
        <f t="shared" si="3"/>
        <v>15</v>
      </c>
      <c r="P13" s="274" t="str">
        <f t="shared" si="0"/>
        <v>TV License</v>
      </c>
      <c r="Q13" s="282"/>
    </row>
    <row r="14" spans="1:21" ht="15" customHeight="1" outlineLevel="1">
      <c r="B14" s="734"/>
      <c r="C14" s="734"/>
      <c r="D14" s="201" t="s">
        <v>1003</v>
      </c>
      <c r="E14" s="365">
        <v>0</v>
      </c>
      <c r="F14" s="365">
        <f>4.52+15.97+8.56+8</f>
        <v>37.050000000000004</v>
      </c>
      <c r="G14">
        <v>29.05</v>
      </c>
      <c r="H14" s="305"/>
      <c r="I14" s="11"/>
      <c r="J14" s="305"/>
      <c r="K14">
        <v>8</v>
      </c>
      <c r="L14" s="305"/>
      <c r="N14" s="305"/>
      <c r="O14" s="274">
        <f t="shared" si="3"/>
        <v>0</v>
      </c>
      <c r="P14" s="274" t="str">
        <f t="shared" si="0"/>
        <v>Other Insurances</v>
      </c>
      <c r="Q14" s="282">
        <f t="shared" si="1"/>
        <v>0</v>
      </c>
    </row>
    <row r="15" spans="1:21" ht="15" customHeight="1" outlineLevel="1">
      <c r="B15" s="734"/>
      <c r="C15" s="734"/>
      <c r="D15" s="201" t="s">
        <v>602</v>
      </c>
      <c r="E15" s="365">
        <v>0</v>
      </c>
      <c r="F15" s="365">
        <v>39.99</v>
      </c>
      <c r="H15" s="305"/>
      <c r="J15" s="305"/>
      <c r="L15" s="305"/>
      <c r="M15">
        <f>40.59</f>
        <v>40.590000000000003</v>
      </c>
      <c r="N15" s="305"/>
      <c r="O15" s="274">
        <f t="shared" si="3"/>
        <v>-0.60000000000000142</v>
      </c>
      <c r="P15" s="274" t="str">
        <f t="shared" si="0"/>
        <v>Broadband / TV</v>
      </c>
      <c r="Q15" s="282">
        <f t="shared" si="1"/>
        <v>0.60000000000000142</v>
      </c>
    </row>
    <row r="16" spans="1:21" ht="15" customHeight="1" outlineLevel="1">
      <c r="B16" s="734"/>
      <c r="C16" s="734"/>
      <c r="D16" s="201" t="s">
        <v>582</v>
      </c>
      <c r="E16" s="365">
        <v>0</v>
      </c>
      <c r="F16" s="365">
        <v>7.99</v>
      </c>
      <c r="H16" s="305"/>
      <c r="I16">
        <v>7.99</v>
      </c>
      <c r="J16" s="305"/>
      <c r="L16" s="305"/>
      <c r="N16" s="305"/>
      <c r="O16" s="274">
        <f t="shared" si="3"/>
        <v>0</v>
      </c>
      <c r="P16" s="274" t="str">
        <f t="shared" si="0"/>
        <v>Onedrive (6th)</v>
      </c>
      <c r="Q16" s="282">
        <f t="shared" si="1"/>
        <v>0</v>
      </c>
    </row>
    <row r="17" spans="2:19" ht="15" customHeight="1" outlineLevel="1">
      <c r="B17" s="734"/>
      <c r="C17" s="734"/>
      <c r="D17" s="201" t="s">
        <v>788</v>
      </c>
      <c r="E17" s="365">
        <v>0</v>
      </c>
      <c r="F17" s="365">
        <v>10.44</v>
      </c>
      <c r="G17">
        <v>11.14</v>
      </c>
      <c r="H17" s="305"/>
      <c r="J17" s="305"/>
      <c r="L17" s="305"/>
      <c r="N17" s="305"/>
      <c r="O17" s="274">
        <f>SUM(E17:F17)-SUM(G17:N17)</f>
        <v>-0.70000000000000107</v>
      </c>
      <c r="P17" s="274" t="str">
        <f t="shared" si="0"/>
        <v>Matt Phone</v>
      </c>
      <c r="Q17" s="282">
        <f t="shared" si="1"/>
        <v>0.70000000000000107</v>
      </c>
    </row>
    <row r="18" spans="2:19" ht="15" customHeight="1" outlineLevel="1">
      <c r="B18" s="734"/>
      <c r="C18" s="734"/>
      <c r="D18" s="201" t="s">
        <v>985</v>
      </c>
      <c r="E18" s="365">
        <v>0</v>
      </c>
      <c r="F18" s="365">
        <f>28.87+50.08+75.88</f>
        <v>154.82999999999998</v>
      </c>
      <c r="G18">
        <v>154.83000000000001</v>
      </c>
      <c r="H18" s="305"/>
      <c r="J18" s="305"/>
      <c r="L18" s="305"/>
      <c r="N18" s="305"/>
      <c r="O18" s="274">
        <f>SUM(E18:F18)-SUM(G18:N18)</f>
        <v>0</v>
      </c>
      <c r="P18" s="274" t="str">
        <f t="shared" si="0"/>
        <v>Car Tax / Insurance</v>
      </c>
      <c r="Q18" s="282">
        <f t="shared" si="1"/>
        <v>0</v>
      </c>
    </row>
    <row r="19" spans="2:19" ht="15" customHeight="1" outlineLevel="1">
      <c r="B19" s="734"/>
      <c r="C19" s="734"/>
      <c r="D19" s="201" t="s">
        <v>944</v>
      </c>
      <c r="E19" s="365">
        <v>0</v>
      </c>
      <c r="F19" s="365">
        <v>15</v>
      </c>
      <c r="G19">
        <v>15</v>
      </c>
      <c r="H19" s="305"/>
      <c r="J19" s="305"/>
      <c r="L19" s="305"/>
      <c r="N19" s="305"/>
      <c r="O19" s="274">
        <f t="shared" si="2"/>
        <v>0</v>
      </c>
      <c r="P19" s="274" t="str">
        <f t="shared" si="0"/>
        <v>Windows</v>
      </c>
      <c r="Q19" s="282">
        <f t="shared" si="1"/>
        <v>0</v>
      </c>
    </row>
    <row r="20" spans="2:19" ht="15" customHeight="1" outlineLevel="1">
      <c r="B20" s="734"/>
      <c r="C20" s="734"/>
      <c r="D20" s="293" t="s">
        <v>920</v>
      </c>
      <c r="E20" s="365">
        <v>0</v>
      </c>
      <c r="F20" s="277">
        <f>179.07</f>
        <v>179.07</v>
      </c>
      <c r="H20" s="305"/>
      <c r="J20" s="305"/>
      <c r="K20">
        <v>179.07</v>
      </c>
      <c r="L20" s="305"/>
      <c r="N20" s="305"/>
      <c r="O20" s="274">
        <f>SUM(E20:F20)-SUM(G20:N20)</f>
        <v>0</v>
      </c>
      <c r="P20" s="274" t="str">
        <f t="shared" si="0"/>
        <v>Finance</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",G46*0.2," / Actual = ",D23," (",ROUND((D23/G46)*100,2),")")</f>
        <v>Savings - 20 - 907.44 / Actual = 100 (2.2)</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100</v>
      </c>
      <c r="E23" s="759"/>
      <c r="F23" s="319"/>
      <c r="H23" s="305"/>
      <c r="J23" s="305"/>
      <c r="L23" s="305"/>
      <c r="N23" s="305"/>
      <c r="O23" s="285">
        <f>SUMIF(O24:O28,"&gt;0")</f>
        <v>130.00000000000003</v>
      </c>
      <c r="P23" s="285" t="s">
        <v>895</v>
      </c>
      <c r="Q23" s="282">
        <f>SUM(Q25:Q25)</f>
        <v>0</v>
      </c>
    </row>
    <row r="24" spans="2:19" ht="15" customHeight="1" outlineLevel="1">
      <c r="B24" s="7" t="str">
        <f>"20% : " &amp; E$46*0.2</f>
        <v>20% : 3104.05</v>
      </c>
      <c r="C24" s="7" t="str">
        <f>"20% : " &amp; E$46*0.2</f>
        <v>20% : 3104.05</v>
      </c>
      <c r="D24" s="300" t="s">
        <v>590</v>
      </c>
      <c r="E24" s="365">
        <v>29.140000000000022</v>
      </c>
      <c r="F24" s="365">
        <v>50</v>
      </c>
      <c r="H24" s="305"/>
      <c r="J24" s="305"/>
      <c r="K24">
        <v>24.83</v>
      </c>
      <c r="L24" s="315"/>
      <c r="M24">
        <f>15+16.99</f>
        <v>31.99</v>
      </c>
      <c r="N24" s="305"/>
      <c r="O24" s="274">
        <f>SUM(E24:F24)-SUM(G24:N24)-Q46</f>
        <v>20.000000000000021</v>
      </c>
      <c r="P24" s="274" t="str">
        <f t="shared" ref="P24:P28" si="4">D24</f>
        <v>Contingency</v>
      </c>
      <c r="Q24" s="282">
        <f>SUM(Q25:Q29)</f>
        <v>0</v>
      </c>
    </row>
    <row r="25" spans="2:19" ht="15" customHeight="1" outlineLevel="1">
      <c r="B25" s="7"/>
      <c r="C25" s="7"/>
      <c r="D25" s="300" t="s">
        <v>998</v>
      </c>
      <c r="E25" s="365">
        <v>60</v>
      </c>
      <c r="F25" s="365">
        <v>50</v>
      </c>
      <c r="G25" s="11"/>
      <c r="H25" s="306"/>
      <c r="J25" s="305"/>
      <c r="L25" s="305"/>
      <c r="N25" s="305"/>
      <c r="O25" s="274">
        <f>SUM(E25:F25)-SUM(G25:N25)</f>
        <v>110</v>
      </c>
      <c r="P25" s="274" t="str">
        <f t="shared" si="4"/>
        <v>Cars (Service / MOT)</v>
      </c>
      <c r="Q25" s="282">
        <f t="shared" ref="Q25:Q28" si="5">IF(O25&lt;0,O25*-1,0)</f>
        <v>0</v>
      </c>
    </row>
    <row r="26" spans="2:19" ht="15" customHeight="1" outlineLevel="1">
      <c r="B26" s="7"/>
      <c r="C26" s="7"/>
      <c r="D26" s="300" t="s">
        <v>999</v>
      </c>
      <c r="E26" s="365">
        <v>0</v>
      </c>
      <c r="F26" s="365">
        <v>0</v>
      </c>
      <c r="G26" s="11"/>
      <c r="H26" s="306"/>
      <c r="J26" s="305"/>
      <c r="L26" s="305"/>
      <c r="N26" s="305"/>
      <c r="O26" s="274">
        <f t="shared" ref="O26:O28" si="6">SUM(E26:F26)-SUM(G26:N26)</f>
        <v>0</v>
      </c>
      <c r="P26" s="274" t="str">
        <f t="shared" si="4"/>
        <v>Mortgage Overpayment</v>
      </c>
      <c r="Q26" s="282">
        <f t="shared" si="5"/>
        <v>0</v>
      </c>
    </row>
    <row r="27" spans="2:19" ht="15" customHeight="1" outlineLevel="1">
      <c r="B27" s="7"/>
      <c r="C27" s="7"/>
      <c r="D27" s="300" t="s">
        <v>1000</v>
      </c>
      <c r="E27" s="365">
        <v>0</v>
      </c>
      <c r="F27" s="365">
        <v>0</v>
      </c>
      <c r="G27" s="11"/>
      <c r="H27" s="306"/>
      <c r="J27" s="305"/>
      <c r="L27" s="305"/>
      <c r="N27" s="305"/>
      <c r="O27" s="274">
        <f t="shared" si="6"/>
        <v>0</v>
      </c>
      <c r="P27" s="274" t="str">
        <f t="shared" si="4"/>
        <v>Finance Overpayment</v>
      </c>
      <c r="Q27" s="282">
        <f t="shared" si="5"/>
        <v>0</v>
      </c>
    </row>
    <row r="28" spans="2:19" ht="15" customHeight="1" outlineLevel="1">
      <c r="B28" s="7"/>
      <c r="C28" s="7"/>
      <c r="D28" s="300" t="s">
        <v>814</v>
      </c>
      <c r="E28" s="365">
        <v>1477.73</v>
      </c>
      <c r="F28" s="365">
        <v>0</v>
      </c>
      <c r="G28" s="11">
        <v>1477.73</v>
      </c>
      <c r="H28" s="306"/>
      <c r="J28" s="305"/>
      <c r="L28" s="305"/>
      <c r="N28" s="305"/>
      <c r="O28" s="274">
        <f t="shared" si="6"/>
        <v>0</v>
      </c>
      <c r="P28" s="274" t="str">
        <f t="shared" si="4"/>
        <v>CC</v>
      </c>
      <c r="Q28" s="282">
        <f t="shared" si="5"/>
        <v>0</v>
      </c>
    </row>
    <row r="29" spans="2:19" ht="15" customHeight="1">
      <c r="B29" s="118"/>
      <c r="C29" s="118"/>
      <c r="E29" s="365"/>
      <c r="F29" s="365"/>
      <c r="H29" s="305"/>
      <c r="J29" s="305"/>
      <c r="L29" s="305"/>
      <c r="N29" s="305"/>
      <c r="O29" s="273"/>
      <c r="P29" s="273"/>
      <c r="Q29" s="282"/>
    </row>
    <row r="30" spans="2:19" ht="15" customHeight="1">
      <c r="B30" s="727" t="str">
        <f>_xlfn.CONCAT("Wants - 30 - ",G46*0.3," / Actual = ",D31," (",ROUND((D31/G46)*100,2),")")</f>
        <v>Wants - 30 - 1361.16 / Actual = 4065.29 (89.6)</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(E$46-D5-D23-E45)</f>
        <v>4065.2900000000009</v>
      </c>
      <c r="E31" s="727"/>
      <c r="F31" s="319">
        <f>SUM(F32:F42)</f>
        <v>3920.130000000001</v>
      </c>
      <c r="H31" s="305"/>
      <c r="J31" s="305"/>
      <c r="L31" s="305"/>
      <c r="N31" s="305"/>
      <c r="O31" s="285">
        <f>SUMIF(O32:O41,"&gt;0")</f>
        <v>9500.73</v>
      </c>
      <c r="P31" s="285" t="s">
        <v>899</v>
      </c>
      <c r="Q31" s="282">
        <f>SUM(Q32:Q42)</f>
        <v>0</v>
      </c>
    </row>
    <row r="32" spans="2:19" ht="15" customHeight="1" outlineLevel="1">
      <c r="B32" s="734"/>
      <c r="C32" s="760"/>
      <c r="D32" s="300" t="s">
        <v>1036</v>
      </c>
      <c r="E32" s="365">
        <v>200</v>
      </c>
      <c r="F32" s="365">
        <f>318.73</f>
        <v>318.73</v>
      </c>
      <c r="H32" s="305"/>
      <c r="J32" s="305"/>
      <c r="L32" s="305"/>
      <c r="N32" s="305"/>
      <c r="O32" s="274">
        <f t="shared" ref="O32:O38" si="7">SUM(E32:F32)-SUM(G32:N32)</f>
        <v>518.73</v>
      </c>
      <c r="P32" s="274" t="str">
        <f>D32</f>
        <v>Eye Surgery</v>
      </c>
      <c r="Q32" s="282">
        <f t="shared" ref="Q32:Q40" si="8">IF(O32&lt;0,O32*-1,0)</f>
        <v>0</v>
      </c>
      <c r="R32" s="11">
        <f>221.78+O32+Q43</f>
        <v>831.44</v>
      </c>
      <c r="S32" s="11"/>
    </row>
    <row r="33" spans="2:19" ht="15" customHeight="1" outlineLevel="1">
      <c r="B33" s="734"/>
      <c r="C33" s="760"/>
      <c r="D33" s="300" t="s">
        <v>1031</v>
      </c>
      <c r="E33" s="365">
        <v>99.999999999999943</v>
      </c>
      <c r="F33" s="365">
        <f>0</f>
        <v>0</v>
      </c>
      <c r="H33" s="305"/>
      <c r="J33" s="305"/>
      <c r="L33" s="305"/>
      <c r="N33" s="305"/>
      <c r="O33" s="274">
        <f t="shared" si="7"/>
        <v>99.999999999999943</v>
      </c>
      <c r="P33" s="274" t="str">
        <f t="shared" ref="P33:P44" si="9">D33</f>
        <v>Latvia Hotel</v>
      </c>
      <c r="Q33" s="282">
        <f t="shared" si="8"/>
        <v>0</v>
      </c>
      <c r="R33" s="11"/>
      <c r="S33" s="11"/>
    </row>
    <row r="34" spans="2:19" ht="15" customHeight="1" outlineLevel="1">
      <c r="B34" s="734"/>
      <c r="C34" s="760"/>
      <c r="D34" s="300" t="s">
        <v>1037</v>
      </c>
      <c r="E34" s="365">
        <v>750</v>
      </c>
      <c r="F34" s="365">
        <f>629+21+200+12+69.99</f>
        <v>931.99</v>
      </c>
      <c r="H34" s="305"/>
      <c r="J34" s="305"/>
      <c r="L34" s="305"/>
      <c r="N34" s="305"/>
      <c r="O34" s="274">
        <f t="shared" si="7"/>
        <v>1681.99</v>
      </c>
      <c r="P34" s="274" t="str">
        <f t="shared" si="9"/>
        <v>Mango</v>
      </c>
      <c r="Q34" s="282">
        <f t="shared" si="8"/>
        <v>0</v>
      </c>
      <c r="R34" s="11"/>
      <c r="S34" s="11"/>
    </row>
    <row r="35" spans="2:19" ht="15" customHeight="1" outlineLevel="1">
      <c r="B35" s="734"/>
      <c r="C35" s="760"/>
      <c r="D35" s="300" t="s">
        <v>354</v>
      </c>
      <c r="E35" s="365">
        <v>0</v>
      </c>
      <c r="F35" s="365">
        <f>0</f>
        <v>0</v>
      </c>
      <c r="H35" s="305"/>
      <c r="J35" s="305"/>
      <c r="L35" s="305"/>
      <c r="N35" s="305"/>
      <c r="O35" s="274">
        <f t="shared" si="7"/>
        <v>0</v>
      </c>
      <c r="P35" s="274" t="str">
        <f t="shared" si="9"/>
        <v>Holiday</v>
      </c>
      <c r="Q35" s="282">
        <f t="shared" si="8"/>
        <v>0</v>
      </c>
      <c r="R35" s="11"/>
      <c r="S35" s="11"/>
    </row>
    <row r="36" spans="2:19" ht="15" customHeight="1" outlineLevel="1">
      <c r="B36" s="734"/>
      <c r="C36" s="760"/>
      <c r="D36" s="300" t="s">
        <v>170</v>
      </c>
      <c r="E36" s="365">
        <v>151.90999999999997</v>
      </c>
      <c r="F36" s="365">
        <f>250-69.99</f>
        <v>180.01</v>
      </c>
      <c r="H36" s="305"/>
      <c r="I36">
        <f>50+37.7+27</f>
        <v>114.7</v>
      </c>
      <c r="J36" s="305">
        <f>25.95+111</f>
        <v>136.94999999999999</v>
      </c>
      <c r="L36" s="305">
        <v>15</v>
      </c>
      <c r="N36" s="305"/>
      <c r="O36" s="274">
        <f t="shared" si="7"/>
        <v>65.269999999999982</v>
      </c>
      <c r="P36" s="274" t="str">
        <f t="shared" si="9"/>
        <v>Gift Fund</v>
      </c>
      <c r="Q36" s="282">
        <f t="shared" si="8"/>
        <v>0</v>
      </c>
      <c r="R36" s="11"/>
      <c r="S36" s="11"/>
    </row>
    <row r="37" spans="2:19" ht="15" customHeight="1" outlineLevel="1">
      <c r="B37" s="734"/>
      <c r="C37" s="760"/>
      <c r="D37" s="300" t="s">
        <v>812</v>
      </c>
      <c r="E37" s="365">
        <v>6886.9399999999987</v>
      </c>
      <c r="F37" s="365">
        <f>915+329.97+(1112.88-F32)</f>
        <v>2039.1200000000001</v>
      </c>
      <c r="H37" s="305"/>
      <c r="J37" s="305">
        <f>200+189.99</f>
        <v>389.99</v>
      </c>
      <c r="L37" s="305"/>
      <c r="N37" s="305"/>
      <c r="O37" s="274">
        <f>SUM(E37:F37)-SUM(G37:N37)-O43</f>
        <v>7134.74</v>
      </c>
      <c r="P37" s="274" t="str">
        <f t="shared" si="9"/>
        <v>Wedding</v>
      </c>
      <c r="Q37" s="282">
        <f t="shared" si="8"/>
        <v>0</v>
      </c>
      <c r="R37" s="11"/>
    </row>
    <row r="38" spans="2:19" ht="15" customHeight="1" outlineLevel="1">
      <c r="B38" s="734"/>
      <c r="C38" s="760"/>
      <c r="D38" s="300" t="s">
        <v>174</v>
      </c>
      <c r="E38" s="365">
        <v>0</v>
      </c>
      <c r="F38" s="365">
        <v>0</v>
      </c>
      <c r="G38" s="11"/>
      <c r="H38" s="306"/>
      <c r="J38" s="305"/>
      <c r="L38" s="305"/>
      <c r="N38" s="305"/>
      <c r="O38" s="274">
        <f t="shared" si="7"/>
        <v>0</v>
      </c>
      <c r="P38" s="274" t="str">
        <f t="shared" si="9"/>
        <v>House</v>
      </c>
      <c r="Q38" s="282">
        <f t="shared" si="8"/>
        <v>0</v>
      </c>
    </row>
    <row r="39" spans="2:19" ht="18" outlineLevel="1">
      <c r="B39" s="734"/>
      <c r="C39" s="760"/>
      <c r="D39" s="13" t="s">
        <v>943</v>
      </c>
      <c r="E39" s="365">
        <v>0</v>
      </c>
      <c r="F39" s="365">
        <v>0</v>
      </c>
      <c r="H39" s="305"/>
      <c r="J39" s="305"/>
      <c r="L39" s="305"/>
      <c r="N39" s="305"/>
      <c r="O39" s="274">
        <f t="shared" ref="O39:O44" si="10">SUM(E39:F39)-SUM(G39:N39)</f>
        <v>0</v>
      </c>
      <c r="P39" s="274" t="str">
        <f t="shared" si="9"/>
        <v>Car wash</v>
      </c>
      <c r="Q39" s="282">
        <f>IF(O39&lt;0,O39*-1,0)</f>
        <v>0</v>
      </c>
      <c r="R39" s="11"/>
    </row>
    <row r="40" spans="2:19" ht="18" outlineLevel="1">
      <c r="B40" s="734"/>
      <c r="C40" s="760"/>
      <c r="D40" s="13" t="s">
        <v>177</v>
      </c>
      <c r="E40" s="365">
        <v>0</v>
      </c>
      <c r="F40" s="365">
        <v>0</v>
      </c>
      <c r="H40" s="305"/>
      <c r="J40" s="305"/>
      <c r="L40" s="305"/>
      <c r="N40" s="305"/>
      <c r="O40" s="274">
        <f>SUM(E40:F40)-SUM(G40:N40)</f>
        <v>0</v>
      </c>
      <c r="P40" s="274" t="str">
        <f t="shared" si="9"/>
        <v>Gym</v>
      </c>
      <c r="Q40" s="282">
        <f t="shared" si="8"/>
        <v>0</v>
      </c>
    </row>
    <row r="41" spans="2:19" ht="15.75" customHeight="1" outlineLevel="1">
      <c r="B41" s="734"/>
      <c r="C41" s="760"/>
      <c r="D41" s="13" t="s">
        <v>781</v>
      </c>
      <c r="E41" s="365">
        <v>0</v>
      </c>
      <c r="F41" s="365">
        <f>13+2+10.65+5.99+5.99+10.99</f>
        <v>48.620000000000005</v>
      </c>
      <c r="G41">
        <f>13+2+10.99+5.99</f>
        <v>31.980000000000004</v>
      </c>
      <c r="H41" s="305"/>
      <c r="I41">
        <f>10.65+5.99</f>
        <v>16.64</v>
      </c>
      <c r="J41" s="305"/>
      <c r="L41" s="305"/>
      <c r="N41" s="305"/>
      <c r="O41" s="274">
        <f t="shared" si="10"/>
        <v>0</v>
      </c>
      <c r="P41" s="274" t="str">
        <f t="shared" si="9"/>
        <v>Subscriptions</v>
      </c>
      <c r="Q41" s="282">
        <f>IF(O41&lt;0,O41*-1,0)</f>
        <v>0</v>
      </c>
    </row>
    <row r="42" spans="2:19" ht="18" outlineLevel="1">
      <c r="B42" s="734"/>
      <c r="C42" s="760"/>
      <c r="D42" s="13" t="s">
        <v>922</v>
      </c>
      <c r="E42" s="365">
        <f>99.41-0.96</f>
        <v>98.45</v>
      </c>
      <c r="F42" s="365">
        <f>(D31-SUM(F32:F41))-F44</f>
        <v>401.66000000000065</v>
      </c>
      <c r="G42">
        <f>20+3.99</f>
        <v>23.990000000000002</v>
      </c>
      <c r="H42" s="305">
        <f>24+(41.55-34.05)+25.84+10</f>
        <v>67.34</v>
      </c>
      <c r="I42">
        <f>254.51+3+19.5</f>
        <v>277.01</v>
      </c>
      <c r="J42" s="305">
        <f>51.25+42.22+29.74</f>
        <v>123.21</v>
      </c>
      <c r="L42" s="305"/>
      <c r="N42" s="305"/>
      <c r="O42" s="274">
        <f>SUM(E42:F42)-SUM(G42:N42)</f>
        <v>8.5600000000006276</v>
      </c>
      <c r="P42" s="274" t="str">
        <f t="shared" si="9"/>
        <v>Matt Fun</v>
      </c>
      <c r="Q42" s="282">
        <f>IF(SUM(E42:F42)-SUM(G42:N42)&lt;=0,(SUM(E42:F42)-SUM(G42:N42))*-1,0)</f>
        <v>0</v>
      </c>
    </row>
    <row r="43" spans="2:19" ht="18" outlineLevel="1">
      <c r="B43" s="7"/>
      <c r="C43" s="284"/>
      <c r="D43" s="13" t="s">
        <v>1025</v>
      </c>
      <c r="E43" s="365">
        <v>0</v>
      </c>
      <c r="F43" s="365">
        <v>0</v>
      </c>
      <c r="G43">
        <f>10+23.85+0.85+0.9+2.5+4.5+4.5+11</f>
        <v>58.1</v>
      </c>
      <c r="H43" s="305">
        <f>9.63+40+2+13+305+9.5+19.4</f>
        <v>398.53</v>
      </c>
      <c r="I43">
        <f>6.9+10.18+18.7</f>
        <v>35.78</v>
      </c>
      <c r="J43" s="305">
        <f>167.1+20+64.14+5.5+6.9+8.7+11.4</f>
        <v>283.73999999999995</v>
      </c>
      <c r="L43" s="305">
        <v>18</v>
      </c>
      <c r="M43">
        <f>11.99+6.78+11.88+6.99+17.6</f>
        <v>55.24</v>
      </c>
      <c r="N43" s="305">
        <f>38.74+(53.94-9.87)+5+400+34.23+20+9.9</f>
        <v>551.93999999999994</v>
      </c>
      <c r="O43" s="274">
        <f>SUM(G43:N43)</f>
        <v>1401.33</v>
      </c>
      <c r="P43" s="274" t="str">
        <f t="shared" si="9"/>
        <v>Work Expenses</v>
      </c>
      <c r="Q43" s="333">
        <f>(698.11)-SUM(M43:N43)</f>
        <v>90.930000000000064</v>
      </c>
      <c r="S43" s="11"/>
    </row>
    <row r="44" spans="2:19" ht="18" outlineLevel="1">
      <c r="B44" s="7"/>
      <c r="C44" s="284"/>
      <c r="D44" s="13" t="s">
        <v>152</v>
      </c>
      <c r="E44" s="365">
        <v>0</v>
      </c>
      <c r="F44" s="365">
        <f>67-0.31+36+36+20-13.53</f>
        <v>145.16</v>
      </c>
      <c r="H44" s="305">
        <f>66.69+36.47</f>
        <v>103.16</v>
      </c>
      <c r="I44">
        <f>22+20</f>
        <v>42</v>
      </c>
      <c r="J44" s="305"/>
      <c r="L44" s="305"/>
      <c r="N44" s="305"/>
      <c r="O44" s="274">
        <f t="shared" si="10"/>
        <v>0</v>
      </c>
      <c r="P44" s="274" t="str">
        <f t="shared" si="9"/>
        <v>Kris</v>
      </c>
      <c r="Q44" s="271">
        <f>IF(F44-SUM(G44:N44)&lt;=0,(F44-SUM(G44:N44))*-1,0)</f>
        <v>0</v>
      </c>
    </row>
    <row r="45" spans="2:19">
      <c r="B45" s="118"/>
      <c r="C45" s="118"/>
      <c r="E45" s="365">
        <f>SUM(E32:E44)+SUM(E24:E28)+SUM(E6:E20)</f>
        <v>9754.1699999999983</v>
      </c>
      <c r="F45" s="365"/>
      <c r="H45" s="7" t="s">
        <v>986</v>
      </c>
      <c r="J45" s="7" t="s">
        <v>986</v>
      </c>
      <c r="L45" s="7" t="s">
        <v>986</v>
      </c>
      <c r="N45" s="7"/>
      <c r="O45" s="273"/>
      <c r="P45" s="273"/>
      <c r="Q45" s="282"/>
    </row>
    <row r="46" spans="2:19" ht="18">
      <c r="B46" s="728" t="s">
        <v>817</v>
      </c>
      <c r="C46" s="728"/>
      <c r="D46" s="728"/>
      <c r="E46" s="375">
        <f>G46+I46+K46+M46+N46+E45</f>
        <v>15520.249999999998</v>
      </c>
      <c r="F46" s="379"/>
      <c r="G46" s="271">
        <f>3082.2+1300+67+12+36+40</f>
        <v>4537.2</v>
      </c>
      <c r="H46" s="271"/>
      <c r="I46" s="271">
        <f>36+20+30</f>
        <v>86</v>
      </c>
      <c r="J46" s="271"/>
      <c r="K46" s="271">
        <v>15</v>
      </c>
      <c r="L46" s="271"/>
      <c r="M46" s="271">
        <f>1112.88+15</f>
        <v>1127.8800000000001</v>
      </c>
      <c r="N46" s="271"/>
      <c r="O46" s="314" t="str">
        <f>"£" &amp; ROUND(O5+O31+O23+IF(O42&gt;0,O42,0)+O44+O4,2) &amp; " / " &amp; "£" &amp; E46</f>
        <v>£10216.1 / £15520.25</v>
      </c>
      <c r="P46" s="274"/>
      <c r="Q46" s="282">
        <f>SUM(Q31,Q23,Q5)</f>
        <v>2.3199999999999985</v>
      </c>
    </row>
    <row r="47" spans="2:19">
      <c r="B47" s="118"/>
      <c r="C47" s="7"/>
      <c r="E47" s="365"/>
      <c r="F47" s="365"/>
      <c r="G47" s="365"/>
      <c r="H47" s="365"/>
    </row>
    <row r="48" spans="2:19" ht="14.4">
      <c r="B48" s="729"/>
      <c r="C48" s="729"/>
      <c r="D48" s="729"/>
      <c r="E48" s="729"/>
      <c r="F48" s="729"/>
      <c r="G48" s="729"/>
      <c r="H48" s="297"/>
      <c r="K48" s="729"/>
      <c r="L48" s="729"/>
      <c r="M48" s="729"/>
      <c r="N48" s="729"/>
      <c r="O48" s="729"/>
      <c r="P48" s="297"/>
      <c r="R48">
        <v>10186.92</v>
      </c>
    </row>
    <row r="49" spans="2:19" ht="15" customHeight="1">
      <c r="B49" s="726" t="s">
        <v>955</v>
      </c>
      <c r="C49" s="726"/>
      <c r="D49" s="726"/>
      <c r="E49" s="726"/>
      <c r="F49" s="79"/>
      <c r="K49" s="212"/>
      <c r="L49" s="212"/>
      <c r="N49" s="118" t="s">
        <v>991</v>
      </c>
      <c r="O49" s="316">
        <v>44279</v>
      </c>
      <c r="P49" s="7">
        <f ca="1">DATEDIF(O49,NOW(),"d")</f>
        <v>1972</v>
      </c>
      <c r="Q49" t="s">
        <v>1044</v>
      </c>
      <c r="R49">
        <f>R48+29.18</f>
        <v>10216.1</v>
      </c>
      <c r="S49">
        <v>6.48</v>
      </c>
    </row>
    <row r="50" spans="2:19">
      <c r="B50" s="365"/>
      <c r="C50" s="38"/>
      <c r="E50" s="11"/>
      <c r="F50" s="11"/>
      <c r="H50" s="243"/>
      <c r="K50" s="214"/>
      <c r="L50" s="214"/>
      <c r="N50" s="322" t="s">
        <v>992</v>
      </c>
      <c r="O50" s="42">
        <v>44279</v>
      </c>
      <c r="P50" s="7">
        <f ca="1">DATEDIF(O50,NOW(),"d")</f>
        <v>1972</v>
      </c>
      <c r="Q50" t="s">
        <v>1045</v>
      </c>
      <c r="S50">
        <f>544.29-S49</f>
        <v>537.80999999999995</v>
      </c>
    </row>
    <row r="51" spans="2:19" ht="14.4">
      <c r="E51" s="11"/>
      <c r="F51" s="11"/>
      <c r="G51" s="11"/>
      <c r="H51" s="11"/>
      <c r="L51" s="347"/>
      <c r="N51" t="s">
        <v>993</v>
      </c>
      <c r="O51">
        <v>0</v>
      </c>
      <c r="P51"/>
    </row>
    <row r="52" spans="2:19" ht="16.2" customHeight="1">
      <c r="E52" s="214"/>
      <c r="F52" s="214"/>
      <c r="G52" s="11"/>
      <c r="J52" s="332"/>
      <c r="K52" s="332"/>
      <c r="L52" s="332"/>
      <c r="M52" s="332"/>
      <c r="N52" s="212"/>
      <c r="O52" s="212"/>
      <c r="P52" s="212"/>
    </row>
    <row r="53" spans="2:19">
      <c r="B53" s="378"/>
      <c r="E53"/>
      <c r="F53" s="214"/>
      <c r="G53" s="11"/>
      <c r="H53" s="11"/>
      <c r="J53" s="11"/>
      <c r="K53" s="56"/>
      <c r="L53" s="56"/>
      <c r="M53" s="365"/>
      <c r="N53" s="56"/>
      <c r="O53" s="243"/>
      <c r="P53" s="56"/>
    </row>
    <row r="54" spans="2:19">
      <c r="E54"/>
      <c r="F54" s="38"/>
      <c r="H54" s="11"/>
      <c r="J54" s="11"/>
      <c r="L54" s="243"/>
      <c r="M54" s="365"/>
      <c r="N54" s="56"/>
      <c r="O54" s="11"/>
      <c r="P54"/>
    </row>
    <row r="55" spans="2:19">
      <c r="E55"/>
      <c r="F55" s="38"/>
      <c r="G55" s="38"/>
      <c r="H55" s="38"/>
      <c r="J55" s="11"/>
      <c r="M55" s="365"/>
      <c r="N55" s="56"/>
      <c r="O55" s="284"/>
      <c r="P55" s="212"/>
      <c r="Q55" s="212"/>
    </row>
    <row r="56" spans="2:19">
      <c r="E56"/>
      <c r="F56" s="38"/>
      <c r="H56" s="38"/>
      <c r="I56" s="243"/>
      <c r="J56" s="11"/>
      <c r="M56" s="365"/>
      <c r="N56" s="56"/>
      <c r="O56" s="56"/>
      <c r="P56" s="56"/>
      <c r="Q56" s="38"/>
    </row>
    <row r="57" spans="2:19" ht="14.4">
      <c r="E57"/>
      <c r="F57" s="38"/>
      <c r="H57" s="38"/>
      <c r="I57" s="243"/>
      <c r="J57" s="11"/>
      <c r="N57" s="56"/>
    </row>
    <row r="58" spans="2:19">
      <c r="E58" s="365"/>
      <c r="F58" s="365"/>
      <c r="H58" s="38"/>
      <c r="I58" s="11"/>
      <c r="J58" s="11"/>
      <c r="M58" s="365"/>
      <c r="N58" s="764"/>
    </row>
    <row r="59" spans="2:19">
      <c r="E59" s="365"/>
      <c r="F59" s="365"/>
      <c r="H59" s="38"/>
      <c r="I59" s="11"/>
      <c r="J59" s="11"/>
      <c r="N59" s="765"/>
      <c r="O59" s="275"/>
      <c r="P59" s="275"/>
    </row>
    <row r="60" spans="2:19">
      <c r="B60" s="11"/>
      <c r="E60" s="365"/>
      <c r="F60" s="365"/>
      <c r="H60" s="38"/>
      <c r="I60" s="11"/>
      <c r="J60" s="11"/>
      <c r="N60" s="765"/>
    </row>
    <row r="61" spans="2:19" ht="14.4">
      <c r="B61" s="11"/>
      <c r="E61"/>
      <c r="F61"/>
      <c r="H61" s="38"/>
      <c r="I61" s="11"/>
      <c r="J61" s="11"/>
      <c r="L61" s="79"/>
      <c r="M61" s="726"/>
      <c r="N61" s="726"/>
      <c r="O61" s="726"/>
      <c r="P61" s="726"/>
    </row>
    <row r="62" spans="2:19">
      <c r="E62"/>
      <c r="F62"/>
      <c r="H62" s="38"/>
      <c r="I62" s="11"/>
      <c r="J62" s="11"/>
      <c r="N62" s="278"/>
      <c r="O62" s="212"/>
      <c r="P62" s="212"/>
    </row>
    <row r="63" spans="2:19">
      <c r="B63" s="212"/>
      <c r="C63" s="212"/>
      <c r="E63"/>
      <c r="F63"/>
      <c r="H63" s="38"/>
      <c r="I63" s="11"/>
      <c r="J63" s="11"/>
      <c r="N63" s="376"/>
      <c r="O63" s="214"/>
      <c r="P63" s="214"/>
    </row>
    <row r="64" spans="2:19">
      <c r="C64" s="56"/>
      <c r="D64" s="243"/>
      <c r="E64"/>
      <c r="F64"/>
      <c r="H64" s="38"/>
      <c r="I64" s="11"/>
      <c r="J64" s="11"/>
      <c r="N64" s="365"/>
      <c r="O64"/>
      <c r="P64"/>
    </row>
    <row r="65" spans="2:16">
      <c r="C65" s="56"/>
      <c r="E65"/>
      <c r="F65"/>
      <c r="H65" s="38"/>
      <c r="I65" s="11"/>
      <c r="J65" s="11"/>
      <c r="N65" s="278"/>
      <c r="O65" s="212"/>
      <c r="P65" s="212"/>
    </row>
    <row r="66" spans="2:16">
      <c r="C66" s="56"/>
      <c r="D66" s="56"/>
      <c r="E66"/>
      <c r="F66"/>
      <c r="H66" s="38"/>
      <c r="I66" s="11"/>
      <c r="N66" s="365"/>
      <c r="O66" s="56"/>
      <c r="P66" s="56"/>
    </row>
    <row r="67" spans="2:16">
      <c r="C67" s="56"/>
      <c r="E67"/>
      <c r="F67"/>
      <c r="H67" s="38"/>
      <c r="I67" s="11"/>
      <c r="N67" s="365"/>
      <c r="O67"/>
      <c r="P67"/>
    </row>
    <row r="68" spans="2:16">
      <c r="C68" s="56"/>
      <c r="E68"/>
      <c r="F68"/>
      <c r="H68" s="38"/>
      <c r="I68" s="11"/>
      <c r="N68" s="278"/>
      <c r="O68" s="212"/>
      <c r="P68" s="212"/>
    </row>
    <row r="69" spans="2:16">
      <c r="C69" s="56"/>
      <c r="E69"/>
      <c r="F69"/>
      <c r="H69" s="38"/>
      <c r="I69" s="11"/>
      <c r="N69" s="365"/>
      <c r="O69" s="38"/>
      <c r="P69" s="56"/>
    </row>
    <row r="70" spans="2:16" ht="14.4">
      <c r="C70" s="56"/>
      <c r="E70"/>
      <c r="F70"/>
      <c r="H70" s="38"/>
      <c r="I70" s="11"/>
      <c r="O70"/>
    </row>
    <row r="71" spans="2:16" ht="14.4">
      <c r="C71" s="56"/>
      <c r="E71"/>
      <c r="F71"/>
      <c r="H71" s="38"/>
      <c r="I71" s="11"/>
    </row>
    <row r="72" spans="2:16" ht="14.4">
      <c r="C72" s="56"/>
      <c r="E72"/>
      <c r="F72"/>
    </row>
    <row r="73" spans="2:16" ht="14.4">
      <c r="C73" s="56"/>
      <c r="E73"/>
      <c r="F73"/>
    </row>
    <row r="74" spans="2:16" ht="14.4">
      <c r="C74" s="56"/>
      <c r="E74"/>
      <c r="F74"/>
    </row>
    <row r="75" spans="2:16">
      <c r="E75" s="365"/>
      <c r="F75" s="365"/>
    </row>
    <row r="76" spans="2:16" ht="14.4">
      <c r="B76" s="212"/>
      <c r="C76" s="294"/>
      <c r="D76" s="212"/>
      <c r="E76" s="212"/>
      <c r="F76" s="212"/>
      <c r="G76" s="212"/>
      <c r="H76" s="212"/>
    </row>
    <row r="77" spans="2:16" ht="14.4">
      <c r="C77" s="56"/>
      <c r="D77" s="56"/>
      <c r="E77" s="56"/>
      <c r="F77" s="56"/>
      <c r="G77" s="56"/>
      <c r="H77" s="56"/>
    </row>
    <row r="78" spans="2:16" ht="14.4">
      <c r="C78" s="56"/>
      <c r="D78" s="56"/>
      <c r="E78" s="56"/>
      <c r="F78" s="56"/>
      <c r="G78" s="56"/>
      <c r="H78" s="56"/>
    </row>
    <row r="79" spans="2:16" ht="14.4">
      <c r="C79" s="56"/>
      <c r="D79" s="56"/>
      <c r="E79" s="56"/>
      <c r="F79" s="56"/>
      <c r="G79" s="56"/>
      <c r="H79" s="56"/>
    </row>
    <row r="80" spans="2:16" ht="14.4">
      <c r="C80" s="56"/>
      <c r="D80" s="56"/>
      <c r="E80" s="56"/>
      <c r="F80" s="56"/>
      <c r="G80" s="56"/>
      <c r="H80" s="56"/>
    </row>
    <row r="81" spans="3:8" ht="14.4">
      <c r="C81" s="56"/>
      <c r="D81" s="56"/>
      <c r="E81" s="56"/>
      <c r="F81" s="56"/>
      <c r="G81" s="56"/>
      <c r="H81" s="56"/>
    </row>
    <row r="82" spans="3:8" ht="14.4">
      <c r="C82" s="56"/>
      <c r="E82" s="56"/>
      <c r="F82" s="56"/>
    </row>
    <row r="84" spans="3:8" ht="14.4">
      <c r="E84" s="212"/>
      <c r="F84" s="212"/>
      <c r="G84" s="212"/>
      <c r="H84" s="212"/>
    </row>
    <row r="85" spans="3:8" ht="14.4">
      <c r="E85" s="56"/>
      <c r="F85" s="56"/>
      <c r="G85" s="56"/>
      <c r="H85" s="56"/>
    </row>
    <row r="86" spans="3:8" ht="14.4">
      <c r="E86" s="56"/>
      <c r="F86" s="56"/>
      <c r="G86" s="56"/>
      <c r="H86" s="56"/>
    </row>
    <row r="87" spans="3:8" ht="14.4">
      <c r="E87" s="56"/>
      <c r="F87" s="56"/>
      <c r="G87" s="56"/>
      <c r="H87" s="56"/>
    </row>
    <row r="88" spans="3:8" ht="14.4">
      <c r="E88" s="56"/>
      <c r="F88" s="56"/>
      <c r="G88" s="56"/>
      <c r="H88" s="56"/>
    </row>
    <row r="89" spans="3:8" ht="14.4">
      <c r="E89" s="56"/>
      <c r="F89" s="56"/>
      <c r="G89" s="56"/>
      <c r="H89" s="56"/>
    </row>
    <row r="90" spans="3:8" ht="14.4">
      <c r="E90" s="56"/>
      <c r="F90" s="56"/>
    </row>
    <row r="92" spans="3:8" ht="14.4">
      <c r="E92" s="212"/>
      <c r="F92" s="212"/>
      <c r="G92" s="212"/>
      <c r="H92" s="212"/>
    </row>
    <row r="93" spans="3:8" ht="14.4">
      <c r="E93" s="56"/>
      <c r="F93" s="56"/>
      <c r="G93" s="56"/>
      <c r="H93" s="56"/>
    </row>
    <row r="94" spans="3:8" ht="14.4">
      <c r="E94" s="56"/>
      <c r="F94" s="56"/>
      <c r="G94" s="56"/>
      <c r="H94" s="56"/>
    </row>
    <row r="95" spans="3:8" ht="14.4">
      <c r="E95" s="56"/>
      <c r="F95" s="56"/>
      <c r="G95" s="56"/>
      <c r="H95" s="56"/>
    </row>
    <row r="96" spans="3:8" ht="14.4">
      <c r="E96" s="56"/>
      <c r="F96" s="56"/>
      <c r="G96" s="56"/>
      <c r="H96" s="56"/>
    </row>
    <row r="97" spans="5:8" ht="14.4">
      <c r="E97" s="56"/>
      <c r="F97" s="56"/>
      <c r="G97" s="56"/>
      <c r="H97" s="56"/>
    </row>
    <row r="98" spans="5:8" ht="14.4">
      <c r="E98" s="56"/>
      <c r="F98" s="56"/>
    </row>
    <row r="99" spans="5:8">
      <c r="E99" s="365"/>
      <c r="F99" s="365"/>
    </row>
  </sheetData>
  <mergeCells count="25">
    <mergeCell ref="B23:C23"/>
    <mergeCell ref="D23:E23"/>
    <mergeCell ref="B1:O1"/>
    <mergeCell ref="G3:H3"/>
    <mergeCell ref="I3:J3"/>
    <mergeCell ref="K3:L3"/>
    <mergeCell ref="M3:N3"/>
    <mergeCell ref="B4:E4"/>
    <mergeCell ref="B5:C5"/>
    <mergeCell ref="D5:E5"/>
    <mergeCell ref="B6:B20"/>
    <mergeCell ref="C6:C20"/>
    <mergeCell ref="B22:E22"/>
    <mergeCell ref="M61:P61"/>
    <mergeCell ref="B30:E30"/>
    <mergeCell ref="B31:C31"/>
    <mergeCell ref="D31:E31"/>
    <mergeCell ref="B32:B42"/>
    <mergeCell ref="C32:C42"/>
    <mergeCell ref="B46:D46"/>
    <mergeCell ref="B48:G48"/>
    <mergeCell ref="K48:O48"/>
    <mergeCell ref="B49:C49"/>
    <mergeCell ref="D49:E49"/>
    <mergeCell ref="N58:N60"/>
  </mergeCells>
  <pageMargins left="0.7" right="0.7" top="0.75" bottom="0.75" header="0.3" footer="0.3"/>
  <pageSetup orientation="portrait" r:id="rId1"/>
  <legacy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799DB-55F1-4F8C-BEB0-FF426F7802F5}">
  <dimension ref="A1:U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FEB-MAR 2021</v>
      </c>
      <c r="B1" s="730" t="str">
        <f ca="1">MID(CELL("filename",B1),FIND("]",CELL("filename",B1))+1,255)</f>
        <v>MAR-APR 2021</v>
      </c>
      <c r="C1" s="731"/>
      <c r="D1" s="731"/>
      <c r="E1" s="731"/>
      <c r="F1" s="731"/>
      <c r="G1" s="731"/>
      <c r="H1" s="731"/>
      <c r="I1" s="731"/>
      <c r="J1" s="731"/>
      <c r="K1" s="731"/>
      <c r="L1" s="731"/>
      <c r="M1" s="731"/>
      <c r="N1" s="731"/>
      <c r="O1" s="731"/>
      <c r="P1" s="298">
        <f>118.92-O4</f>
        <v>-1056.03</v>
      </c>
      <c r="Q1" s="281"/>
      <c r="R1" s="272"/>
      <c r="S1" s="272"/>
      <c r="T1" s="272"/>
    </row>
    <row r="2" spans="1:21">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44280</v>
      </c>
      <c r="H3" s="732"/>
      <c r="I3" s="732">
        <f>G3+7</f>
        <v>44287</v>
      </c>
      <c r="J3" s="732"/>
      <c r="K3" s="732">
        <f>I3+7</f>
        <v>44294</v>
      </c>
      <c r="L3" s="732"/>
      <c r="M3" s="732">
        <f>K3+7</f>
        <v>44301</v>
      </c>
      <c r="N3" s="732"/>
      <c r="O3" s="325" t="str">
        <f>0 &amp; " / " &amp; ROUND(0-O4,2)</f>
        <v>0 / -1174.95</v>
      </c>
      <c r="P3" s="325" t="s">
        <v>994</v>
      </c>
      <c r="Q3" s="282"/>
    </row>
    <row r="4" spans="1:21" ht="15" customHeight="1">
      <c r="B4" s="727" t="str">
        <f>_xlfn.CONCAT("Expenses - 50 - ",G42*0.5," / Actual = ",D5," (",ROUND((D5/G42)*100,2),")")</f>
        <v>Expenses - 50 - 1989.39 / Actual = 1572.02 (39.51)</v>
      </c>
      <c r="C4" s="727"/>
      <c r="D4" s="727"/>
      <c r="E4" s="727"/>
      <c r="F4" s="318"/>
      <c r="H4" s="243">
        <f>SUM(H5:H40)</f>
        <v>408.61</v>
      </c>
      <c r="J4" s="243">
        <f>SUM(J5:J40)</f>
        <v>303.04000000000002</v>
      </c>
      <c r="L4" s="243">
        <f>SUM(L5:L40)</f>
        <v>463.29999999999995</v>
      </c>
      <c r="N4" s="243">
        <f>SUM(N5:N40)</f>
        <v>0</v>
      </c>
      <c r="O4" s="308">
        <f>IF(H41&lt;&gt;"PAID",H4,0)+IF(J41&lt;&gt;"PAID",J4,0)+IF(L41&lt;&gt;"PAID",L4,0)+IF(N41&lt;&gt;"PAID",N4,0)</f>
        <v>1174.95</v>
      </c>
      <c r="P4" s="309" t="s">
        <v>973</v>
      </c>
      <c r="Q4" s="282"/>
      <c r="R4" s="243"/>
      <c r="S4" s="243">
        <f>O4-1616.15</f>
        <v>-441.20000000000005</v>
      </c>
    </row>
    <row r="5" spans="1:21" ht="15" customHeight="1">
      <c r="B5" s="733" t="str">
        <f>IF(D5&gt;E$42*0.5,ROUND(D5-E$42*0.5,2) &amp; " Over",ROUND(E$42*0.5-D5,2) &amp; " Under")</f>
        <v>5681.42 Under</v>
      </c>
      <c r="C5" s="733"/>
      <c r="D5" s="761">
        <f>SUM(F6:F20)</f>
        <v>1572.0199999999998</v>
      </c>
      <c r="E5" s="761"/>
      <c r="F5" s="321"/>
      <c r="G5" s="284"/>
      <c r="H5" s="306"/>
      <c r="I5" s="79"/>
      <c r="J5" s="306"/>
      <c r="K5" s="79"/>
      <c r="L5" s="306"/>
      <c r="M5" s="79"/>
      <c r="N5" s="305"/>
      <c r="O5" s="285">
        <f>SUMIF(O6:O20,"&gt;0")</f>
        <v>44.07</v>
      </c>
      <c r="P5" s="285" t="s">
        <v>892</v>
      </c>
      <c r="Q5" s="282">
        <f>SUM(Q6:Q20)</f>
        <v>15</v>
      </c>
    </row>
    <row r="6" spans="1:21" ht="15" customHeight="1">
      <c r="B6" s="734" t="str">
        <f>"50%: " &amp; E$42*0.5</f>
        <v>50%: 7253.44</v>
      </c>
      <c r="C6" s="734" t="str">
        <f>ROUND((D5/E$42)*100,2) &amp; "%: " &amp;D5</f>
        <v>10.84%: 1572.02</v>
      </c>
      <c r="D6" s="13" t="s">
        <v>805</v>
      </c>
      <c r="E6" s="365">
        <v>0</v>
      </c>
      <c r="F6" s="374">
        <f>100-19.94</f>
        <v>80.06</v>
      </c>
      <c r="H6" s="305">
        <f>20.03</f>
        <v>20.03</v>
      </c>
      <c r="J6" s="305">
        <f>20</f>
        <v>20</v>
      </c>
      <c r="K6">
        <f>20.01</f>
        <v>20.010000000000002</v>
      </c>
      <c r="L6" s="305">
        <f>20.02</f>
        <v>20.02</v>
      </c>
      <c r="N6" s="305"/>
      <c r="O6" s="274">
        <f>SUM(E6:F6)-SUM(G6:N6)</f>
        <v>0</v>
      </c>
      <c r="P6" s="274" t="str">
        <f t="shared" ref="P6:P20" si="0">D6</f>
        <v>Car Petrol / commuting</v>
      </c>
      <c r="Q6" s="282">
        <f t="shared" ref="Q6:Q20" si="1">IF(O6&lt;0,O6*-1,0)</f>
        <v>0</v>
      </c>
    </row>
    <row r="7" spans="1:21" ht="15" customHeight="1">
      <c r="B7" s="734"/>
      <c r="C7" s="734"/>
      <c r="D7" s="13" t="s">
        <v>169</v>
      </c>
      <c r="E7" s="365">
        <v>0</v>
      </c>
      <c r="F7" s="365">
        <f>300-2.08</f>
        <v>297.92</v>
      </c>
      <c r="G7">
        <f>29.18+4.29</f>
        <v>33.47</v>
      </c>
      <c r="H7" s="305">
        <f>36.59+20.31</f>
        <v>56.900000000000006</v>
      </c>
      <c r="I7">
        <f>1.7</f>
        <v>1.7</v>
      </c>
      <c r="J7" s="305">
        <f>24.78+34.06+10.33</f>
        <v>69.17</v>
      </c>
      <c r="K7">
        <f>0.79+4.13+9.98+13.51+33.48+5.2+1.8+3.8</f>
        <v>72.69</v>
      </c>
      <c r="L7" s="305">
        <f>22.21+31.7</f>
        <v>53.91</v>
      </c>
      <c r="M7">
        <f>0.7+5.98+3.4</f>
        <v>10.08</v>
      </c>
      <c r="N7" s="305"/>
      <c r="O7" s="274">
        <f>SUM(E7:F7)-SUM(G7:N7)</f>
        <v>0</v>
      </c>
      <c r="P7" s="274" t="str">
        <f t="shared" si="0"/>
        <v>Food</v>
      </c>
      <c r="Q7" s="282">
        <f t="shared" si="1"/>
        <v>0</v>
      </c>
    </row>
    <row r="8" spans="1:21" ht="15" customHeight="1">
      <c r="B8" s="734"/>
      <c r="C8" s="734"/>
      <c r="D8" s="13" t="s">
        <v>1046</v>
      </c>
      <c r="E8" s="365">
        <v>0</v>
      </c>
      <c r="F8" s="365">
        <f>40+50-1.12</f>
        <v>88.88</v>
      </c>
      <c r="H8" s="305">
        <f>6.48+24+5</f>
        <v>35.480000000000004</v>
      </c>
      <c r="J8" s="305"/>
      <c r="K8">
        <v>8.98</v>
      </c>
      <c r="L8" s="305">
        <f>24.99</f>
        <v>24.99</v>
      </c>
      <c r="M8">
        <f>5.97+13.46</f>
        <v>19.43</v>
      </c>
      <c r="N8" s="305"/>
      <c r="O8" s="274">
        <f>SUM(E8:F8)-SUM(G8:N8)</f>
        <v>0</v>
      </c>
      <c r="P8" s="274" t="str">
        <f t="shared" si="0"/>
        <v>Bun + Mango / Luna</v>
      </c>
      <c r="Q8" s="282">
        <f t="shared" si="1"/>
        <v>0</v>
      </c>
    </row>
    <row r="9" spans="1:21" ht="15" customHeight="1" outlineLevel="1">
      <c r="B9" s="734"/>
      <c r="C9" s="734"/>
      <c r="D9" s="201" t="s">
        <v>595</v>
      </c>
      <c r="E9" s="365">
        <v>0</v>
      </c>
      <c r="F9" s="365">
        <f>452.64</f>
        <v>452.64</v>
      </c>
      <c r="H9" s="305"/>
      <c r="J9" s="305"/>
      <c r="L9" s="305"/>
      <c r="M9">
        <v>452.64</v>
      </c>
      <c r="N9" s="305"/>
      <c r="O9" s="274">
        <f t="shared" ref="O9:O20" si="2">SUM(E9:F9)-SUM(G9:N9)</f>
        <v>0</v>
      </c>
      <c r="P9" s="274" t="str">
        <f t="shared" si="0"/>
        <v>Mortgage</v>
      </c>
      <c r="Q9" s="282">
        <f t="shared" si="1"/>
        <v>0</v>
      </c>
    </row>
    <row r="10" spans="1:21" ht="15" customHeight="1" outlineLevel="1">
      <c r="B10" s="734"/>
      <c r="C10" s="734"/>
      <c r="D10" s="201" t="s">
        <v>596</v>
      </c>
      <c r="E10" s="365">
        <v>0</v>
      </c>
      <c r="F10" s="365">
        <v>135.07</v>
      </c>
      <c r="H10" s="305"/>
      <c r="J10" s="305"/>
      <c r="L10" s="305"/>
      <c r="M10">
        <v>135.07</v>
      </c>
      <c r="N10" s="305"/>
      <c r="O10" s="274">
        <f t="shared" si="2"/>
        <v>0</v>
      </c>
      <c r="P10" s="274" t="str">
        <f t="shared" si="0"/>
        <v>Council tax</v>
      </c>
      <c r="Q10" s="282">
        <f t="shared" si="1"/>
        <v>0</v>
      </c>
    </row>
    <row r="11" spans="1:21" ht="15" customHeight="1" outlineLevel="1">
      <c r="B11" s="734"/>
      <c r="C11" s="734"/>
      <c r="D11" s="201" t="s">
        <v>1002</v>
      </c>
      <c r="E11" s="365">
        <v>0</v>
      </c>
      <c r="F11" s="365">
        <f>23+75+1</f>
        <v>99</v>
      </c>
      <c r="G11">
        <f>1</f>
        <v>1</v>
      </c>
      <c r="H11" s="305"/>
      <c r="J11" s="305"/>
      <c r="L11" s="305"/>
      <c r="M11">
        <f>23+75</f>
        <v>98</v>
      </c>
      <c r="N11" s="305"/>
      <c r="O11" s="274">
        <f t="shared" si="2"/>
        <v>0</v>
      </c>
      <c r="P11" s="274" t="str">
        <f t="shared" si="0"/>
        <v>Utilities (G,W,E,HTB)</v>
      </c>
      <c r="Q11" s="282">
        <f t="shared" si="1"/>
        <v>0</v>
      </c>
    </row>
    <row r="12" spans="1:21" ht="15" customHeight="1" outlineLevel="1">
      <c r="B12" s="734"/>
      <c r="C12" s="734"/>
      <c r="D12" s="201" t="s">
        <v>996</v>
      </c>
      <c r="E12" s="365">
        <v>0</v>
      </c>
      <c r="F12" s="365">
        <f>13.07</f>
        <v>13.07</v>
      </c>
      <c r="H12" s="305"/>
      <c r="J12" s="305"/>
      <c r="L12" s="305"/>
      <c r="N12" s="305"/>
      <c r="O12" s="274">
        <f t="shared" si="2"/>
        <v>13.07</v>
      </c>
      <c r="P12" s="274" t="str">
        <f t="shared" si="0"/>
        <v>Home Insurance</v>
      </c>
      <c r="Q12" s="282"/>
    </row>
    <row r="13" spans="1:21" ht="15" customHeight="1" outlineLevel="1">
      <c r="B13" s="734"/>
      <c r="C13" s="734"/>
      <c r="D13" s="201" t="s">
        <v>359</v>
      </c>
      <c r="E13" s="365">
        <v>15</v>
      </c>
      <c r="F13" s="365">
        <f>15</f>
        <v>15</v>
      </c>
      <c r="H13" s="305"/>
      <c r="J13" s="305"/>
      <c r="L13" s="305"/>
      <c r="N13" s="305"/>
      <c r="O13" s="274">
        <f t="shared" si="2"/>
        <v>30</v>
      </c>
      <c r="P13" s="274" t="str">
        <f t="shared" si="0"/>
        <v>TV License</v>
      </c>
      <c r="Q13" s="282"/>
    </row>
    <row r="14" spans="1:21" ht="15" customHeight="1" outlineLevel="1">
      <c r="B14" s="734"/>
      <c r="C14" s="734"/>
      <c r="D14" s="201" t="s">
        <v>1003</v>
      </c>
      <c r="E14" s="365">
        <v>0</v>
      </c>
      <c r="F14" s="365">
        <f>4.52+15.97+8.56+8</f>
        <v>37.050000000000004</v>
      </c>
      <c r="G14">
        <f>29.05</f>
        <v>29.05</v>
      </c>
      <c r="H14" s="305"/>
      <c r="I14" s="11"/>
      <c r="J14" s="305"/>
      <c r="K14">
        <v>8</v>
      </c>
      <c r="L14" s="305"/>
      <c r="N14" s="305"/>
      <c r="O14" s="274">
        <f t="shared" si="2"/>
        <v>0</v>
      </c>
      <c r="P14" s="274" t="str">
        <f t="shared" si="0"/>
        <v>Other Insurances</v>
      </c>
      <c r="Q14" s="282">
        <f t="shared" si="1"/>
        <v>0</v>
      </c>
    </row>
    <row r="15" spans="1:21" ht="15" customHeight="1" outlineLevel="1">
      <c r="B15" s="734"/>
      <c r="C15" s="734"/>
      <c r="D15" s="201" t="s">
        <v>602</v>
      </c>
      <c r="E15" s="365">
        <v>0</v>
      </c>
      <c r="F15" s="365">
        <v>1</v>
      </c>
      <c r="H15" s="305"/>
      <c r="J15" s="305"/>
      <c r="L15" s="305"/>
      <c r="N15" s="305"/>
      <c r="O15" s="274">
        <f t="shared" si="2"/>
        <v>1</v>
      </c>
      <c r="P15" s="274" t="str">
        <f t="shared" si="0"/>
        <v>Broadband / TV</v>
      </c>
      <c r="Q15" s="282">
        <f t="shared" si="1"/>
        <v>0</v>
      </c>
    </row>
    <row r="16" spans="1:21" ht="15" customHeight="1" outlineLevel="1">
      <c r="B16" s="734"/>
      <c r="C16" s="734"/>
      <c r="D16" s="201" t="s">
        <v>582</v>
      </c>
      <c r="E16" s="365">
        <v>0</v>
      </c>
      <c r="F16" s="365">
        <v>7.99</v>
      </c>
      <c r="H16" s="305"/>
      <c r="I16">
        <f>7.99</f>
        <v>7.99</v>
      </c>
      <c r="J16" s="305"/>
      <c r="L16" s="305"/>
      <c r="N16" s="305"/>
      <c r="O16" s="274">
        <f>SUM(E16:F16)-SUM(G16:N16)</f>
        <v>0</v>
      </c>
      <c r="P16" s="274" t="str">
        <f t="shared" si="0"/>
        <v>Onedrive (6th)</v>
      </c>
      <c r="Q16" s="282">
        <f t="shared" si="1"/>
        <v>0</v>
      </c>
    </row>
    <row r="17" spans="2:19" ht="15" customHeight="1" outlineLevel="1">
      <c r="B17" s="734"/>
      <c r="C17" s="734"/>
      <c r="D17" s="201" t="s">
        <v>788</v>
      </c>
      <c r="E17" s="365">
        <v>0</v>
      </c>
      <c r="F17" s="365">
        <v>10.44</v>
      </c>
      <c r="G17">
        <v>10.44</v>
      </c>
      <c r="H17" s="305"/>
      <c r="J17" s="305"/>
      <c r="L17" s="305"/>
      <c r="N17" s="305"/>
      <c r="O17" s="274">
        <f>SUM(E17:F17)-SUM(G17:N17)</f>
        <v>0</v>
      </c>
      <c r="P17" s="274" t="str">
        <f t="shared" si="0"/>
        <v>Matt Phone</v>
      </c>
      <c r="Q17" s="282">
        <f t="shared" si="1"/>
        <v>0</v>
      </c>
    </row>
    <row r="18" spans="2:19" ht="15" customHeight="1" outlineLevel="1">
      <c r="B18" s="734"/>
      <c r="C18" s="734"/>
      <c r="D18" s="201" t="s">
        <v>985</v>
      </c>
      <c r="E18" s="365">
        <v>0</v>
      </c>
      <c r="F18" s="365">
        <f>28.87+50.08+75.88</f>
        <v>154.82999999999998</v>
      </c>
      <c r="G18">
        <f>28.87+50.08+75.88</f>
        <v>154.82999999999998</v>
      </c>
      <c r="H18" s="305"/>
      <c r="J18" s="305"/>
      <c r="L18" s="305"/>
      <c r="N18" s="305"/>
      <c r="O18" s="274">
        <f>SUM(E18:F18)-SUM(G18:N18)</f>
        <v>0</v>
      </c>
      <c r="P18" s="274" t="str">
        <f t="shared" si="0"/>
        <v>Car Tax / Insurance</v>
      </c>
      <c r="Q18" s="282">
        <f t="shared" si="1"/>
        <v>0</v>
      </c>
    </row>
    <row r="19" spans="2:19" ht="15" customHeight="1" outlineLevel="1">
      <c r="B19" s="734"/>
      <c r="C19" s="734"/>
      <c r="D19" s="201" t="s">
        <v>944</v>
      </c>
      <c r="E19" s="365">
        <v>0</v>
      </c>
      <c r="F19" s="365">
        <v>0</v>
      </c>
      <c r="H19" s="305"/>
      <c r="J19" s="305"/>
      <c r="L19" s="305"/>
      <c r="M19">
        <f>15</f>
        <v>15</v>
      </c>
      <c r="N19" s="305"/>
      <c r="O19" s="274">
        <f t="shared" si="2"/>
        <v>-15</v>
      </c>
      <c r="P19" s="274" t="str">
        <f t="shared" si="0"/>
        <v>Windows</v>
      </c>
      <c r="Q19" s="282">
        <f t="shared" si="1"/>
        <v>15</v>
      </c>
    </row>
    <row r="20" spans="2:19" ht="15" customHeight="1" outlineLevel="1">
      <c r="B20" s="734"/>
      <c r="C20" s="734"/>
      <c r="D20" s="293" t="s">
        <v>920</v>
      </c>
      <c r="E20" s="365">
        <v>0</v>
      </c>
      <c r="F20" s="277">
        <f>179.07</f>
        <v>179.07</v>
      </c>
      <c r="H20" s="305"/>
      <c r="J20" s="305"/>
      <c r="L20" s="305"/>
      <c r="M20">
        <v>179.07</v>
      </c>
      <c r="N20" s="305"/>
      <c r="O20" s="274">
        <f t="shared" si="2"/>
        <v>0</v>
      </c>
      <c r="P20" s="274" t="str">
        <f t="shared" si="0"/>
        <v>Finance</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",G42*0.2," / Actual = ",D23," (",ROUND((D23/G42)*100,2),")")</f>
        <v>Savings - 20 - 795.756 / Actual = 152.07 (3.82)</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152.07</v>
      </c>
      <c r="E23" s="759"/>
      <c r="F23" s="319"/>
      <c r="H23" s="305"/>
      <c r="J23" s="305"/>
      <c r="L23" s="305"/>
      <c r="N23" s="305"/>
      <c r="O23" s="285">
        <f>SUMIF(O24:O28,"&gt;0")</f>
        <v>182.20000000000064</v>
      </c>
      <c r="P23" s="285" t="s">
        <v>895</v>
      </c>
      <c r="Q23" s="282">
        <f>SUM(Q25:Q25)</f>
        <v>0</v>
      </c>
    </row>
    <row r="24" spans="2:19" ht="15" customHeight="1" outlineLevel="1">
      <c r="B24" s="7" t="str">
        <f>"20% : " &amp; E$42*0.2</f>
        <v>20% : 2901.376</v>
      </c>
      <c r="C24" s="7" t="str">
        <f>"20% : " &amp; E$42*0.2</f>
        <v>20% : 2901.376</v>
      </c>
      <c r="D24" s="300" t="s">
        <v>590</v>
      </c>
      <c r="E24" s="365">
        <v>20.000000000000021</v>
      </c>
      <c r="F24" s="365">
        <f>50+15+14.99+2.08</f>
        <v>82.07</v>
      </c>
      <c r="H24" s="305"/>
      <c r="J24" s="305"/>
      <c r="K24">
        <v>60</v>
      </c>
      <c r="L24" s="315"/>
      <c r="N24" s="305"/>
      <c r="O24" s="274">
        <f>SUM(E24:F24)-SUM(G24:N24)-Q42</f>
        <v>2.2000000000006423</v>
      </c>
      <c r="P24" s="274" t="str">
        <f t="shared" ref="P24:P28" si="3">D24</f>
        <v>Contingency</v>
      </c>
      <c r="Q24" s="282">
        <f>SUM(Q25:Q29)</f>
        <v>0</v>
      </c>
    </row>
    <row r="25" spans="2:19" ht="15" customHeight="1" outlineLevel="1">
      <c r="B25" s="7"/>
      <c r="C25" s="7"/>
      <c r="D25" s="300" t="s">
        <v>998</v>
      </c>
      <c r="E25" s="365">
        <v>110</v>
      </c>
      <c r="F25" s="365">
        <f>50+20</f>
        <v>70</v>
      </c>
      <c r="G25" s="11"/>
      <c r="H25" s="306"/>
      <c r="J25" s="305"/>
      <c r="L25" s="305"/>
      <c r="N25" s="305"/>
      <c r="O25" s="274">
        <f>SUM(E25:F25)-SUM(G25:N25)</f>
        <v>180</v>
      </c>
      <c r="P25" s="274" t="str">
        <f t="shared" si="3"/>
        <v>Cars (Service / MOT)</v>
      </c>
      <c r="Q25" s="282">
        <f t="shared" ref="Q25:Q28" si="4">IF(O25&lt;0,O25*-1,0)</f>
        <v>0</v>
      </c>
    </row>
    <row r="26" spans="2:19" ht="15" customHeight="1" outlineLevel="1">
      <c r="B26" s="7"/>
      <c r="C26" s="7"/>
      <c r="D26" s="300" t="s">
        <v>999</v>
      </c>
      <c r="E26" s="365">
        <v>0</v>
      </c>
      <c r="F26" s="365">
        <v>0</v>
      </c>
      <c r="G26" s="11"/>
      <c r="H26" s="306"/>
      <c r="J26" s="305"/>
      <c r="L26" s="305"/>
      <c r="N26" s="305"/>
      <c r="O26" s="274">
        <f t="shared" ref="O26:O28" si="5">SUM(E26:F26)-SUM(G26:N26)</f>
        <v>0</v>
      </c>
      <c r="P26" s="274" t="str">
        <f t="shared" si="3"/>
        <v>Mortgage Overpayment</v>
      </c>
      <c r="Q26" s="282">
        <f t="shared" si="4"/>
        <v>0</v>
      </c>
    </row>
    <row r="27" spans="2:19" ht="15" customHeight="1" outlineLevel="1">
      <c r="B27" s="7"/>
      <c r="C27" s="7"/>
      <c r="D27" s="300" t="s">
        <v>1000</v>
      </c>
      <c r="E27" s="365">
        <v>0</v>
      </c>
      <c r="F27" s="365">
        <v>0</v>
      </c>
      <c r="G27" s="11"/>
      <c r="H27" s="306"/>
      <c r="J27" s="305"/>
      <c r="L27" s="305"/>
      <c r="N27" s="305"/>
      <c r="O27" s="274">
        <f t="shared" si="5"/>
        <v>0</v>
      </c>
      <c r="P27" s="274" t="str">
        <f t="shared" si="3"/>
        <v>Finance Overpayment</v>
      </c>
      <c r="Q27" s="282">
        <f t="shared" si="4"/>
        <v>0</v>
      </c>
    </row>
    <row r="28" spans="2:19" ht="15" customHeight="1" outlineLevel="1">
      <c r="B28" s="7"/>
      <c r="C28" s="7"/>
      <c r="D28" s="300" t="s">
        <v>814</v>
      </c>
      <c r="E28" s="365">
        <f>537.81</f>
        <v>537.80999999999995</v>
      </c>
      <c r="F28" s="365">
        <v>0</v>
      </c>
      <c r="G28" s="11">
        <v>537.80999999999995</v>
      </c>
      <c r="H28" s="306"/>
      <c r="J28" s="305"/>
      <c r="L28" s="305"/>
      <c r="N28" s="305"/>
      <c r="O28" s="274">
        <f t="shared" si="5"/>
        <v>0</v>
      </c>
      <c r="P28" s="274" t="str">
        <f t="shared" si="3"/>
        <v>CC</v>
      </c>
      <c r="Q28" s="282">
        <f t="shared" si="4"/>
        <v>0</v>
      </c>
    </row>
    <row r="29" spans="2:19" ht="15" customHeight="1">
      <c r="B29" s="118"/>
      <c r="C29" s="118"/>
      <c r="E29" s="365"/>
      <c r="F29" s="365"/>
      <c r="H29" s="305"/>
      <c r="J29" s="305"/>
      <c r="L29" s="305"/>
      <c r="N29" s="305"/>
      <c r="O29" s="273"/>
      <c r="P29" s="273"/>
      <c r="Q29" s="282"/>
    </row>
    <row r="30" spans="2:19" ht="15" customHeight="1">
      <c r="B30" s="727" t="str">
        <f>_xlfn.CONCAT("Wants - 30 - ",G42*0.3," / Actual = ",D31," (",ROUND((D31/G42)*100,2),")")</f>
        <v>Wants - 30 - 1193.634 / Actual = 2566.69 (64.51)</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(E$42-D5-D23-E41)</f>
        <v>2566.6900000000005</v>
      </c>
      <c r="E31" s="727"/>
      <c r="F31" s="319">
        <f>SUM(F32:F38)</f>
        <v>2370.2000000000007</v>
      </c>
      <c r="H31" s="305"/>
      <c r="J31" s="305"/>
      <c r="L31" s="305"/>
      <c r="N31" s="305"/>
      <c r="O31" s="285">
        <f>SUMIF(O32:O37,"&gt;0")</f>
        <v>9179.1899999999987</v>
      </c>
      <c r="P31" s="285" t="s">
        <v>899</v>
      </c>
      <c r="Q31" s="282">
        <f>SUM(Q32:Q38)</f>
        <v>24.869999999999379</v>
      </c>
    </row>
    <row r="32" spans="2:19" ht="15" customHeight="1" outlineLevel="1">
      <c r="B32" s="734"/>
      <c r="C32" s="760"/>
      <c r="D32" s="300" t="s">
        <v>1036</v>
      </c>
      <c r="E32" s="365">
        <v>518.73</v>
      </c>
      <c r="F32" s="365">
        <f>221.78-40.51</f>
        <v>181.27</v>
      </c>
      <c r="H32" s="305"/>
      <c r="J32" s="305"/>
      <c r="L32" s="305"/>
      <c r="N32" s="305"/>
      <c r="O32" s="274">
        <f t="shared" ref="O32:O35" si="6">SUM(E32:F32)-SUM(G32:N32)</f>
        <v>700</v>
      </c>
      <c r="P32" s="274" t="str">
        <f>D32</f>
        <v>Eye Surgery</v>
      </c>
      <c r="Q32" s="282">
        <f t="shared" ref="Q32:Q36" si="7">IF(O32&lt;0,O32*-1,0)</f>
        <v>0</v>
      </c>
      <c r="R32" s="11"/>
      <c r="S32" s="11"/>
    </row>
    <row r="33" spans="2:19" ht="15" customHeight="1" outlineLevel="1">
      <c r="B33" s="734"/>
      <c r="C33" s="760"/>
      <c r="D33" s="300" t="s">
        <v>1047</v>
      </c>
      <c r="E33" s="365">
        <f>1681.99+24+8.56+100</f>
        <v>1814.55</v>
      </c>
      <c r="F33" s="365">
        <f>14.62+100-8.01-26.62</f>
        <v>79.989999999999995</v>
      </c>
      <c r="G33">
        <f>32.02+((31.49+47.65)-40)+1750</f>
        <v>1821.16</v>
      </c>
      <c r="H33" s="305"/>
      <c r="J33" s="305">
        <f>32.99+39.2+1.19</f>
        <v>73.38</v>
      </c>
      <c r="L33" s="305"/>
      <c r="N33" s="305"/>
      <c r="O33" s="274">
        <f t="shared" si="6"/>
        <v>0</v>
      </c>
      <c r="P33" s="274" t="str">
        <f t="shared" ref="P33:P40" si="8">D33</f>
        <v>Luna (ex-mango) Setup</v>
      </c>
      <c r="Q33" s="282">
        <f t="shared" si="7"/>
        <v>0</v>
      </c>
      <c r="R33" s="11"/>
      <c r="S33" s="11"/>
    </row>
    <row r="34" spans="2:19" ht="15" customHeight="1" outlineLevel="1">
      <c r="B34" s="734"/>
      <c r="C34" s="760"/>
      <c r="D34" s="300" t="s">
        <v>354</v>
      </c>
      <c r="E34" s="365">
        <v>0</v>
      </c>
      <c r="F34" s="365">
        <f>0</f>
        <v>0</v>
      </c>
      <c r="H34" s="305"/>
      <c r="J34" s="305"/>
      <c r="L34" s="305"/>
      <c r="N34" s="305"/>
      <c r="O34" s="274">
        <f t="shared" si="6"/>
        <v>0</v>
      </c>
      <c r="P34" s="274" t="str">
        <f t="shared" si="8"/>
        <v>Holiday</v>
      </c>
      <c r="Q34" s="282">
        <f t="shared" si="7"/>
        <v>0</v>
      </c>
      <c r="R34" s="11"/>
      <c r="S34" s="11"/>
    </row>
    <row r="35" spans="2:19" ht="15" customHeight="1" outlineLevel="1">
      <c r="B35" s="734"/>
      <c r="C35" s="760"/>
      <c r="D35" s="300" t="s">
        <v>170</v>
      </c>
      <c r="E35" s="365">
        <v>65.269999999999982</v>
      </c>
      <c r="F35" s="365">
        <f>210+50+150</f>
        <v>410</v>
      </c>
      <c r="G35">
        <f>50</f>
        <v>50</v>
      </c>
      <c r="H35" s="305">
        <f>135</f>
        <v>135</v>
      </c>
      <c r="J35" s="305"/>
      <c r="L35" s="305">
        <f>244.97+18</f>
        <v>262.97000000000003</v>
      </c>
      <c r="N35" s="305"/>
      <c r="O35" s="274">
        <f t="shared" si="6"/>
        <v>27.299999999999955</v>
      </c>
      <c r="P35" s="274" t="str">
        <f t="shared" si="8"/>
        <v>Gift Fund</v>
      </c>
      <c r="Q35" s="282">
        <f t="shared" si="7"/>
        <v>0</v>
      </c>
      <c r="R35" s="11"/>
      <c r="S35" s="11"/>
    </row>
    <row r="36" spans="2:19" ht="15" customHeight="1" outlineLevel="1">
      <c r="B36" s="734"/>
      <c r="C36" s="760"/>
      <c r="D36" s="300" t="s">
        <v>812</v>
      </c>
      <c r="E36" s="365">
        <v>7134.74</v>
      </c>
      <c r="F36" s="365">
        <f>915+329.97+40+25-150+186.17</f>
        <v>1346.14</v>
      </c>
      <c r="H36" s="305"/>
      <c r="J36" s="305">
        <f>28.99</f>
        <v>28.99</v>
      </c>
      <c r="L36" s="305"/>
      <c r="N36" s="305"/>
      <c r="O36" s="274">
        <f>SUM(E36:F36)-SUM(G36:N36)-O39</f>
        <v>8451.89</v>
      </c>
      <c r="P36" s="274" t="str">
        <f t="shared" si="8"/>
        <v>Wedding</v>
      </c>
      <c r="Q36" s="282">
        <f t="shared" si="7"/>
        <v>0</v>
      </c>
      <c r="R36" s="11"/>
    </row>
    <row r="37" spans="2:19" ht="15.75" customHeight="1" outlineLevel="1">
      <c r="B37" s="734"/>
      <c r="C37" s="760"/>
      <c r="D37" s="13" t="s">
        <v>781</v>
      </c>
      <c r="E37" s="365">
        <v>0</v>
      </c>
      <c r="F37" s="365">
        <f>13+2+10+5.99+5.99+10.99+15</f>
        <v>62.970000000000006</v>
      </c>
      <c r="G37">
        <f>13+2</f>
        <v>15</v>
      </c>
      <c r="H37" s="305"/>
      <c r="I37">
        <f>10.99+5.99</f>
        <v>16.98</v>
      </c>
      <c r="J37" s="305"/>
      <c r="K37">
        <f>10+5.99</f>
        <v>15.99</v>
      </c>
      <c r="L37" s="305"/>
      <c r="M37">
        <f>15</f>
        <v>15</v>
      </c>
      <c r="N37" s="305"/>
      <c r="O37" s="274">
        <f t="shared" ref="O37:O40" si="9">SUM(E37:F37)-SUM(G37:N37)</f>
        <v>0</v>
      </c>
      <c r="P37" s="274" t="str">
        <f t="shared" si="8"/>
        <v>Subscriptions</v>
      </c>
      <c r="Q37" s="282">
        <f>IF(O37&lt;0,O37*-1,0)</f>
        <v>0</v>
      </c>
    </row>
    <row r="38" spans="2:19" ht="18" outlineLevel="1">
      <c r="B38" s="734"/>
      <c r="C38" s="760"/>
      <c r="D38" s="13" t="s">
        <v>922</v>
      </c>
      <c r="E38" s="365">
        <v>0</v>
      </c>
      <c r="F38" s="365">
        <f>(D31-SUM(F32:F37))-F40</f>
        <v>289.83000000000061</v>
      </c>
      <c r="G38">
        <f>11+3.15+40</f>
        <v>54.15</v>
      </c>
      <c r="H38" s="305">
        <f>6.38+0.85+118.98</f>
        <v>126.21000000000001</v>
      </c>
      <c r="I38">
        <f>7.99</f>
        <v>7.99</v>
      </c>
      <c r="J38" s="305"/>
      <c r="L38" s="305">
        <f>27.19+34.97+39.25</f>
        <v>101.41</v>
      </c>
      <c r="M38">
        <f>18.95+5.99</f>
        <v>24.939999999999998</v>
      </c>
      <c r="N38" s="305"/>
      <c r="O38" s="274">
        <f>SUM(E38:F38)-SUM(G38:N38)</f>
        <v>-24.869999999999379</v>
      </c>
      <c r="P38" s="274" t="str">
        <f t="shared" si="8"/>
        <v>Matt Fun</v>
      </c>
      <c r="Q38" s="282">
        <f>IF(SUM(E38:F38)-SUM(G38:N38)&lt;=0,(SUM(E38:F38)-SUM(G38:N38))*-1,0)</f>
        <v>24.869999999999379</v>
      </c>
    </row>
    <row r="39" spans="2:19" ht="18" outlineLevel="1">
      <c r="B39" s="7"/>
      <c r="C39" s="284"/>
      <c r="D39" s="13" t="s">
        <v>1025</v>
      </c>
      <c r="E39" s="365">
        <v>0</v>
      </c>
      <c r="F39" s="365">
        <v>0</v>
      </c>
      <c r="H39" s="305"/>
      <c r="J39" s="305"/>
      <c r="L39" s="305"/>
      <c r="N39" s="305"/>
      <c r="O39" s="274">
        <f>SUM(G39:N39)</f>
        <v>0</v>
      </c>
      <c r="P39" s="274" t="str">
        <f t="shared" si="8"/>
        <v>Work Expenses</v>
      </c>
      <c r="Q39" s="333"/>
      <c r="S39" s="11"/>
    </row>
    <row r="40" spans="2:19" ht="18" outlineLevel="1">
      <c r="B40" s="7"/>
      <c r="C40" s="284"/>
      <c r="D40" s="13" t="s">
        <v>152</v>
      </c>
      <c r="E40" s="365">
        <v>0</v>
      </c>
      <c r="F40" s="365">
        <f>50+6+29+77+34.5-0.01</f>
        <v>196.49</v>
      </c>
      <c r="G40">
        <f>50</f>
        <v>50</v>
      </c>
      <c r="H40" s="305">
        <f>6+28.99</f>
        <v>34.989999999999995</v>
      </c>
      <c r="J40" s="305">
        <f>42+35+34.5</f>
        <v>111.5</v>
      </c>
      <c r="L40" s="305"/>
      <c r="N40" s="305"/>
      <c r="O40" s="274">
        <f t="shared" si="9"/>
        <v>0</v>
      </c>
      <c r="P40" s="274" t="str">
        <f t="shared" si="8"/>
        <v>Kris</v>
      </c>
      <c r="Q40" s="271">
        <f>IF(F40-SUM(G40:N40)&lt;=0,(F40-SUM(G40:N40))*-1,0)</f>
        <v>0</v>
      </c>
    </row>
    <row r="41" spans="2:19">
      <c r="B41" s="118"/>
      <c r="C41" s="118"/>
      <c r="E41" s="365">
        <f>SUM(E32:E40)+SUM(E24:E28)+SUM(E6:E20)</f>
        <v>10216.099999999999</v>
      </c>
      <c r="F41" s="365"/>
      <c r="H41" s="7"/>
      <c r="J41" s="7"/>
      <c r="L41" s="7"/>
      <c r="N41" s="7"/>
      <c r="O41" s="273"/>
      <c r="P41" s="273"/>
      <c r="Q41" s="282"/>
    </row>
    <row r="42" spans="2:19" ht="18">
      <c r="B42" s="728" t="s">
        <v>817</v>
      </c>
      <c r="C42" s="728"/>
      <c r="D42" s="728"/>
      <c r="E42" s="375">
        <f>G42+I42+K42+M42+N42+E41</f>
        <v>14506.88</v>
      </c>
      <c r="F42" s="379"/>
      <c r="G42" s="271">
        <f>2693.78+1180+50+20+6+29</f>
        <v>3978.78</v>
      </c>
      <c r="H42" s="271"/>
      <c r="I42" s="271">
        <f>77+35</f>
        <v>112</v>
      </c>
      <c r="J42" s="271"/>
      <c r="K42" s="271"/>
      <c r="L42" s="271"/>
      <c r="M42" s="271">
        <f>200</f>
        <v>200</v>
      </c>
      <c r="N42" s="271"/>
      <c r="O42" s="314" t="str">
        <f>"£" &amp; ROUND(O5+O31+O23+IF(O38&lt;0,0,O38)+O40+O4,2) &amp; " / " &amp; "£" &amp; E42</f>
        <v>£10580.41 / £14506.88</v>
      </c>
      <c r="P42" s="274"/>
      <c r="Q42" s="282">
        <f>SUM(Q31,Q23,Q5)</f>
        <v>39.869999999999379</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79"/>
      <c r="K45" s="212"/>
      <c r="L45" s="212"/>
      <c r="N45" s="118" t="s">
        <v>991</v>
      </c>
      <c r="O45" s="316">
        <v>44291</v>
      </c>
      <c r="P45" s="7">
        <f ca="1">DATEDIF(O45,NOW(),"d")</f>
        <v>1960</v>
      </c>
      <c r="Q45" t="s">
        <v>1048</v>
      </c>
    </row>
    <row r="46" spans="2:19">
      <c r="B46" s="365"/>
      <c r="C46" s="38"/>
      <c r="D46" t="s">
        <v>1039</v>
      </c>
      <c r="E46" s="11"/>
      <c r="F46" s="11"/>
      <c r="H46" s="243"/>
      <c r="K46" s="214"/>
      <c r="L46" s="214"/>
      <c r="N46" s="322" t="s">
        <v>992</v>
      </c>
      <c r="O46" s="42">
        <v>44291</v>
      </c>
      <c r="P46" s="7">
        <f ca="1">DATEDIF(O46,NOW(),"d")</f>
        <v>1960</v>
      </c>
      <c r="Q46" t="s">
        <v>1049</v>
      </c>
    </row>
    <row r="47" spans="2:19" ht="14.4">
      <c r="D47" t="s">
        <v>1041</v>
      </c>
      <c r="E47" s="11">
        <v>20</v>
      </c>
      <c r="F47" s="11"/>
      <c r="G47" s="11"/>
      <c r="H47" s="11"/>
      <c r="L47" s="347"/>
      <c r="N47" t="s">
        <v>993</v>
      </c>
      <c r="O47">
        <v>0</v>
      </c>
      <c r="P47"/>
    </row>
    <row r="48" spans="2:19" ht="16.2" customHeight="1">
      <c r="D48" t="s">
        <v>1042</v>
      </c>
      <c r="E48" s="214">
        <v>15</v>
      </c>
      <c r="F48" s="214"/>
      <c r="G48" s="11"/>
      <c r="J48" s="332"/>
      <c r="K48" s="332"/>
      <c r="L48" s="332"/>
      <c r="M48" s="332"/>
      <c r="N48" s="212"/>
      <c r="O48" s="212"/>
      <c r="P48" s="212"/>
    </row>
    <row r="49" spans="2:17">
      <c r="B49" s="378"/>
      <c r="D49" t="s">
        <v>1043</v>
      </c>
      <c r="E49">
        <v>29.97</v>
      </c>
      <c r="F49" s="214"/>
      <c r="G49" s="11"/>
      <c r="H49" s="11"/>
      <c r="J49" s="11"/>
      <c r="K49" s="56"/>
      <c r="L49" s="56"/>
      <c r="M49" s="365"/>
      <c r="N49" s="56" t="s">
        <v>98</v>
      </c>
      <c r="O49" s="243"/>
      <c r="P49" s="56"/>
    </row>
    <row r="50" spans="2:17">
      <c r="E50"/>
      <c r="F50" s="38"/>
      <c r="G50" s="11"/>
      <c r="H50" s="11"/>
      <c r="J50" s="11"/>
      <c r="M50" s="365"/>
      <c r="N50" s="56"/>
      <c r="O50" s="11"/>
      <c r="P50"/>
    </row>
    <row r="51" spans="2:17">
      <c r="E51"/>
      <c r="F51" s="38"/>
      <c r="G51" s="38"/>
      <c r="H51" s="38"/>
      <c r="J51" s="11"/>
      <c r="M51" s="365"/>
      <c r="N51" s="56"/>
      <c r="O51" s="284"/>
      <c r="P51" s="212"/>
      <c r="Q51" s="212"/>
    </row>
    <row r="52" spans="2:17">
      <c r="E52"/>
      <c r="F52" s="38"/>
      <c r="G52" s="11"/>
      <c r="H52" s="38"/>
      <c r="J52" s="11"/>
      <c r="M52" s="365"/>
      <c r="N52" s="56"/>
      <c r="O52" s="56"/>
      <c r="P52" s="56"/>
      <c r="Q52" s="38"/>
    </row>
    <row r="53" spans="2:17" ht="14.4">
      <c r="E53"/>
      <c r="F53" s="38"/>
      <c r="G53" s="11"/>
      <c r="H53" s="38"/>
      <c r="J53" s="11"/>
      <c r="N53" s="56"/>
    </row>
    <row r="54" spans="2:17">
      <c r="E54" s="365"/>
      <c r="F54" s="365"/>
      <c r="G54" s="11"/>
      <c r="H54" s="38"/>
      <c r="I54" s="11"/>
      <c r="J54" s="11"/>
      <c r="M54" s="365"/>
      <c r="N54" s="764"/>
    </row>
    <row r="55" spans="2:17">
      <c r="E55" s="365"/>
      <c r="F55" s="365"/>
      <c r="G55" s="11"/>
      <c r="H55" s="38"/>
      <c r="I55" s="11"/>
      <c r="J55" s="11"/>
      <c r="N55" s="765"/>
      <c r="O55" s="275"/>
      <c r="P55" s="275"/>
    </row>
    <row r="56" spans="2:17">
      <c r="B56" s="11"/>
      <c r="E56" s="365"/>
      <c r="F56" s="365"/>
      <c r="G56" s="11"/>
      <c r="H56" s="38"/>
      <c r="I56" s="11"/>
      <c r="J56" s="11"/>
      <c r="N56" s="765"/>
    </row>
    <row r="57" spans="2:17" ht="14.4">
      <c r="B57" s="11"/>
      <c r="E57"/>
      <c r="F57"/>
      <c r="G57" s="11"/>
      <c r="H57" s="38"/>
      <c r="I57" s="11"/>
      <c r="J57" s="11"/>
      <c r="L57" s="79"/>
      <c r="M57" s="726"/>
      <c r="N57" s="726"/>
      <c r="O57" s="726"/>
      <c r="P57" s="726"/>
    </row>
    <row r="58" spans="2:17">
      <c r="E58"/>
      <c r="F58"/>
      <c r="G58" s="11"/>
      <c r="H58" s="38"/>
      <c r="I58" s="11"/>
      <c r="N58" s="278"/>
      <c r="O58" s="212"/>
      <c r="P58" s="212"/>
    </row>
    <row r="59" spans="2:17">
      <c r="B59" s="212"/>
      <c r="C59" s="212"/>
      <c r="E59"/>
      <c r="F59"/>
      <c r="G59" s="11"/>
      <c r="H59" s="38"/>
      <c r="I59" s="11"/>
      <c r="N59" s="376"/>
      <c r="O59" s="214"/>
      <c r="P59" s="214"/>
    </row>
    <row r="60" spans="2:17">
      <c r="C60" s="56"/>
      <c r="D60" s="243"/>
      <c r="E60"/>
      <c r="F60"/>
      <c r="G60" s="11"/>
      <c r="H60" s="38"/>
      <c r="I60" s="11"/>
      <c r="N60" s="365"/>
      <c r="O60"/>
      <c r="P60"/>
    </row>
    <row r="61" spans="2:17">
      <c r="C61" s="56"/>
      <c r="E61"/>
      <c r="F61"/>
      <c r="H61" s="38"/>
      <c r="I61" s="11"/>
      <c r="N61" s="278"/>
      <c r="O61" s="212"/>
      <c r="P61" s="212"/>
    </row>
    <row r="62" spans="2:17">
      <c r="C62" s="56"/>
      <c r="D62" s="56"/>
      <c r="E62"/>
      <c r="F62"/>
      <c r="H62" s="38"/>
      <c r="I62" s="11"/>
      <c r="N62" s="365"/>
      <c r="O62" s="56"/>
      <c r="P62" s="56"/>
    </row>
    <row r="63" spans="2:17">
      <c r="C63" s="56"/>
      <c r="E63"/>
      <c r="F63"/>
      <c r="H63" s="38"/>
      <c r="I63" s="11"/>
      <c r="N63" s="365"/>
      <c r="O63"/>
      <c r="P63"/>
    </row>
    <row r="64" spans="2:17">
      <c r="C64" s="56"/>
      <c r="E64"/>
      <c r="F64"/>
      <c r="H64" s="38"/>
      <c r="I64" s="11"/>
      <c r="N64" s="278"/>
      <c r="O64" s="212"/>
      <c r="P64" s="212"/>
    </row>
    <row r="65" spans="2:16">
      <c r="C65" s="56"/>
      <c r="E65"/>
      <c r="F65"/>
      <c r="H65" s="38"/>
      <c r="I65" s="11"/>
      <c r="N65" s="365"/>
      <c r="O65" s="38"/>
      <c r="P65" s="56"/>
    </row>
    <row r="66" spans="2:16" ht="14.4">
      <c r="C66" s="56"/>
      <c r="E66"/>
      <c r="F66"/>
      <c r="H66" s="38"/>
      <c r="I66" s="11"/>
      <c r="O66"/>
    </row>
    <row r="67" spans="2:16" ht="14.4">
      <c r="C67" s="56"/>
      <c r="E67"/>
      <c r="F67"/>
      <c r="H67" s="38"/>
      <c r="I67" s="11"/>
    </row>
    <row r="68" spans="2:16" ht="14.4">
      <c r="C68" s="56"/>
      <c r="E68"/>
      <c r="F68"/>
    </row>
    <row r="69" spans="2:16" ht="14.4">
      <c r="C69" s="56"/>
      <c r="E69"/>
      <c r="F69"/>
    </row>
    <row r="70" spans="2:16" ht="14.4">
      <c r="C70" s="56"/>
      <c r="E70"/>
      <c r="F70"/>
    </row>
    <row r="71" spans="2:16">
      <c r="E71" s="365"/>
      <c r="F71" s="365"/>
    </row>
    <row r="72" spans="2:16" ht="14.4">
      <c r="B72" s="212"/>
      <c r="C72" s="294"/>
      <c r="D72" s="212"/>
      <c r="E72" s="212"/>
      <c r="F72" s="212"/>
      <c r="G72" s="212"/>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5">
    <mergeCell ref="B23:C23"/>
    <mergeCell ref="D23:E23"/>
    <mergeCell ref="B1:O1"/>
    <mergeCell ref="G3:H3"/>
    <mergeCell ref="I3:J3"/>
    <mergeCell ref="K3:L3"/>
    <mergeCell ref="M3:N3"/>
    <mergeCell ref="B4:E4"/>
    <mergeCell ref="B5:C5"/>
    <mergeCell ref="D5:E5"/>
    <mergeCell ref="B6:B20"/>
    <mergeCell ref="C6:C20"/>
    <mergeCell ref="B22:E22"/>
    <mergeCell ref="M57:P57"/>
    <mergeCell ref="B30:E30"/>
    <mergeCell ref="B31:C31"/>
    <mergeCell ref="D31:E31"/>
    <mergeCell ref="B32:B38"/>
    <mergeCell ref="C32:C38"/>
    <mergeCell ref="B42:D42"/>
    <mergeCell ref="B44:G44"/>
    <mergeCell ref="K44:O44"/>
    <mergeCell ref="B45:C45"/>
    <mergeCell ref="D45:E45"/>
    <mergeCell ref="N54:N56"/>
  </mergeCells>
  <pageMargins left="0.7" right="0.7" top="0.75" bottom="0.75" header="0.3" footer="0.3"/>
  <pageSetup orientation="portrait" r:id="rId1"/>
  <legacy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CDA72-1DA1-4654-BFAF-0C444BC12824}">
  <dimension ref="A1:U94"/>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MAR-APR 2021</v>
      </c>
      <c r="B1" s="730" t="str">
        <f ca="1">MID(CELL("filename",B1),FIND("]",CELL("filename",B1))+1,255)</f>
        <v>APR-MAY 2021</v>
      </c>
      <c r="C1" s="731"/>
      <c r="D1" s="731"/>
      <c r="E1" s="731"/>
      <c r="F1" s="731"/>
      <c r="G1" s="731"/>
      <c r="H1" s="731"/>
      <c r="I1" s="731"/>
      <c r="J1" s="731"/>
      <c r="K1" s="731"/>
      <c r="L1" s="731"/>
      <c r="M1" s="731"/>
      <c r="N1" s="731"/>
      <c r="O1" s="731"/>
      <c r="P1" s="298">
        <f>118.92-O4</f>
        <v>-444.43</v>
      </c>
      <c r="Q1" s="281"/>
      <c r="R1" s="272"/>
      <c r="S1" s="272"/>
      <c r="T1" s="272"/>
    </row>
    <row r="2" spans="1:21">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44309</v>
      </c>
      <c r="H3" s="732"/>
      <c r="I3" s="732">
        <f>G3+7</f>
        <v>44316</v>
      </c>
      <c r="J3" s="732"/>
      <c r="K3" s="732">
        <f>I3+7</f>
        <v>44323</v>
      </c>
      <c r="L3" s="732"/>
      <c r="M3" s="732">
        <f>K3+7</f>
        <v>44330</v>
      </c>
      <c r="N3" s="732"/>
      <c r="O3" s="325" t="str">
        <f>0 &amp; " / " &amp; ROUND(0-O4,2)</f>
        <v>0 / -563.35</v>
      </c>
      <c r="P3" s="325" t="s">
        <v>994</v>
      </c>
      <c r="Q3" s="282"/>
    </row>
    <row r="4" spans="1:21" ht="15" customHeight="1">
      <c r="B4" s="727" t="str">
        <f>_xlfn.CONCAT("Expenses - 50 - ",G41*0.5," / Actual = ",D5," (",ROUND((D5/G41)*100,2),")")</f>
        <v>Expenses - 50 - 2206.215 / Actual = 1801.52 (40.83)</v>
      </c>
      <c r="C4" s="727"/>
      <c r="D4" s="727"/>
      <c r="E4" s="727"/>
      <c r="F4" s="318"/>
      <c r="H4" s="243">
        <f>SUM(H5:H39)</f>
        <v>182.87</v>
      </c>
      <c r="J4" s="243">
        <f>SUM(J5:J39)</f>
        <v>131.49</v>
      </c>
      <c r="L4" s="243">
        <f>SUM(L5:L39)</f>
        <v>110.21000000000002</v>
      </c>
      <c r="N4" s="243">
        <f>SUM(N5:N39)</f>
        <v>138.78</v>
      </c>
      <c r="O4" s="308">
        <f>IF(H40&lt;&gt;"PAID",H4,0)+IF(J40&lt;&gt;"PAID",J4,0)+IF(L40&lt;&gt;"PAID",L4,0)+IF(N40&lt;&gt;"PAID",N4,0)</f>
        <v>563.35</v>
      </c>
      <c r="P4" s="309" t="s">
        <v>973</v>
      </c>
      <c r="Q4" s="282"/>
      <c r="R4" s="243"/>
      <c r="S4" s="243"/>
    </row>
    <row r="5" spans="1:21" ht="15" customHeight="1">
      <c r="B5" s="733" t="str">
        <f>IF(D5&gt;E$41*0.5,ROUND(D5-E$41*0.5,2) &amp; " Over",ROUND(E$41*0.5-D5,2) &amp; " Under")</f>
        <v>5735.9 Under</v>
      </c>
      <c r="C5" s="733"/>
      <c r="D5" s="761">
        <f>SUM(F6:F20)</f>
        <v>1801.52</v>
      </c>
      <c r="E5" s="761"/>
      <c r="F5" s="321"/>
      <c r="G5" s="284"/>
      <c r="H5" s="306"/>
      <c r="I5" s="79"/>
      <c r="J5" s="306"/>
      <c r="K5" s="79"/>
      <c r="L5" s="306"/>
      <c r="M5" s="79"/>
      <c r="N5" s="305"/>
      <c r="O5" s="285">
        <f>SUMIF(O6:O20,"&gt;0")</f>
        <v>39.07</v>
      </c>
      <c r="P5" s="285" t="s">
        <v>892</v>
      </c>
      <c r="Q5" s="282">
        <f>SUM(Q6:Q20)</f>
        <v>10.830000000000023</v>
      </c>
    </row>
    <row r="6" spans="1:21" ht="15" customHeight="1">
      <c r="B6" s="734" t="str">
        <f>"50%: " &amp; E$41*0.5</f>
        <v>50%: 7537.42</v>
      </c>
      <c r="C6" s="734" t="str">
        <f>ROUND((D5/E$41)*100,2) &amp; "%: " &amp;D5</f>
        <v>11.95%: 1801.52</v>
      </c>
      <c r="D6" s="13" t="s">
        <v>805</v>
      </c>
      <c r="E6" s="365">
        <v>0</v>
      </c>
      <c r="F6" s="374">
        <f>100</f>
        <v>100</v>
      </c>
      <c r="H6" s="305">
        <f>10.05+20.01</f>
        <v>30.060000000000002</v>
      </c>
      <c r="J6" s="305">
        <f>20</f>
        <v>20</v>
      </c>
      <c r="L6" s="305">
        <f>20+20.01</f>
        <v>40.010000000000005</v>
      </c>
      <c r="N6" s="305">
        <f>20.03</f>
        <v>20.03</v>
      </c>
      <c r="O6" s="274">
        <f>SUM(E6:F6)-SUM(G6:N6)</f>
        <v>-10.100000000000009</v>
      </c>
      <c r="P6" s="274" t="str">
        <f t="shared" ref="P6:P20" si="0">D6</f>
        <v>Car Petrol / commuting</v>
      </c>
      <c r="Q6" s="282">
        <f t="shared" ref="Q6:Q20" si="1">IF(O6&lt;0,O6*-1,0)</f>
        <v>10.100000000000009</v>
      </c>
    </row>
    <row r="7" spans="1:21" ht="15" customHeight="1">
      <c r="B7" s="734"/>
      <c r="C7" s="734"/>
      <c r="D7" s="13" t="s">
        <v>169</v>
      </c>
      <c r="E7" s="365">
        <v>0</v>
      </c>
      <c r="F7" s="365">
        <f>300-10+38+15</f>
        <v>343</v>
      </c>
      <c r="H7" s="305">
        <f>60.87+28.37</f>
        <v>89.24</v>
      </c>
      <c r="J7" s="305">
        <f>55.99+5.7+49.8</f>
        <v>111.49000000000001</v>
      </c>
      <c r="L7" s="305">
        <f>-35+11.27+20.1+63.24</f>
        <v>59.61</v>
      </c>
      <c r="M7">
        <f>5.79+7.5+6.05</f>
        <v>19.34</v>
      </c>
      <c r="N7" s="305">
        <f>35.14+25.79+3</f>
        <v>63.93</v>
      </c>
      <c r="O7" s="274">
        <f>SUM(E7:F7)-SUM(G7:N7)</f>
        <v>-0.61000000000001364</v>
      </c>
      <c r="P7" s="274" t="str">
        <f t="shared" si="0"/>
        <v>Food</v>
      </c>
      <c r="Q7" s="282">
        <f t="shared" si="1"/>
        <v>0.61000000000001364</v>
      </c>
    </row>
    <row r="8" spans="1:21" ht="15" customHeight="1">
      <c r="B8" s="734"/>
      <c r="C8" s="734"/>
      <c r="D8" s="13" t="s">
        <v>1046</v>
      </c>
      <c r="E8" s="365">
        <v>0</v>
      </c>
      <c r="F8" s="365">
        <f>40+50-5+50+45+45+15+12.43</f>
        <v>252.43</v>
      </c>
      <c r="G8">
        <f>13.49+90</f>
        <v>103.49</v>
      </c>
      <c r="H8" s="305">
        <f>10.44+28.98</f>
        <v>39.42</v>
      </c>
      <c r="I8">
        <f>8.5</f>
        <v>8.5</v>
      </c>
      <c r="J8" s="305"/>
      <c r="K8">
        <f>9+10.99+16.6</f>
        <v>36.590000000000003</v>
      </c>
      <c r="L8" s="305">
        <f>12.46</f>
        <v>12.46</v>
      </c>
      <c r="M8">
        <f>26.97</f>
        <v>26.97</v>
      </c>
      <c r="N8" s="305">
        <f>22-12+15</f>
        <v>25</v>
      </c>
      <c r="O8" s="274">
        <f>SUM(E8:F8)-SUM(G8:N8)</f>
        <v>0</v>
      </c>
      <c r="P8" s="274" t="str">
        <f t="shared" si="0"/>
        <v>Bun + Mango / Luna</v>
      </c>
      <c r="Q8" s="282">
        <f t="shared" si="1"/>
        <v>0</v>
      </c>
    </row>
    <row r="9" spans="1:21" ht="15" customHeight="1" outlineLevel="1">
      <c r="B9" s="734"/>
      <c r="C9" s="734"/>
      <c r="D9" s="201" t="s">
        <v>595</v>
      </c>
      <c r="E9" s="365">
        <v>0</v>
      </c>
      <c r="F9" s="365">
        <f>452.64</f>
        <v>452.64</v>
      </c>
      <c r="H9" s="305"/>
      <c r="J9" s="305"/>
      <c r="L9" s="305"/>
      <c r="M9">
        <v>452.64</v>
      </c>
      <c r="N9" s="305"/>
      <c r="O9" s="274">
        <f t="shared" ref="O9:O20" si="2">SUM(E9:F9)-SUM(G9:N9)</f>
        <v>0</v>
      </c>
      <c r="P9" s="274" t="str">
        <f t="shared" si="0"/>
        <v>Mortgage</v>
      </c>
      <c r="Q9" s="282">
        <f t="shared" si="1"/>
        <v>0</v>
      </c>
    </row>
    <row r="10" spans="1:21" ht="15" customHeight="1" outlineLevel="1">
      <c r="B10" s="734"/>
      <c r="C10" s="734"/>
      <c r="D10" s="201" t="s">
        <v>596</v>
      </c>
      <c r="E10" s="365">
        <v>0</v>
      </c>
      <c r="F10" s="365">
        <v>135</v>
      </c>
      <c r="H10" s="305"/>
      <c r="J10" s="305"/>
      <c r="L10" s="305"/>
      <c r="M10">
        <v>135</v>
      </c>
      <c r="N10" s="305"/>
      <c r="O10" s="274">
        <f t="shared" si="2"/>
        <v>0</v>
      </c>
      <c r="P10" s="274" t="str">
        <f t="shared" si="0"/>
        <v>Council tax</v>
      </c>
      <c r="Q10" s="282">
        <f t="shared" si="1"/>
        <v>0</v>
      </c>
    </row>
    <row r="11" spans="1:21" ht="15" customHeight="1" outlineLevel="1">
      <c r="B11" s="734"/>
      <c r="C11" s="734"/>
      <c r="D11" s="201" t="s">
        <v>1002</v>
      </c>
      <c r="E11" s="365">
        <v>0</v>
      </c>
      <c r="F11" s="365">
        <f>23+55+1</f>
        <v>79</v>
      </c>
      <c r="H11" s="305"/>
      <c r="I11">
        <f>1+55</f>
        <v>56</v>
      </c>
      <c r="J11" s="305"/>
      <c r="L11" s="305"/>
      <c r="M11">
        <v>23</v>
      </c>
      <c r="N11" s="305"/>
      <c r="O11" s="274">
        <f t="shared" si="2"/>
        <v>0</v>
      </c>
      <c r="P11" s="274" t="str">
        <f t="shared" si="0"/>
        <v>Utilities (G,W,E,HTB)</v>
      </c>
      <c r="Q11" s="282">
        <f t="shared" si="1"/>
        <v>0</v>
      </c>
    </row>
    <row r="12" spans="1:21" ht="15" customHeight="1" outlineLevel="1">
      <c r="B12" s="734"/>
      <c r="C12" s="734"/>
      <c r="D12" s="201" t="s">
        <v>996</v>
      </c>
      <c r="E12" s="365">
        <v>13.07</v>
      </c>
      <c r="F12" s="365">
        <f>13.07</f>
        <v>13.07</v>
      </c>
      <c r="G12">
        <v>13.07</v>
      </c>
      <c r="H12" s="305"/>
      <c r="J12" s="305"/>
      <c r="L12" s="305"/>
      <c r="N12" s="305"/>
      <c r="O12" s="274">
        <f t="shared" si="2"/>
        <v>13.07</v>
      </c>
      <c r="P12" s="274" t="str">
        <f t="shared" si="0"/>
        <v>Home Insurance</v>
      </c>
      <c r="Q12" s="282"/>
    </row>
    <row r="13" spans="1:21" ht="15" customHeight="1" outlineLevel="1">
      <c r="B13" s="734"/>
      <c r="C13" s="734"/>
      <c r="D13" s="201" t="s">
        <v>359</v>
      </c>
      <c r="E13" s="365">
        <v>30</v>
      </c>
      <c r="F13" s="365">
        <f>11</f>
        <v>11</v>
      </c>
      <c r="H13" s="305"/>
      <c r="J13" s="305"/>
      <c r="L13" s="305"/>
      <c r="M13">
        <v>41</v>
      </c>
      <c r="N13" s="305"/>
      <c r="O13" s="274">
        <f t="shared" si="2"/>
        <v>0</v>
      </c>
      <c r="P13" s="274" t="str">
        <f t="shared" si="0"/>
        <v>TV License</v>
      </c>
      <c r="Q13" s="282"/>
    </row>
    <row r="14" spans="1:21" ht="15" customHeight="1" outlineLevel="1">
      <c r="B14" s="734"/>
      <c r="C14" s="734"/>
      <c r="D14" s="201" t="s">
        <v>1003</v>
      </c>
      <c r="E14" s="365">
        <v>0</v>
      </c>
      <c r="F14" s="365">
        <f>4.52+15.97+8.56+8</f>
        <v>37.050000000000004</v>
      </c>
      <c r="H14" s="305"/>
      <c r="I14" s="11">
        <f>29.05</f>
        <v>29.05</v>
      </c>
      <c r="J14" s="305"/>
      <c r="L14" s="305"/>
      <c r="M14">
        <v>8</v>
      </c>
      <c r="N14" s="305"/>
      <c r="O14" s="274">
        <f t="shared" si="2"/>
        <v>0</v>
      </c>
      <c r="P14" s="274" t="str">
        <f t="shared" si="0"/>
        <v>Other Insurances</v>
      </c>
      <c r="Q14" s="282">
        <f t="shared" si="1"/>
        <v>0</v>
      </c>
    </row>
    <row r="15" spans="1:21" ht="15" customHeight="1" outlineLevel="1">
      <c r="B15" s="734"/>
      <c r="C15" s="734"/>
      <c r="D15" s="201" t="s">
        <v>602</v>
      </c>
      <c r="E15" s="365">
        <v>1</v>
      </c>
      <c r="F15" s="365">
        <v>26</v>
      </c>
      <c r="G15">
        <v>1</v>
      </c>
      <c r="H15" s="305"/>
      <c r="J15" s="305"/>
      <c r="L15" s="305"/>
      <c r="N15" s="305"/>
      <c r="O15" s="274">
        <f>SUM(E15:F15)-SUM(G15:N15)</f>
        <v>26</v>
      </c>
      <c r="P15" s="274" t="str">
        <f t="shared" si="0"/>
        <v>Broadband / TV</v>
      </c>
      <c r="Q15" s="282">
        <f t="shared" si="1"/>
        <v>0</v>
      </c>
    </row>
    <row r="16" spans="1:21" ht="15" customHeight="1" outlineLevel="1">
      <c r="B16" s="734"/>
      <c r="C16" s="734"/>
      <c r="D16" s="201" t="s">
        <v>582</v>
      </c>
      <c r="E16" s="365">
        <v>0</v>
      </c>
      <c r="F16" s="365">
        <v>7.99</v>
      </c>
      <c r="H16" s="305"/>
      <c r="I16">
        <f>7.99</f>
        <v>7.99</v>
      </c>
      <c r="J16" s="305"/>
      <c r="L16" s="305"/>
      <c r="N16" s="305"/>
      <c r="O16" s="274">
        <f>SUM(E16:F16)-SUM(G16:N16)</f>
        <v>0</v>
      </c>
      <c r="P16" s="274" t="str">
        <f t="shared" si="0"/>
        <v>Onedrive (6th)</v>
      </c>
      <c r="Q16" s="282">
        <f t="shared" si="1"/>
        <v>0</v>
      </c>
    </row>
    <row r="17" spans="2:19" ht="15" customHeight="1" outlineLevel="1">
      <c r="B17" s="734"/>
      <c r="C17" s="734"/>
      <c r="D17" s="201" t="s">
        <v>788</v>
      </c>
      <c r="E17" s="365">
        <v>0</v>
      </c>
      <c r="F17" s="365">
        <v>10.44</v>
      </c>
      <c r="H17" s="305"/>
      <c r="I17">
        <f>10.56</f>
        <v>10.56</v>
      </c>
      <c r="J17" s="305"/>
      <c r="L17" s="305"/>
      <c r="N17" s="305"/>
      <c r="O17" s="274">
        <f>SUM(E17:F17)-SUM(G17:N17)</f>
        <v>-0.12000000000000099</v>
      </c>
      <c r="P17" s="274" t="str">
        <f t="shared" si="0"/>
        <v>Matt Phone</v>
      </c>
      <c r="Q17" s="282">
        <f t="shared" si="1"/>
        <v>0.12000000000000099</v>
      </c>
    </row>
    <row r="18" spans="2:19" ht="15" customHeight="1" outlineLevel="1">
      <c r="B18" s="734"/>
      <c r="C18" s="734"/>
      <c r="D18" s="201" t="s">
        <v>985</v>
      </c>
      <c r="E18" s="365">
        <v>0</v>
      </c>
      <c r="F18" s="365">
        <f>28.87+50.08+75.88</f>
        <v>154.82999999999998</v>
      </c>
      <c r="H18" s="305"/>
      <c r="I18">
        <f>28.87+50.08+75.88</f>
        <v>154.82999999999998</v>
      </c>
      <c r="J18" s="305"/>
      <c r="L18" s="305"/>
      <c r="N18" s="305"/>
      <c r="O18" s="274">
        <f>SUM(E18:F18)-SUM(G18:N18)</f>
        <v>0</v>
      </c>
      <c r="P18" s="274" t="str">
        <f t="shared" si="0"/>
        <v>Car Tax / Insurance</v>
      </c>
      <c r="Q18" s="282">
        <f t="shared" si="1"/>
        <v>0</v>
      </c>
    </row>
    <row r="19" spans="2:19" ht="15" customHeight="1" outlineLevel="1">
      <c r="B19" s="734"/>
      <c r="C19" s="734"/>
      <c r="D19" s="201" t="s">
        <v>944</v>
      </c>
      <c r="E19" s="365">
        <v>0</v>
      </c>
      <c r="F19" s="365">
        <v>0</v>
      </c>
      <c r="H19" s="305"/>
      <c r="J19" s="305"/>
      <c r="L19" s="305"/>
      <c r="N19" s="305"/>
      <c r="O19" s="274">
        <f t="shared" si="2"/>
        <v>0</v>
      </c>
      <c r="P19" s="274" t="str">
        <f t="shared" si="0"/>
        <v>Windows</v>
      </c>
      <c r="Q19" s="282">
        <f t="shared" si="1"/>
        <v>0</v>
      </c>
    </row>
    <row r="20" spans="2:19" ht="15" customHeight="1" outlineLevel="1">
      <c r="B20" s="734"/>
      <c r="C20" s="734"/>
      <c r="D20" s="293" t="s">
        <v>920</v>
      </c>
      <c r="E20" s="365">
        <v>0</v>
      </c>
      <c r="F20" s="277">
        <f>179.07</f>
        <v>179.07</v>
      </c>
      <c r="H20" s="305"/>
      <c r="J20" s="305"/>
      <c r="L20" s="305"/>
      <c r="M20">
        <v>179.07</v>
      </c>
      <c r="N20" s="305"/>
      <c r="O20" s="274">
        <f t="shared" si="2"/>
        <v>0</v>
      </c>
      <c r="P20" s="274" t="str">
        <f t="shared" si="0"/>
        <v>Finance</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",G41*0.2," / Actual = ",D23," (",ROUND((D23/G41)*100,2),")")</f>
        <v>Savings - 20 - 882.486 / Actual = 149.99 (3.4)</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149.99</v>
      </c>
      <c r="E23" s="759"/>
      <c r="F23" s="319"/>
      <c r="H23" s="305"/>
      <c r="J23" s="305"/>
      <c r="L23" s="305"/>
      <c r="N23" s="305"/>
      <c r="O23" s="285">
        <f>SUMIF(O24:O28,"&gt;0")</f>
        <v>213.0200000000001</v>
      </c>
      <c r="P23" s="285" t="s">
        <v>895</v>
      </c>
      <c r="Q23" s="282">
        <f>SUM(Q25:Q25)</f>
        <v>0</v>
      </c>
    </row>
    <row r="24" spans="2:19" ht="15" customHeight="1" outlineLevel="1">
      <c r="B24" s="7" t="str">
        <f>"20% : " &amp; E$41*0.2</f>
        <v>20% : 3014.968</v>
      </c>
      <c r="C24" s="7" t="str">
        <f>"20% : " &amp; E$41*0.2</f>
        <v>20% : 3014.968</v>
      </c>
      <c r="D24" s="300" t="s">
        <v>590</v>
      </c>
      <c r="E24" s="365">
        <v>2.2000000000000002</v>
      </c>
      <c r="F24" s="365">
        <f>50+15+14.99</f>
        <v>79.989999999999995</v>
      </c>
      <c r="H24" s="305"/>
      <c r="J24" s="305"/>
      <c r="L24" s="315">
        <f>-28.99</f>
        <v>-28.99</v>
      </c>
      <c r="M24">
        <f>13.98+36.79</f>
        <v>50.769999999999996</v>
      </c>
      <c r="N24" s="305"/>
      <c r="O24" s="274">
        <f>SUM(E24:F24)-SUM(G24:N24)-Q41</f>
        <v>45.730000000000089</v>
      </c>
      <c r="P24" s="274" t="str">
        <f t="shared" ref="P24:P28" si="3">D24</f>
        <v>Contingency</v>
      </c>
      <c r="Q24" s="282">
        <f>SUM(Q25:Q29)</f>
        <v>0</v>
      </c>
    </row>
    <row r="25" spans="2:19" ht="15" customHeight="1" outlineLevel="1">
      <c r="B25" s="7"/>
      <c r="C25" s="7"/>
      <c r="D25" s="300" t="s">
        <v>998</v>
      </c>
      <c r="E25" s="365">
        <v>180</v>
      </c>
      <c r="F25" s="365">
        <f>50+20</f>
        <v>70</v>
      </c>
      <c r="G25" s="11">
        <f>82.71</f>
        <v>82.71</v>
      </c>
      <c r="H25" s="306"/>
      <c r="J25" s="305"/>
      <c r="L25" s="305"/>
      <c r="N25" s="305"/>
      <c r="O25" s="274">
        <f>SUM(E25:F25)-SUM(G25:N25)</f>
        <v>167.29000000000002</v>
      </c>
      <c r="P25" s="274" t="str">
        <f t="shared" si="3"/>
        <v>Cars (Service / MOT)</v>
      </c>
      <c r="Q25" s="282">
        <f t="shared" ref="Q25:Q28" si="4">IF(O25&lt;0,O25*-1,0)</f>
        <v>0</v>
      </c>
    </row>
    <row r="26" spans="2:19" ht="15" customHeight="1" outlineLevel="1">
      <c r="B26" s="7"/>
      <c r="C26" s="7"/>
      <c r="D26" s="300" t="s">
        <v>999</v>
      </c>
      <c r="E26" s="365">
        <v>0</v>
      </c>
      <c r="F26" s="365">
        <v>0</v>
      </c>
      <c r="G26" s="11"/>
      <c r="H26" s="306"/>
      <c r="J26" s="305"/>
      <c r="L26" s="305"/>
      <c r="N26" s="305"/>
      <c r="O26" s="274">
        <f t="shared" ref="O26:O28" si="5">SUM(E26:F26)-SUM(G26:N26)</f>
        <v>0</v>
      </c>
      <c r="P26" s="274" t="str">
        <f t="shared" si="3"/>
        <v>Mortgage Overpayment</v>
      </c>
      <c r="Q26" s="282">
        <f t="shared" si="4"/>
        <v>0</v>
      </c>
    </row>
    <row r="27" spans="2:19" ht="15" customHeight="1" outlineLevel="1">
      <c r="B27" s="7"/>
      <c r="C27" s="7"/>
      <c r="D27" s="300" t="s">
        <v>1000</v>
      </c>
      <c r="E27" s="365">
        <v>0</v>
      </c>
      <c r="F27" s="365">
        <v>0</v>
      </c>
      <c r="G27" s="11"/>
      <c r="H27" s="306"/>
      <c r="J27" s="305"/>
      <c r="L27" s="305"/>
      <c r="N27" s="305"/>
      <c r="O27" s="274">
        <f t="shared" si="5"/>
        <v>0</v>
      </c>
      <c r="P27" s="274" t="str">
        <f t="shared" si="3"/>
        <v>Finance Overpayment</v>
      </c>
      <c r="Q27" s="282">
        <f t="shared" si="4"/>
        <v>0</v>
      </c>
    </row>
    <row r="28" spans="2:19" ht="15" customHeight="1" outlineLevel="1">
      <c r="B28" s="7"/>
      <c r="C28" s="7"/>
      <c r="D28" s="300" t="s">
        <v>814</v>
      </c>
      <c r="E28" s="365">
        <v>1174.95</v>
      </c>
      <c r="F28" s="365">
        <v>0</v>
      </c>
      <c r="G28" s="11">
        <v>1174.95</v>
      </c>
      <c r="H28" s="306"/>
      <c r="J28" s="305"/>
      <c r="L28" s="305"/>
      <c r="N28" s="305"/>
      <c r="O28" s="274">
        <f t="shared" si="5"/>
        <v>0</v>
      </c>
      <c r="P28" s="274" t="str">
        <f t="shared" si="3"/>
        <v>CC</v>
      </c>
      <c r="Q28" s="282">
        <f t="shared" si="4"/>
        <v>0</v>
      </c>
    </row>
    <row r="29" spans="2:19" ht="15" customHeight="1">
      <c r="B29" s="118"/>
      <c r="C29" s="118"/>
      <c r="E29" s="365"/>
      <c r="F29" s="365"/>
      <c r="H29" s="305"/>
      <c r="J29" s="305"/>
      <c r="L29" s="305"/>
      <c r="N29" s="305"/>
      <c r="O29" s="273"/>
      <c r="P29" s="273"/>
      <c r="Q29" s="282"/>
    </row>
    <row r="30" spans="2:19" ht="15" customHeight="1">
      <c r="B30" s="727" t="str">
        <f>_xlfn.CONCAT("Wants - 30 - ",G41*0.3," / Actual = ",D31," (",ROUND((D31/G41)*100,2),")")</f>
        <v>Wants - 30 - 1323.729 / Actual = 2542.92 (57.63)</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(E$41-D5-D23-E40)</f>
        <v>2542.92</v>
      </c>
      <c r="E31" s="727"/>
      <c r="F31" s="319">
        <f>SUM(F32:F37)</f>
        <v>2505.7800000000002</v>
      </c>
      <c r="H31" s="305"/>
      <c r="J31" s="305"/>
      <c r="L31" s="305"/>
      <c r="N31" s="305"/>
      <c r="O31" s="285">
        <f>SUMIF(O32:O36,"&gt;0")</f>
        <v>11461.449999999999</v>
      </c>
      <c r="P31" s="285" t="s">
        <v>899</v>
      </c>
      <c r="Q31" s="350">
        <f>SUM(Q32:Q37)+Q39</f>
        <v>3.8499999999998806</v>
      </c>
    </row>
    <row r="32" spans="2:19" ht="15" customHeight="1" outlineLevel="1">
      <c r="B32" s="734"/>
      <c r="C32" s="760"/>
      <c r="D32" s="300" t="s">
        <v>1036</v>
      </c>
      <c r="E32" s="365">
        <f>700-60</f>
        <v>640</v>
      </c>
      <c r="F32" s="365">
        <v>0</v>
      </c>
      <c r="H32" s="305"/>
      <c r="J32" s="305"/>
      <c r="L32" s="305"/>
      <c r="N32" s="305">
        <f>9.32</f>
        <v>9.32</v>
      </c>
      <c r="O32" s="274">
        <f t="shared" ref="O32:O34" si="6">SUM(E32:F32)-SUM(G32:N32)</f>
        <v>630.67999999999995</v>
      </c>
      <c r="P32" s="274" t="str">
        <f>D32</f>
        <v>Eye Surgery</v>
      </c>
      <c r="Q32" s="282">
        <f t="shared" ref="Q32:Q35" si="7">IF(O32&lt;0,O32*-1,0)</f>
        <v>0</v>
      </c>
      <c r="R32" s="11"/>
      <c r="S32" s="11"/>
    </row>
    <row r="33" spans="2:19" ht="15" customHeight="1" outlineLevel="1">
      <c r="B33" s="734"/>
      <c r="C33" s="760"/>
      <c r="D33" s="300" t="s">
        <v>354</v>
      </c>
      <c r="E33" s="365">
        <v>0</v>
      </c>
      <c r="F33" s="365">
        <f>0</f>
        <v>0</v>
      </c>
      <c r="H33" s="305"/>
      <c r="J33" s="305"/>
      <c r="L33" s="305"/>
      <c r="N33" s="305"/>
      <c r="O33" s="274">
        <f t="shared" si="6"/>
        <v>0</v>
      </c>
      <c r="P33" s="274" t="str">
        <f t="shared" ref="P33:P39" si="8">D33</f>
        <v>Holiday</v>
      </c>
      <c r="Q33" s="282">
        <f t="shared" si="7"/>
        <v>0</v>
      </c>
      <c r="R33" s="11"/>
      <c r="S33" s="11"/>
    </row>
    <row r="34" spans="2:19" ht="15" customHeight="1" outlineLevel="1">
      <c r="B34" s="734"/>
      <c r="C34" s="760"/>
      <c r="D34" s="300" t="s">
        <v>170</v>
      </c>
      <c r="E34" s="365">
        <v>27.299999999999955</v>
      </c>
      <c r="F34" s="365">
        <f>250+50</f>
        <v>300</v>
      </c>
      <c r="H34" s="305"/>
      <c r="J34" s="305"/>
      <c r="L34" s="305"/>
      <c r="M34">
        <f>6.5+10</f>
        <v>16.5</v>
      </c>
      <c r="N34" s="305"/>
      <c r="O34" s="274">
        <f t="shared" si="6"/>
        <v>310.79999999999995</v>
      </c>
      <c r="P34" s="274" t="str">
        <f t="shared" si="8"/>
        <v>Gift Fund</v>
      </c>
      <c r="Q34" s="282">
        <f t="shared" si="7"/>
        <v>0</v>
      </c>
      <c r="R34" s="11"/>
      <c r="S34" s="11"/>
    </row>
    <row r="35" spans="2:19" ht="15" customHeight="1" outlineLevel="1">
      <c r="B35" s="734"/>
      <c r="C35" s="760"/>
      <c r="D35" s="300" t="s">
        <v>812</v>
      </c>
      <c r="E35" s="365">
        <f>8451.89+60</f>
        <v>8511.89</v>
      </c>
      <c r="F35" s="365">
        <f>915+329.97+50+698.11+15</f>
        <v>2008.08</v>
      </c>
      <c r="H35" s="305"/>
      <c r="J35" s="305"/>
      <c r="L35" s="305"/>
      <c r="N35" s="305"/>
      <c r="O35" s="274">
        <f>SUM(E35:F35)-SUM(G35:N35)-O38</f>
        <v>10519.97</v>
      </c>
      <c r="P35" s="274" t="str">
        <f t="shared" si="8"/>
        <v>Wedding</v>
      </c>
      <c r="Q35" s="282">
        <f t="shared" si="7"/>
        <v>0</v>
      </c>
      <c r="R35" s="11"/>
    </row>
    <row r="36" spans="2:19" ht="15.75" customHeight="1" outlineLevel="1">
      <c r="B36" s="734"/>
      <c r="C36" s="760"/>
      <c r="D36" s="13" t="s">
        <v>781</v>
      </c>
      <c r="E36" s="365">
        <v>0</v>
      </c>
      <c r="F36" s="365">
        <f>13+2+10+5.99+5.99+5.99+10.99</f>
        <v>53.960000000000008</v>
      </c>
      <c r="H36" s="305"/>
      <c r="I36">
        <f>13+10.99+5.99+2</f>
        <v>31.980000000000004</v>
      </c>
      <c r="J36" s="305"/>
      <c r="K36">
        <f>10</f>
        <v>10</v>
      </c>
      <c r="L36" s="305"/>
      <c r="M36">
        <f>5.99+5.99</f>
        <v>11.98</v>
      </c>
      <c r="N36" s="305"/>
      <c r="O36" s="274">
        <f t="shared" ref="O36:O39" si="9">SUM(E36:F36)-SUM(G36:N36)</f>
        <v>0</v>
      </c>
      <c r="P36" s="274" t="str">
        <f t="shared" si="8"/>
        <v>Subscriptions</v>
      </c>
      <c r="Q36" s="282">
        <f>IF(O36&lt;0,O36*-1,0)</f>
        <v>0</v>
      </c>
    </row>
    <row r="37" spans="2:19" ht="18" outlineLevel="1">
      <c r="B37" s="734"/>
      <c r="C37" s="760"/>
      <c r="D37" s="13" t="s">
        <v>922</v>
      </c>
      <c r="E37" s="365">
        <v>0</v>
      </c>
      <c r="F37" s="365">
        <f>(D31-SUM(F32:F36))-F39</f>
        <v>143.74000000000012</v>
      </c>
      <c r="G37">
        <f>47.47+4.75</f>
        <v>52.22</v>
      </c>
      <c r="H37" s="305">
        <f>17.15+7</f>
        <v>24.15</v>
      </c>
      <c r="I37">
        <f>7.99+20+1</f>
        <v>28.990000000000002</v>
      </c>
      <c r="J37" s="305"/>
      <c r="K37">
        <f>20</f>
        <v>20</v>
      </c>
      <c r="L37" s="305">
        <f>6.98</f>
        <v>6.98</v>
      </c>
      <c r="M37">
        <f>4+4.25+3.5</f>
        <v>11.75</v>
      </c>
      <c r="N37" s="305"/>
      <c r="O37" s="274">
        <f>SUM(E37:F37)-SUM(G37:N37)</f>
        <v>-0.34999999999988063</v>
      </c>
      <c r="P37" s="274" t="str">
        <f t="shared" si="8"/>
        <v>Matt Fun</v>
      </c>
      <c r="Q37" s="282">
        <f>IF(SUM(E37:F37)-SUM(G37:N37)&lt;=0,(SUM(E37:F37)-SUM(G37:N37))*-1,0)</f>
        <v>0.34999999999988063</v>
      </c>
    </row>
    <row r="38" spans="2:19" ht="18" outlineLevel="1">
      <c r="B38" s="7"/>
      <c r="C38" s="284"/>
      <c r="D38" s="13" t="s">
        <v>1025</v>
      </c>
      <c r="E38" s="365">
        <v>0</v>
      </c>
      <c r="F38" s="365">
        <v>0</v>
      </c>
      <c r="H38" s="305"/>
      <c r="J38" s="305"/>
      <c r="L38" s="305"/>
      <c r="N38" s="305"/>
      <c r="O38" s="274">
        <f>SUM(G38:N38)</f>
        <v>0</v>
      </c>
      <c r="P38" s="274" t="str">
        <f t="shared" si="8"/>
        <v>Work Expenses</v>
      </c>
      <c r="Q38" s="333"/>
      <c r="S38" s="11"/>
    </row>
    <row r="39" spans="2:19" ht="18" outlineLevel="1">
      <c r="B39" s="7"/>
      <c r="C39" s="284"/>
      <c r="D39" s="13" t="s">
        <v>152</v>
      </c>
      <c r="E39" s="365">
        <v>0</v>
      </c>
      <c r="F39" s="365">
        <f>20.14+17</f>
        <v>37.14</v>
      </c>
      <c r="H39" s="305"/>
      <c r="J39" s="305"/>
      <c r="L39" s="305">
        <f>20.14</f>
        <v>20.14</v>
      </c>
      <c r="N39" s="305">
        <f>20.5</f>
        <v>20.5</v>
      </c>
      <c r="O39" s="274">
        <f t="shared" si="9"/>
        <v>-3.5</v>
      </c>
      <c r="P39" s="274" t="str">
        <f t="shared" si="8"/>
        <v>Kris</v>
      </c>
      <c r="Q39" s="271">
        <f>IF(F39-SUM(G39:N39)&lt;=0,(F39-SUM(G39:N39))*-1,0)</f>
        <v>3.5</v>
      </c>
    </row>
    <row r="40" spans="2:19">
      <c r="B40" s="118"/>
      <c r="C40" s="118"/>
      <c r="E40" s="365">
        <f>SUM(E32:E39)+SUM(E24:E28)+SUM(E6:E20)</f>
        <v>10580.409999999998</v>
      </c>
      <c r="F40" s="365"/>
      <c r="H40" s="7"/>
      <c r="J40" s="7"/>
      <c r="L40" s="7"/>
      <c r="N40" s="7"/>
      <c r="O40" s="273"/>
      <c r="P40" s="273"/>
      <c r="Q40" s="282"/>
    </row>
    <row r="41" spans="2:19" ht="18">
      <c r="B41" s="728" t="s">
        <v>817</v>
      </c>
      <c r="C41" s="728"/>
      <c r="D41" s="728"/>
      <c r="E41" s="375">
        <f>G41+I41+K41+M41+N41+E40</f>
        <v>15074.839999999998</v>
      </c>
      <c r="F41" s="379"/>
      <c r="G41" s="271">
        <f>3178.42+1080+4+20+35+50+45+0.01</f>
        <v>4412.43</v>
      </c>
      <c r="H41" s="271"/>
      <c r="I41" s="271">
        <f>10+8</f>
        <v>18</v>
      </c>
      <c r="J41" s="271"/>
      <c r="K41" s="271">
        <f>12+20+15</f>
        <v>47</v>
      </c>
      <c r="L41" s="271"/>
      <c r="M41" s="271">
        <v>17</v>
      </c>
      <c r="N41" s="271"/>
      <c r="O41" s="314" t="str">
        <f>"£" &amp; ROUND(O5+O31+O23+IF(O37&lt;0,0,O37)+O39+O4,2) &amp; " / " &amp; "£" &amp; E41</f>
        <v>£12273.39 / £15074.84</v>
      </c>
      <c r="P41" s="274"/>
      <c r="Q41" s="282">
        <f>SUM(Q31,Q23,Q5)</f>
        <v>14.679999999999904</v>
      </c>
    </row>
    <row r="42" spans="2:19">
      <c r="B42" s="118"/>
      <c r="C42" s="7"/>
      <c r="E42" s="365"/>
      <c r="F42" s="365"/>
      <c r="G42" s="365"/>
      <c r="H42" s="365"/>
    </row>
    <row r="43" spans="2:19" ht="14.4">
      <c r="B43" s="729"/>
      <c r="C43" s="729"/>
      <c r="D43" s="729"/>
      <c r="E43" s="729"/>
      <c r="F43" s="729"/>
      <c r="G43" s="729"/>
      <c r="H43" s="297"/>
      <c r="K43" s="729"/>
      <c r="L43" s="729"/>
      <c r="M43" s="729"/>
      <c r="N43" s="729"/>
      <c r="O43" s="729"/>
      <c r="P43" s="297"/>
    </row>
    <row r="44" spans="2:19" ht="15" customHeight="1">
      <c r="B44" s="726" t="s">
        <v>955</v>
      </c>
      <c r="C44" s="726"/>
      <c r="D44" s="726"/>
      <c r="E44" s="726"/>
      <c r="F44" s="348"/>
      <c r="K44" s="212"/>
      <c r="L44" s="212"/>
      <c r="N44" s="118" t="s">
        <v>991</v>
      </c>
      <c r="O44" s="316">
        <v>44341</v>
      </c>
      <c r="P44" s="7">
        <f ca="1">DATEDIF(O44,NOW(),"d")</f>
        <v>1910</v>
      </c>
      <c r="Q44" t="s">
        <v>1050</v>
      </c>
    </row>
    <row r="45" spans="2:19">
      <c r="B45" s="365"/>
      <c r="C45" s="38"/>
      <c r="D45" t="s">
        <v>1039</v>
      </c>
      <c r="E45" s="11"/>
      <c r="F45" s="11"/>
      <c r="G45" s="243"/>
      <c r="H45" s="243"/>
      <c r="K45" s="214"/>
      <c r="L45" s="214"/>
      <c r="N45" s="322" t="s">
        <v>992</v>
      </c>
      <c r="O45" s="42">
        <v>44328</v>
      </c>
      <c r="P45" s="7">
        <f ca="1">DATEDIF(O45,NOW(),"d")</f>
        <v>1923</v>
      </c>
      <c r="Q45" t="s">
        <v>1051</v>
      </c>
    </row>
    <row r="46" spans="2:19" ht="14.4">
      <c r="D46" t="s">
        <v>1041</v>
      </c>
      <c r="E46" s="11">
        <v>20</v>
      </c>
      <c r="F46" s="11"/>
      <c r="G46" s="11"/>
      <c r="H46" s="11"/>
      <c r="L46" s="347"/>
      <c r="O46"/>
      <c r="P46"/>
    </row>
    <row r="47" spans="2:19" ht="16.2" customHeight="1">
      <c r="D47" t="s">
        <v>1042</v>
      </c>
      <c r="E47" s="214">
        <v>15</v>
      </c>
      <c r="F47" s="214"/>
      <c r="G47" s="11"/>
      <c r="J47" s="332"/>
      <c r="K47" s="332"/>
      <c r="L47" s="332"/>
      <c r="M47" s="332"/>
      <c r="N47" s="212"/>
      <c r="O47" s="212"/>
      <c r="P47" s="212"/>
    </row>
    <row r="48" spans="2:19">
      <c r="B48" s="378"/>
      <c r="D48" t="s">
        <v>1052</v>
      </c>
      <c r="E48">
        <v>29.97</v>
      </c>
      <c r="F48" s="214"/>
      <c r="G48" s="11"/>
      <c r="H48" s="11"/>
      <c r="J48" s="11"/>
      <c r="K48" s="56"/>
      <c r="L48" s="56"/>
      <c r="M48" s="365">
        <f>20.14+6.98+22</f>
        <v>49.120000000000005</v>
      </c>
      <c r="N48" s="56" t="s">
        <v>98</v>
      </c>
      <c r="O48" s="243"/>
      <c r="P48" s="56"/>
    </row>
    <row r="49" spans="2:17">
      <c r="E49"/>
      <c r="F49" s="38"/>
      <c r="G49" s="11"/>
      <c r="H49" s="11"/>
      <c r="J49" s="11"/>
      <c r="K49" s="56"/>
      <c r="M49" s="365"/>
      <c r="N49" s="56"/>
      <c r="O49" s="11"/>
      <c r="P49"/>
    </row>
    <row r="50" spans="2:17">
      <c r="E50"/>
      <c r="F50" s="38"/>
      <c r="G50" s="38"/>
      <c r="H50" s="38"/>
      <c r="J50" s="11"/>
      <c r="M50" s="365"/>
      <c r="N50" s="56"/>
      <c r="O50" s="284"/>
      <c r="P50" s="212"/>
      <c r="Q50" s="212"/>
    </row>
    <row r="51" spans="2:17">
      <c r="E51"/>
      <c r="F51" s="38"/>
      <c r="G51" s="11"/>
      <c r="H51" s="38"/>
      <c r="J51" s="11"/>
      <c r="M51" s="365"/>
      <c r="N51" s="56"/>
      <c r="O51" s="56"/>
      <c r="P51" s="56"/>
      <c r="Q51" s="38"/>
    </row>
    <row r="52" spans="2:17" ht="14.4">
      <c r="D52" t="s">
        <v>1053</v>
      </c>
      <c r="E52">
        <v>4.3</v>
      </c>
      <c r="F52" s="38"/>
      <c r="G52" s="11"/>
      <c r="H52" s="38"/>
      <c r="J52" s="11"/>
      <c r="N52" s="56"/>
    </row>
    <row r="53" spans="2:17">
      <c r="D53" t="s">
        <v>1054</v>
      </c>
      <c r="E53" s="365">
        <v>5.8</v>
      </c>
      <c r="F53" s="365"/>
      <c r="G53" s="11"/>
      <c r="H53" s="38"/>
      <c r="I53" s="11"/>
      <c r="J53" s="11"/>
      <c r="M53" s="365"/>
      <c r="N53" s="764"/>
    </row>
    <row r="54" spans="2:17">
      <c r="E54" s="365"/>
      <c r="F54" s="365"/>
      <c r="G54" s="11"/>
      <c r="H54" s="38"/>
      <c r="I54" s="11"/>
      <c r="J54" s="11"/>
      <c r="N54" s="765"/>
      <c r="O54" s="275"/>
      <c r="P54" s="275"/>
    </row>
    <row r="55" spans="2:17">
      <c r="B55" s="11"/>
      <c r="E55" s="365"/>
      <c r="F55" s="365"/>
      <c r="G55" s="11"/>
      <c r="H55" s="38"/>
      <c r="I55" s="11"/>
      <c r="J55" s="11"/>
      <c r="N55" s="765"/>
    </row>
    <row r="56" spans="2:17" ht="14.4">
      <c r="B56" s="11"/>
      <c r="E56"/>
      <c r="F56"/>
      <c r="G56" s="11"/>
      <c r="H56" s="38"/>
      <c r="I56" s="11"/>
      <c r="J56" s="11"/>
      <c r="L56" s="79"/>
      <c r="M56" s="726"/>
      <c r="N56" s="726"/>
      <c r="O56" s="726"/>
      <c r="P56" s="726"/>
    </row>
    <row r="57" spans="2:17">
      <c r="E57"/>
      <c r="F57"/>
      <c r="G57" s="11"/>
      <c r="H57" s="38"/>
      <c r="I57" s="11"/>
      <c r="N57" s="278"/>
      <c r="O57" s="212"/>
      <c r="P57" s="212"/>
    </row>
    <row r="58" spans="2:17">
      <c r="B58" s="212"/>
      <c r="C58" s="212"/>
      <c r="E58"/>
      <c r="F58"/>
      <c r="G58" s="11"/>
      <c r="H58" s="38"/>
      <c r="I58" s="11"/>
      <c r="J58" s="349"/>
      <c r="N58" s="376"/>
      <c r="O58" s="214"/>
      <c r="P58" s="214"/>
    </row>
    <row r="59" spans="2:17">
      <c r="C59" s="56"/>
      <c r="D59" s="243"/>
      <c r="E59"/>
      <c r="F59"/>
      <c r="G59" s="11"/>
      <c r="H59" s="38"/>
      <c r="I59" s="11"/>
      <c r="N59" s="365"/>
      <c r="O59"/>
      <c r="P59"/>
    </row>
    <row r="60" spans="2:17">
      <c r="C60" s="56"/>
      <c r="E60"/>
      <c r="F60"/>
      <c r="H60" s="38"/>
      <c r="I60" s="11"/>
      <c r="J60" s="349"/>
      <c r="N60" s="278"/>
      <c r="O60" s="212"/>
      <c r="P60" s="212"/>
    </row>
    <row r="61" spans="2:17">
      <c r="C61" s="56"/>
      <c r="D61" s="56"/>
      <c r="E61"/>
      <c r="F61"/>
      <c r="H61" s="38"/>
      <c r="I61" s="11"/>
      <c r="N61" s="365"/>
      <c r="O61" s="56"/>
      <c r="P61" s="56"/>
    </row>
    <row r="62" spans="2:17">
      <c r="C62" s="56"/>
      <c r="E62"/>
      <c r="F62"/>
      <c r="H62" s="38"/>
      <c r="I62" s="11"/>
      <c r="N62" s="365"/>
      <c r="O62"/>
      <c r="P62"/>
    </row>
    <row r="63" spans="2:17">
      <c r="C63" s="56"/>
      <c r="E63"/>
      <c r="F63"/>
      <c r="H63" s="38"/>
      <c r="I63" s="11"/>
      <c r="N63" s="278"/>
      <c r="O63" s="212"/>
      <c r="P63" s="212"/>
    </row>
    <row r="64" spans="2:17">
      <c r="C64" s="56"/>
      <c r="E64"/>
      <c r="F64"/>
      <c r="H64" s="38"/>
      <c r="I64" s="11"/>
      <c r="N64" s="365"/>
      <c r="O64" s="38"/>
      <c r="P64" s="56"/>
    </row>
    <row r="65" spans="2:15" ht="14.4">
      <c r="C65" s="56"/>
      <c r="E65"/>
      <c r="F65"/>
      <c r="H65" s="38"/>
      <c r="I65" s="11"/>
      <c r="O65"/>
    </row>
    <row r="66" spans="2:15" ht="14.4">
      <c r="C66" s="56"/>
      <c r="E66"/>
      <c r="F66"/>
      <c r="H66" s="38"/>
      <c r="I66" s="11"/>
    </row>
    <row r="67" spans="2:15" ht="14.4">
      <c r="C67" s="56"/>
      <c r="E67"/>
      <c r="F67"/>
    </row>
    <row r="68" spans="2:15" ht="14.4">
      <c r="C68" s="56"/>
      <c r="E68"/>
      <c r="F68"/>
    </row>
    <row r="69" spans="2:15" ht="14.4">
      <c r="C69" s="56"/>
      <c r="E69"/>
      <c r="F69"/>
    </row>
    <row r="70" spans="2:15">
      <c r="E70" s="365"/>
      <c r="F70" s="365"/>
    </row>
    <row r="71" spans="2:15" ht="14.4">
      <c r="B71" s="212"/>
      <c r="C71" s="294"/>
      <c r="D71" s="212"/>
      <c r="E71" s="212"/>
      <c r="F71" s="212"/>
      <c r="G71" s="212"/>
      <c r="H71" s="212"/>
    </row>
    <row r="72" spans="2:15" ht="14.4">
      <c r="C72" s="56"/>
      <c r="D72" s="56"/>
      <c r="E72" s="56"/>
      <c r="F72" s="56"/>
      <c r="G72" s="56"/>
      <c r="H72" s="56"/>
    </row>
    <row r="73" spans="2:15" ht="14.4">
      <c r="C73" s="56"/>
      <c r="D73" s="56"/>
      <c r="E73" s="56"/>
      <c r="F73" s="56"/>
      <c r="G73" s="56"/>
      <c r="H73" s="56"/>
    </row>
    <row r="74" spans="2:15" ht="14.4">
      <c r="C74" s="56"/>
      <c r="D74" s="56"/>
      <c r="E74" s="56"/>
      <c r="F74" s="56"/>
      <c r="G74" s="56"/>
      <c r="H74" s="56"/>
    </row>
    <row r="75" spans="2:15" ht="14.4">
      <c r="C75" s="56"/>
      <c r="D75" s="56"/>
      <c r="E75" s="56"/>
      <c r="F75" s="56"/>
      <c r="G75" s="56"/>
      <c r="H75" s="56"/>
    </row>
    <row r="76" spans="2:15" ht="14.4">
      <c r="C76" s="56"/>
      <c r="D76" s="56"/>
      <c r="E76" s="56"/>
      <c r="F76" s="56"/>
      <c r="G76" s="56"/>
      <c r="H76" s="56"/>
    </row>
    <row r="77" spans="2:15" ht="14.4">
      <c r="C77" s="56"/>
      <c r="E77" s="56"/>
      <c r="F77" s="56"/>
    </row>
    <row r="79" spans="2:15" ht="14.4">
      <c r="E79" s="212"/>
      <c r="F79" s="212"/>
      <c r="G79" s="212"/>
      <c r="H79" s="212"/>
    </row>
    <row r="80" spans="2:15" ht="14.4">
      <c r="E80" s="56"/>
      <c r="F80" s="56"/>
      <c r="G80" s="56"/>
      <c r="H80" s="56"/>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row>
    <row r="87" spans="5:8" ht="14.4">
      <c r="E87" s="212"/>
      <c r="F87" s="212"/>
      <c r="G87" s="212"/>
      <c r="H87" s="212"/>
    </row>
    <row r="88" spans="5:8" ht="14.4">
      <c r="E88" s="56"/>
      <c r="F88" s="56"/>
      <c r="G88" s="56"/>
      <c r="H88" s="56"/>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row>
    <row r="94" spans="5:8">
      <c r="E94" s="365"/>
      <c r="F94" s="365"/>
    </row>
  </sheetData>
  <mergeCells count="25">
    <mergeCell ref="M56:P56"/>
    <mergeCell ref="B30:E30"/>
    <mergeCell ref="B31:C31"/>
    <mergeCell ref="D31:E31"/>
    <mergeCell ref="B32:B37"/>
    <mergeCell ref="C32:C37"/>
    <mergeCell ref="B41:D41"/>
    <mergeCell ref="B43:G43"/>
    <mergeCell ref="K43:O43"/>
    <mergeCell ref="B44:C44"/>
    <mergeCell ref="D44:E44"/>
    <mergeCell ref="N53:N55"/>
    <mergeCell ref="B23:C23"/>
    <mergeCell ref="D23:E23"/>
    <mergeCell ref="B1:O1"/>
    <mergeCell ref="G3:H3"/>
    <mergeCell ref="I3:J3"/>
    <mergeCell ref="K3:L3"/>
    <mergeCell ref="M3:N3"/>
    <mergeCell ref="B4:E4"/>
    <mergeCell ref="B5:C5"/>
    <mergeCell ref="D5:E5"/>
    <mergeCell ref="B6:B20"/>
    <mergeCell ref="C6:C20"/>
    <mergeCell ref="B22:E22"/>
  </mergeCells>
  <pageMargins left="0.7" right="0.7" top="0.75" bottom="0.75" header="0.3" footer="0.3"/>
  <pageSetup orientation="portrait" r:id="rId1"/>
  <legacy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2253-0D88-4311-92F3-DC4FEBFDB680}">
  <dimension ref="A1:U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17.44140625" bestFit="1" customWidth="1"/>
    <col min="21" max="21" width="16.109375" customWidth="1"/>
  </cols>
  <sheetData>
    <row r="1" spans="1:21" ht="25.5" customHeight="1">
      <c r="A1" t="str">
        <f ca="1">UPPER(TEXT((1&amp;LEFT(B$1,3))-1,"MMM"))&amp;"-"&amp;UPPER(TEXT((1&amp;RIGHT(LEFT(B$1,7),3))-1,"MMM"))&amp;" "&amp;RIGHT(B$1,4)</f>
        <v>APR-MAY 2021</v>
      </c>
      <c r="B1" s="730" t="str">
        <f ca="1">MID(CELL("filename",B1),FIND("]",CELL("filename",B1))+1,255)</f>
        <v>MAY-JUN 2021</v>
      </c>
      <c r="C1" s="731"/>
      <c r="D1" s="731"/>
      <c r="E1" s="731"/>
      <c r="F1" s="731"/>
      <c r="G1" s="731"/>
      <c r="H1" s="731"/>
      <c r="I1" s="731"/>
      <c r="J1" s="731"/>
      <c r="K1" s="731"/>
      <c r="L1" s="731"/>
      <c r="M1" s="731"/>
      <c r="N1" s="731"/>
      <c r="O1" s="731"/>
      <c r="P1" s="298">
        <f>118.92-O4</f>
        <v>118.92</v>
      </c>
      <c r="Q1" s="281"/>
      <c r="R1" s="272"/>
      <c r="S1" s="272"/>
      <c r="T1" s="272"/>
    </row>
    <row r="2" spans="1:21">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44341</v>
      </c>
      <c r="H3" s="732"/>
      <c r="I3" s="732">
        <f>G3+7</f>
        <v>44348</v>
      </c>
      <c r="J3" s="732"/>
      <c r="K3" s="732">
        <f>I3+7</f>
        <v>44355</v>
      </c>
      <c r="L3" s="732"/>
      <c r="M3" s="732">
        <f>K3+7</f>
        <v>44362</v>
      </c>
      <c r="N3" s="732"/>
      <c r="O3" s="325" t="str">
        <f>0 &amp; " / " &amp; ROUND(0-O4,2)</f>
        <v>0 / 0</v>
      </c>
      <c r="P3" s="325" t="s">
        <v>994</v>
      </c>
      <c r="Q3" s="282"/>
    </row>
    <row r="4" spans="1:21" ht="15" customHeight="1">
      <c r="B4" s="727" t="str">
        <f>_xlfn.CONCAT("Expenses - 50 - ",G42*0.5," / Actual = ",D5," (",ROUND((D5/G42)*100,2),")")</f>
        <v>Expenses - 50 - 2006.255 / Actual = 1755.55 (43.75)</v>
      </c>
      <c r="C4" s="727"/>
      <c r="D4" s="727"/>
      <c r="E4" s="727"/>
      <c r="F4" s="318"/>
      <c r="H4" s="243">
        <f>SUM(H5:H40)</f>
        <v>116.35000000000001</v>
      </c>
      <c r="J4" s="243">
        <f>SUM(J5:J40)</f>
        <v>243.09</v>
      </c>
      <c r="L4" s="243">
        <f>SUM(L5:L40)</f>
        <v>316.75</v>
      </c>
      <c r="N4" s="243">
        <f>SUM(N5:N40)</f>
        <v>114.9</v>
      </c>
      <c r="O4" s="308">
        <f>IF(H41&lt;&gt;"PAID",H4,0)+IF(J41&lt;&gt;"PAID",J4,0)+IF(L41&lt;&gt;"PAID",L4,0)+IF(N41&lt;&gt;"PAID",N4,0)</f>
        <v>0</v>
      </c>
      <c r="P4" s="309" t="s">
        <v>973</v>
      </c>
      <c r="Q4" s="282"/>
      <c r="R4" s="243"/>
      <c r="S4" s="243"/>
    </row>
    <row r="5" spans="1:21" ht="15" customHeight="1">
      <c r="B5" s="733" t="str">
        <f>IF(D5&gt;E$42*0.5,ROUND(D5-E$42*0.5,2) &amp; " Over",ROUND(E$42*0.5-D5,2) &amp; " Under")</f>
        <v>6438.14 Under</v>
      </c>
      <c r="C5" s="733"/>
      <c r="D5" s="761">
        <f>SUM(F6:F21)</f>
        <v>1755.5499999999997</v>
      </c>
      <c r="E5" s="761"/>
      <c r="F5" s="321"/>
      <c r="G5" s="284"/>
      <c r="H5" s="306"/>
      <c r="I5" s="79"/>
      <c r="J5" s="306"/>
      <c r="K5" s="79"/>
      <c r="L5" s="306"/>
      <c r="M5" s="79"/>
      <c r="N5" s="305"/>
      <c r="O5" s="285">
        <f>SUMIF(O6:O21,"&gt;0")</f>
        <v>27</v>
      </c>
      <c r="P5" s="285" t="s">
        <v>892</v>
      </c>
      <c r="Q5" s="282">
        <f>SUM(Q6:Q21)</f>
        <v>7.0800000000000125</v>
      </c>
    </row>
    <row r="6" spans="1:21" ht="15" customHeight="1">
      <c r="B6" s="734" t="str">
        <f>"50%: " &amp; E$42*0.5</f>
        <v>50%: 8193.685</v>
      </c>
      <c r="C6" s="734" t="str">
        <f>ROUND((D5/E$42)*100,2) &amp; "%: " &amp;D5</f>
        <v>10.71%: 1755.55</v>
      </c>
      <c r="D6" s="13" t="s">
        <v>805</v>
      </c>
      <c r="E6" s="365">
        <v>0</v>
      </c>
      <c r="F6" s="374">
        <f>100-19.92</f>
        <v>80.08</v>
      </c>
      <c r="H6" s="305">
        <f>20.05</f>
        <v>20.05</v>
      </c>
      <c r="J6" s="305">
        <f>20</f>
        <v>20</v>
      </c>
      <c r="K6">
        <f>20.02</f>
        <v>20.02</v>
      </c>
      <c r="L6" s="305">
        <f>20.01</f>
        <v>20.010000000000002</v>
      </c>
      <c r="N6" s="305"/>
      <c r="O6" s="274">
        <f>SUM(E6:F6)-SUM(G6:N6)</f>
        <v>0</v>
      </c>
      <c r="P6" s="274" t="str">
        <f t="shared" ref="P6:P21" si="0">D6</f>
        <v>Car Petrol / commuting</v>
      </c>
      <c r="Q6" s="282">
        <f t="shared" ref="Q6:Q21" si="1">IF(O6&lt;0,O6*-1,0)</f>
        <v>0</v>
      </c>
    </row>
    <row r="7" spans="1:21" ht="15" customHeight="1">
      <c r="B7" s="734"/>
      <c r="C7" s="734"/>
      <c r="D7" s="13" t="s">
        <v>169</v>
      </c>
      <c r="E7" s="365">
        <v>0</v>
      </c>
      <c r="F7" s="365">
        <f>335+19.92+7-0.45</f>
        <v>361.47</v>
      </c>
      <c r="G7">
        <f>16.88+35.34</f>
        <v>52.22</v>
      </c>
      <c r="H7" s="305">
        <f>8.92+48.5</f>
        <v>57.42</v>
      </c>
      <c r="J7" s="305">
        <f>42.23+32.65</f>
        <v>74.88</v>
      </c>
      <c r="L7" s="305">
        <f>36.33+33.43</f>
        <v>69.759999999999991</v>
      </c>
      <c r="M7">
        <v>27.33</v>
      </c>
      <c r="N7" s="305">
        <f>63.37+11.49+5</f>
        <v>79.86</v>
      </c>
      <c r="O7" s="274">
        <f>SUM(E7:F7)-SUM(G7:N7)</f>
        <v>0</v>
      </c>
      <c r="P7" s="274" t="str">
        <f t="shared" si="0"/>
        <v>Food</v>
      </c>
      <c r="Q7" s="282">
        <f t="shared" si="1"/>
        <v>0</v>
      </c>
      <c r="S7">
        <f>804.07-791.09</f>
        <v>12.980000000000018</v>
      </c>
    </row>
    <row r="8" spans="1:21" ht="15" customHeight="1">
      <c r="B8" s="734"/>
      <c r="C8" s="734"/>
      <c r="D8" s="13" t="s">
        <v>1055</v>
      </c>
      <c r="E8" s="365">
        <v>0</v>
      </c>
      <c r="F8" s="365">
        <f>40+100</f>
        <v>140</v>
      </c>
      <c r="G8">
        <f>35+3+3.5+20.44</f>
        <v>61.94</v>
      </c>
      <c r="H8" s="305">
        <f>10.44+21.02</f>
        <v>31.46</v>
      </c>
      <c r="J8" s="305"/>
      <c r="K8">
        <f>53.68</f>
        <v>53.68</v>
      </c>
      <c r="L8" s="305"/>
      <c r="N8" s="305"/>
      <c r="O8" s="274">
        <f>SUM(E8:F8)-SUM(G8:N8)</f>
        <v>-7.0800000000000125</v>
      </c>
      <c r="P8" s="274" t="str">
        <f t="shared" si="0"/>
        <v>Pet Food + Treats</v>
      </c>
      <c r="Q8" s="282">
        <f t="shared" si="1"/>
        <v>7.0800000000000125</v>
      </c>
    </row>
    <row r="9" spans="1:21" ht="15" customHeight="1" outlineLevel="1">
      <c r="B9" s="734"/>
      <c r="C9" s="734"/>
      <c r="D9" s="201" t="s">
        <v>595</v>
      </c>
      <c r="E9" s="365">
        <v>0</v>
      </c>
      <c r="F9" s="365">
        <f>452.64</f>
        <v>452.64</v>
      </c>
      <c r="H9" s="305"/>
      <c r="J9" s="305"/>
      <c r="K9">
        <v>452.64</v>
      </c>
      <c r="L9" s="305"/>
      <c r="N9" s="305"/>
      <c r="O9" s="274">
        <f t="shared" ref="O9:O21" si="2">SUM(E9:F9)-SUM(G9:N9)</f>
        <v>0</v>
      </c>
      <c r="P9" s="274" t="str">
        <f t="shared" si="0"/>
        <v>Mortgage</v>
      </c>
      <c r="Q9" s="282">
        <f t="shared" si="1"/>
        <v>0</v>
      </c>
    </row>
    <row r="10" spans="1:21" ht="15" customHeight="1" outlineLevel="1">
      <c r="B10" s="734"/>
      <c r="C10" s="734"/>
      <c r="D10" s="201" t="s">
        <v>596</v>
      </c>
      <c r="E10" s="365">
        <v>0</v>
      </c>
      <c r="F10" s="365">
        <v>135</v>
      </c>
      <c r="H10" s="305"/>
      <c r="J10" s="305"/>
      <c r="K10">
        <v>135</v>
      </c>
      <c r="L10" s="305"/>
      <c r="N10" s="305"/>
      <c r="O10" s="274">
        <f t="shared" si="2"/>
        <v>0</v>
      </c>
      <c r="P10" s="274" t="str">
        <f t="shared" si="0"/>
        <v>Council tax</v>
      </c>
      <c r="Q10" s="282">
        <f t="shared" si="1"/>
        <v>0</v>
      </c>
    </row>
    <row r="11" spans="1:21" ht="15" customHeight="1" outlineLevel="1">
      <c r="B11" s="734"/>
      <c r="C11" s="734"/>
      <c r="D11" s="201" t="s">
        <v>1002</v>
      </c>
      <c r="E11" s="365">
        <v>0</v>
      </c>
      <c r="F11" s="365">
        <f>23+55+1</f>
        <v>79</v>
      </c>
      <c r="H11" s="305"/>
      <c r="I11">
        <f>1+55</f>
        <v>56</v>
      </c>
      <c r="J11" s="305"/>
      <c r="L11" s="305"/>
      <c r="M11">
        <v>23</v>
      </c>
      <c r="N11" s="305"/>
      <c r="O11" s="274">
        <f t="shared" si="2"/>
        <v>0</v>
      </c>
      <c r="P11" s="274" t="str">
        <f t="shared" si="0"/>
        <v>Utilities (G,W,E,HTB)</v>
      </c>
      <c r="Q11" s="282">
        <f t="shared" si="1"/>
        <v>0</v>
      </c>
    </row>
    <row r="12" spans="1:21" ht="15" customHeight="1" outlineLevel="1">
      <c r="B12" s="734"/>
      <c r="C12" s="734"/>
      <c r="D12" s="201" t="s">
        <v>996</v>
      </c>
      <c r="E12" s="365">
        <v>13.07</v>
      </c>
      <c r="F12" s="365">
        <f>13.07</f>
        <v>13.07</v>
      </c>
      <c r="G12">
        <v>13.07</v>
      </c>
      <c r="H12" s="305"/>
      <c r="J12" s="305"/>
      <c r="L12" s="305"/>
      <c r="M12">
        <v>13.07</v>
      </c>
      <c r="N12" s="305"/>
      <c r="O12" s="274">
        <f t="shared" si="2"/>
        <v>0</v>
      </c>
      <c r="P12" s="274" t="str">
        <f t="shared" si="0"/>
        <v>Home Insurance</v>
      </c>
      <c r="Q12" s="282">
        <f t="shared" si="1"/>
        <v>0</v>
      </c>
    </row>
    <row r="13" spans="1:21" ht="15" customHeight="1" outlineLevel="1">
      <c r="B13" s="734"/>
      <c r="C13" s="734"/>
      <c r="D13" s="201" t="s">
        <v>359</v>
      </c>
      <c r="E13" s="365">
        <v>0</v>
      </c>
      <c r="F13" s="365">
        <f>11</f>
        <v>11</v>
      </c>
      <c r="H13" s="305"/>
      <c r="J13" s="305"/>
      <c r="L13" s="305"/>
      <c r="N13" s="305"/>
      <c r="O13" s="274">
        <f t="shared" si="2"/>
        <v>11</v>
      </c>
      <c r="P13" s="274" t="str">
        <f t="shared" si="0"/>
        <v>TV License</v>
      </c>
      <c r="Q13" s="282">
        <f t="shared" si="1"/>
        <v>0</v>
      </c>
    </row>
    <row r="14" spans="1:21" ht="15" customHeight="1" outlineLevel="1">
      <c r="B14" s="734"/>
      <c r="C14" s="734"/>
      <c r="D14" s="201" t="s">
        <v>1056</v>
      </c>
      <c r="E14" s="365">
        <v>0</v>
      </c>
      <c r="F14" s="365">
        <f>8+36.79+16</f>
        <v>60.79</v>
      </c>
      <c r="H14" s="305"/>
      <c r="J14" s="305"/>
      <c r="K14">
        <f>8+36.79</f>
        <v>44.79</v>
      </c>
      <c r="L14" s="305"/>
      <c r="N14" s="305"/>
      <c r="O14" s="274">
        <f t="shared" si="2"/>
        <v>16</v>
      </c>
      <c r="P14" s="274" t="str">
        <f t="shared" si="0"/>
        <v>Pet Health / Insurance</v>
      </c>
      <c r="Q14" s="282">
        <f t="shared" si="1"/>
        <v>0</v>
      </c>
    </row>
    <row r="15" spans="1:21" ht="15" customHeight="1" outlineLevel="1">
      <c r="B15" s="734"/>
      <c r="C15" s="734"/>
      <c r="D15" s="201" t="s">
        <v>1057</v>
      </c>
      <c r="E15" s="365">
        <v>0</v>
      </c>
      <c r="F15" s="365">
        <f>4.52+15.97+8.56</f>
        <v>29.050000000000004</v>
      </c>
      <c r="H15" s="305"/>
      <c r="I15" s="11">
        <f>29.05</f>
        <v>29.05</v>
      </c>
      <c r="J15" s="305"/>
      <c r="L15" s="305"/>
      <c r="N15" s="305"/>
      <c r="O15" s="274">
        <f t="shared" si="2"/>
        <v>0</v>
      </c>
      <c r="P15" s="274" t="str">
        <f t="shared" si="0"/>
        <v>Life / Income Insurance</v>
      </c>
      <c r="Q15" s="282">
        <f t="shared" si="1"/>
        <v>0</v>
      </c>
    </row>
    <row r="16" spans="1:21" ht="15" customHeight="1" outlineLevel="1">
      <c r="B16" s="734"/>
      <c r="C16" s="734"/>
      <c r="D16" s="201" t="s">
        <v>602</v>
      </c>
      <c r="E16" s="365">
        <v>26</v>
      </c>
      <c r="F16" s="365">
        <v>26</v>
      </c>
      <c r="G16">
        <v>26</v>
      </c>
      <c r="H16" s="305"/>
      <c r="J16" s="305"/>
      <c r="L16" s="305"/>
      <c r="M16">
        <v>26</v>
      </c>
      <c r="N16" s="305"/>
      <c r="O16" s="274">
        <f>SUM(E16:F16)-SUM(G16:N16)</f>
        <v>0</v>
      </c>
      <c r="P16" s="274" t="str">
        <f t="shared" si="0"/>
        <v>Broadband / TV</v>
      </c>
      <c r="Q16" s="282">
        <f t="shared" si="1"/>
        <v>0</v>
      </c>
    </row>
    <row r="17" spans="2:17" ht="15" customHeight="1" outlineLevel="1">
      <c r="B17" s="734"/>
      <c r="C17" s="734"/>
      <c r="D17" s="201" t="s">
        <v>582</v>
      </c>
      <c r="E17" s="365">
        <v>0</v>
      </c>
      <c r="F17" s="365">
        <v>7.99</v>
      </c>
      <c r="H17" s="305"/>
      <c r="I17">
        <f>7.99</f>
        <v>7.99</v>
      </c>
      <c r="J17" s="305"/>
      <c r="L17" s="305"/>
      <c r="N17" s="305"/>
      <c r="O17" s="274">
        <f>SUM(E17:F17)-SUM(G17:N17)</f>
        <v>0</v>
      </c>
      <c r="P17" s="274" t="str">
        <f t="shared" si="0"/>
        <v>Onedrive (6th)</v>
      </c>
      <c r="Q17" s="282">
        <f t="shared" si="1"/>
        <v>0</v>
      </c>
    </row>
    <row r="18" spans="2:17" ht="15" customHeight="1" outlineLevel="1">
      <c r="B18" s="734"/>
      <c r="C18" s="734"/>
      <c r="D18" s="201" t="s">
        <v>788</v>
      </c>
      <c r="E18" s="365">
        <v>0</v>
      </c>
      <c r="F18" s="365">
        <v>10.56</v>
      </c>
      <c r="H18" s="305"/>
      <c r="I18">
        <v>10.56</v>
      </c>
      <c r="J18" s="305"/>
      <c r="L18" s="305"/>
      <c r="N18" s="305"/>
      <c r="O18" s="274">
        <f>SUM(E18:F18)-SUM(G18:N18)</f>
        <v>0</v>
      </c>
      <c r="P18" s="274" t="str">
        <f t="shared" si="0"/>
        <v>Matt Phone</v>
      </c>
      <c r="Q18" s="282">
        <f t="shared" si="1"/>
        <v>0</v>
      </c>
    </row>
    <row r="19" spans="2:17" ht="15" customHeight="1" outlineLevel="1">
      <c r="B19" s="734"/>
      <c r="C19" s="734"/>
      <c r="D19" s="201" t="s">
        <v>985</v>
      </c>
      <c r="E19" s="365">
        <v>0</v>
      </c>
      <c r="F19" s="365">
        <f>28.87+50.08+75.88</f>
        <v>154.82999999999998</v>
      </c>
      <c r="H19" s="305"/>
      <c r="I19">
        <f>28.87+50.08+75.88</f>
        <v>154.82999999999998</v>
      </c>
      <c r="J19" s="305"/>
      <c r="L19" s="305"/>
      <c r="N19" s="305"/>
      <c r="O19" s="274">
        <f>SUM(E19:F19)-SUM(G19:N19)</f>
        <v>0</v>
      </c>
      <c r="P19" s="274" t="str">
        <f t="shared" si="0"/>
        <v>Car Tax / Insurance</v>
      </c>
      <c r="Q19" s="282">
        <f t="shared" si="1"/>
        <v>0</v>
      </c>
    </row>
    <row r="20" spans="2:17" ht="15" customHeight="1" outlineLevel="1">
      <c r="B20" s="734"/>
      <c r="C20" s="734"/>
      <c r="D20" s="201" t="s">
        <v>944</v>
      </c>
      <c r="E20" s="365">
        <v>0</v>
      </c>
      <c r="F20" s="365">
        <v>15</v>
      </c>
      <c r="H20" s="305"/>
      <c r="I20">
        <v>15</v>
      </c>
      <c r="J20" s="305"/>
      <c r="L20" s="305"/>
      <c r="N20" s="305"/>
      <c r="O20" s="274">
        <f t="shared" si="2"/>
        <v>0</v>
      </c>
      <c r="P20" s="274" t="str">
        <f t="shared" si="0"/>
        <v>Windows</v>
      </c>
      <c r="Q20" s="282">
        <f t="shared" si="1"/>
        <v>0</v>
      </c>
    </row>
    <row r="21" spans="2:17" ht="15" customHeight="1" outlineLevel="1">
      <c r="B21" s="734"/>
      <c r="C21" s="734"/>
      <c r="D21" s="293" t="s">
        <v>920</v>
      </c>
      <c r="E21" s="365">
        <v>0</v>
      </c>
      <c r="F21" s="277">
        <f>179.07</f>
        <v>179.07</v>
      </c>
      <c r="H21" s="305"/>
      <c r="J21" s="305"/>
      <c r="K21">
        <v>179.07</v>
      </c>
      <c r="L21" s="305"/>
      <c r="N21" s="305"/>
      <c r="O21" s="274">
        <f t="shared" si="2"/>
        <v>0</v>
      </c>
      <c r="P21" s="274" t="str">
        <f t="shared" si="0"/>
        <v>Finance</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",G42*0.2," / Actual = ",D24," (",ROUND((D24/G42)*100,2),")")</f>
        <v>Savings - 20 - 802.502 / Actual = 134.99 (3.36)</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134.99</v>
      </c>
      <c r="E24" s="759"/>
      <c r="F24" s="319"/>
      <c r="H24" s="305"/>
      <c r="J24" s="305"/>
      <c r="L24" s="305"/>
      <c r="N24" s="305"/>
      <c r="O24" s="285">
        <f>SUMIF(O25:O29,"&gt;0")</f>
        <v>251.03000000000048</v>
      </c>
      <c r="P24" s="285" t="s">
        <v>895</v>
      </c>
      <c r="Q24" s="282">
        <f>SUM(Q26:Q26)</f>
        <v>0</v>
      </c>
    </row>
    <row r="25" spans="2:17" ht="15" customHeight="1" outlineLevel="1">
      <c r="B25" s="7" t="str">
        <f>"20% : " &amp; E$42*0.2</f>
        <v>20% : 3277.474</v>
      </c>
      <c r="C25" s="7" t="str">
        <f>"20% : " &amp; E$42*0.2</f>
        <v>20% : 3277.474</v>
      </c>
      <c r="D25" s="300" t="s">
        <v>590</v>
      </c>
      <c r="E25" s="365">
        <v>45.73</v>
      </c>
      <c r="F25" s="365">
        <f>50+14.99</f>
        <v>64.989999999999995</v>
      </c>
      <c r="G25">
        <v>88.22</v>
      </c>
      <c r="H25" s="305"/>
      <c r="J25" s="305"/>
      <c r="L25" s="315"/>
      <c r="N25" s="305"/>
      <c r="O25" s="274">
        <f>SUM(E25:F25)-SUM(G25:N25)-Q42</f>
        <v>13.740000000000492</v>
      </c>
      <c r="P25" s="274" t="str">
        <f t="shared" ref="P25:P29" si="3">D25</f>
        <v>Contingency</v>
      </c>
      <c r="Q25" s="282">
        <f>SUM(Q26:Q30)</f>
        <v>0</v>
      </c>
    </row>
    <row r="26" spans="2:17" ht="15" customHeight="1" outlineLevel="1">
      <c r="B26" s="7"/>
      <c r="C26" s="7"/>
      <c r="D26" s="300" t="s">
        <v>998</v>
      </c>
      <c r="E26" s="365">
        <v>167.29</v>
      </c>
      <c r="F26" s="365">
        <f>50+20</f>
        <v>70</v>
      </c>
      <c r="G26" s="11"/>
      <c r="H26" s="306"/>
      <c r="J26" s="305"/>
      <c r="L26" s="305"/>
      <c r="N26" s="305"/>
      <c r="O26" s="274">
        <f>SUM(E26:F26)-SUM(G26:N26)</f>
        <v>237.29</v>
      </c>
      <c r="P26" s="274" t="str">
        <f t="shared" si="3"/>
        <v>Cars (Service / MOT)</v>
      </c>
      <c r="Q26" s="282">
        <f t="shared" ref="Q26:Q29" si="4">IF(O26&lt;0,O26*-1,0)</f>
        <v>0</v>
      </c>
    </row>
    <row r="27" spans="2:17" ht="15" customHeight="1" outlineLevel="1">
      <c r="B27" s="7"/>
      <c r="C27" s="7"/>
      <c r="D27" s="300" t="s">
        <v>999</v>
      </c>
      <c r="E27" s="365">
        <v>0</v>
      </c>
      <c r="F27" s="365">
        <v>0</v>
      </c>
      <c r="G27" s="11"/>
      <c r="H27" s="306"/>
      <c r="J27" s="305"/>
      <c r="L27" s="305"/>
      <c r="N27" s="305"/>
      <c r="O27" s="274">
        <f t="shared" ref="O27:O29" si="5">SUM(E27:F27)-SUM(G27:N27)</f>
        <v>0</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v>563.35</v>
      </c>
      <c r="F29" s="365">
        <v>0</v>
      </c>
      <c r="G29" s="11">
        <v>563.35</v>
      </c>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",G42*0.3," / Actual = ",D32," (",ROUND((D32/G42)*100,2),")")</f>
        <v>Wants - 30 - 1203.753 / Actual = 2219.94 (55.33)</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(E$42-D5-D24-E41)</f>
        <v>2219.9400000000005</v>
      </c>
      <c r="E32" s="727"/>
      <c r="F32" s="319">
        <f>SUM(F33:F38)</f>
        <v>2219.9400000000005</v>
      </c>
      <c r="H32" s="305"/>
      <c r="J32" s="305"/>
      <c r="L32" s="305"/>
      <c r="N32" s="305"/>
      <c r="O32" s="285">
        <f>SUMIF(O33:O37,"&gt;0")</f>
        <v>12922.09</v>
      </c>
      <c r="P32" s="285" t="s">
        <v>899</v>
      </c>
      <c r="Q32" s="282">
        <f>SUM(Q33:Q38)</f>
        <v>1.6799999999994952</v>
      </c>
    </row>
    <row r="33" spans="2:19" ht="15" customHeight="1" outlineLevel="1">
      <c r="B33" s="734"/>
      <c r="C33" s="760"/>
      <c r="D33" s="300" t="s">
        <v>1036</v>
      </c>
      <c r="E33" s="365">
        <v>630.67999999999995</v>
      </c>
      <c r="F33" s="365">
        <f>150-37.68</f>
        <v>112.32</v>
      </c>
      <c r="H33" s="305"/>
      <c r="J33" s="305">
        <v>79</v>
      </c>
      <c r="L33" s="305">
        <f>214</f>
        <v>214</v>
      </c>
      <c r="M33">
        <f>20.01+2.85+2.85+11.95+20.02+6</f>
        <v>63.680000000000007</v>
      </c>
      <c r="N33" s="305"/>
      <c r="O33" s="274">
        <f t="shared" ref="O33:O35" si="6">SUM(E33:F33)-SUM(G33:N33)</f>
        <v>386.32</v>
      </c>
      <c r="P33" s="274" t="str">
        <f>D33</f>
        <v>Eye Surgery</v>
      </c>
      <c r="Q33" s="282">
        <f t="shared" ref="Q33:Q36" si="7">IF(O33&lt;0,O33*-1,0)</f>
        <v>0</v>
      </c>
      <c r="R33" s="11"/>
      <c r="S33" s="11"/>
    </row>
    <row r="34" spans="2:19" ht="15" customHeight="1" outlineLevel="1">
      <c r="B34" s="734"/>
      <c r="C34" s="760"/>
      <c r="D34" s="300" t="s">
        <v>354</v>
      </c>
      <c r="E34" s="365">
        <v>0</v>
      </c>
      <c r="F34" s="365">
        <f>0</f>
        <v>0</v>
      </c>
      <c r="H34" s="305"/>
      <c r="J34" s="305"/>
      <c r="L34" s="305"/>
      <c r="N34" s="305"/>
      <c r="O34" s="274">
        <f t="shared" si="6"/>
        <v>0</v>
      </c>
      <c r="P34" s="274" t="str">
        <f t="shared" ref="P34:P40" si="8">D34</f>
        <v>Holiday</v>
      </c>
      <c r="Q34" s="282">
        <f t="shared" si="7"/>
        <v>0</v>
      </c>
      <c r="R34" s="11"/>
      <c r="S34" s="11"/>
    </row>
    <row r="35" spans="2:19" ht="15" customHeight="1" outlineLevel="1">
      <c r="B35" s="734"/>
      <c r="C35" s="760"/>
      <c r="D35" s="300" t="s">
        <v>170</v>
      </c>
      <c r="E35" s="365">
        <v>310.79999999999995</v>
      </c>
      <c r="F35" s="365">
        <f>250+22</f>
        <v>272</v>
      </c>
      <c r="H35" s="305"/>
      <c r="J35" s="305">
        <v>30</v>
      </c>
      <c r="K35">
        <f>37+15</f>
        <v>52</v>
      </c>
      <c r="L35" s="305"/>
      <c r="N35" s="305"/>
      <c r="O35" s="274">
        <f t="shared" si="6"/>
        <v>500.79999999999995</v>
      </c>
      <c r="P35" s="274" t="str">
        <f t="shared" si="8"/>
        <v>Gift Fund</v>
      </c>
      <c r="Q35" s="282">
        <f t="shared" si="7"/>
        <v>0</v>
      </c>
      <c r="R35" s="11"/>
      <c r="S35" s="11"/>
    </row>
    <row r="36" spans="2:19" ht="15" customHeight="1" outlineLevel="1">
      <c r="B36" s="734"/>
      <c r="C36" s="760"/>
      <c r="D36" s="300" t="s">
        <v>812</v>
      </c>
      <c r="E36" s="365">
        <v>10519.97</v>
      </c>
      <c r="F36" s="365">
        <f>915+300+50+70+90+30+40+20</f>
        <v>1515</v>
      </c>
      <c r="H36" s="305"/>
      <c r="J36" s="305"/>
      <c r="L36" s="305"/>
      <c r="N36" s="305"/>
      <c r="O36" s="274">
        <f>SUM(E36:F36)-SUM(G36:N36)-O39</f>
        <v>12034.97</v>
      </c>
      <c r="P36" s="274" t="str">
        <f t="shared" si="8"/>
        <v>Wedding</v>
      </c>
      <c r="Q36" s="282">
        <f t="shared" si="7"/>
        <v>0</v>
      </c>
      <c r="R36" s="11"/>
      <c r="S36" s="349"/>
    </row>
    <row r="37" spans="2:19" ht="15.75" customHeight="1" outlineLevel="1">
      <c r="B37" s="734"/>
      <c r="C37" s="760"/>
      <c r="D37" s="13" t="s">
        <v>781</v>
      </c>
      <c r="E37" s="365">
        <v>0</v>
      </c>
      <c r="F37" s="365">
        <f>13+2+10+5.99+5.99+5.99+10.99</f>
        <v>53.960000000000008</v>
      </c>
      <c r="G37">
        <f>13</f>
        <v>13</v>
      </c>
      <c r="H37" s="305"/>
      <c r="I37">
        <f>2+10.99+5.99</f>
        <v>18.98</v>
      </c>
      <c r="J37" s="305"/>
      <c r="K37">
        <f>10+5.99</f>
        <v>15.99</v>
      </c>
      <c r="L37" s="305"/>
      <c r="M37">
        <v>5.99</v>
      </c>
      <c r="N37" s="305"/>
      <c r="O37" s="274">
        <f t="shared" ref="O37:O40" si="9">SUM(E37:F37)-SUM(G37:N37)</f>
        <v>0</v>
      </c>
      <c r="P37" s="274" t="str">
        <f t="shared" si="8"/>
        <v>Subscriptions</v>
      </c>
      <c r="Q37" s="282">
        <f>IF(O37&lt;0,O37*-1,0)</f>
        <v>0</v>
      </c>
    </row>
    <row r="38" spans="2:19" ht="18" outlineLevel="1">
      <c r="B38" s="734"/>
      <c r="C38" s="760"/>
      <c r="D38" s="13" t="s">
        <v>922</v>
      </c>
      <c r="E38" s="365">
        <v>0</v>
      </c>
      <c r="F38" s="365">
        <f>(D32-SUM(F33:F37))-F40</f>
        <v>266.66000000000054</v>
      </c>
      <c r="G38">
        <f>9.6+22.8+1+6.1</f>
        <v>39.5</v>
      </c>
      <c r="H38" s="305">
        <f>7.42</f>
        <v>7.42</v>
      </c>
      <c r="I38">
        <f>7.99+7.34+38.56</f>
        <v>53.89</v>
      </c>
      <c r="J38" s="305">
        <f>6+15.06+5.85+12.3</f>
        <v>39.210000000000008</v>
      </c>
      <c r="K38">
        <f>13.86+6+40.4+9.99</f>
        <v>70.25</v>
      </c>
      <c r="L38" s="305">
        <f>12.98</f>
        <v>12.98</v>
      </c>
      <c r="M38">
        <f>3.75+6.3</f>
        <v>10.050000000000001</v>
      </c>
      <c r="N38" s="305">
        <f>4.04+16+15</f>
        <v>35.04</v>
      </c>
      <c r="O38" s="274">
        <f>SUM(E38:F38)-SUM(G38:N38)</f>
        <v>-1.6799999999994952</v>
      </c>
      <c r="P38" s="274" t="str">
        <f t="shared" si="8"/>
        <v>Matt Fun</v>
      </c>
      <c r="Q38" s="282">
        <f>IF(SUM(E38:F38)-SUM(G38:N38)&lt;=0,(SUM(E38:F38)-SUM(G38:N38))*-1,0)</f>
        <v>1.6799999999994952</v>
      </c>
    </row>
    <row r="39" spans="2:19" ht="18" outlineLevel="1">
      <c r="B39" s="7"/>
      <c r="C39" s="284"/>
      <c r="D39" s="13" t="s">
        <v>1025</v>
      </c>
      <c r="E39" s="365">
        <v>0</v>
      </c>
      <c r="F39" s="365">
        <v>0</v>
      </c>
      <c r="H39" s="305"/>
      <c r="J39" s="305"/>
      <c r="L39" s="305"/>
      <c r="N39" s="305"/>
      <c r="O39" s="274">
        <f>SUM(G39:N39)</f>
        <v>0</v>
      </c>
      <c r="P39" s="274" t="str">
        <f t="shared" si="8"/>
        <v>Work Expenses</v>
      </c>
      <c r="Q39" s="333"/>
      <c r="S39" s="11"/>
    </row>
    <row r="40" spans="2:19" ht="18" outlineLevel="1">
      <c r="B40" s="7"/>
      <c r="C40" s="284"/>
      <c r="D40" s="13" t="s">
        <v>152</v>
      </c>
      <c r="E40" s="365">
        <v>0</v>
      </c>
      <c r="F40" s="365">
        <v>0</v>
      </c>
      <c r="H40" s="305"/>
      <c r="J40" s="305"/>
      <c r="L40" s="305"/>
      <c r="N40" s="305"/>
      <c r="O40" s="274">
        <f t="shared" si="9"/>
        <v>0</v>
      </c>
      <c r="P40" s="274" t="str">
        <f t="shared" si="8"/>
        <v>Kris</v>
      </c>
      <c r="Q40" s="271">
        <f>IF(F40-SUM(G40:N40)&lt;=0,(F40-SUM(G40:N40))*-1,0)</f>
        <v>0</v>
      </c>
    </row>
    <row r="41" spans="2:19">
      <c r="B41" s="118"/>
      <c r="C41" s="118"/>
      <c r="E41" s="365">
        <f>SUM(E33:E40)+SUM(E25:E29)+SUM(E6:E21)</f>
        <v>12276.89</v>
      </c>
      <c r="F41" s="365"/>
      <c r="H41" s="7" t="s">
        <v>986</v>
      </c>
      <c r="J41" s="7" t="s">
        <v>986</v>
      </c>
      <c r="L41" s="7" t="s">
        <v>986</v>
      </c>
      <c r="N41" s="7" t="s">
        <v>986</v>
      </c>
      <c r="O41" s="273"/>
      <c r="P41" s="273"/>
      <c r="Q41" s="282"/>
    </row>
    <row r="42" spans="2:19" ht="18">
      <c r="B42" s="728" t="s">
        <v>817</v>
      </c>
      <c r="C42" s="728"/>
      <c r="D42" s="728"/>
      <c r="E42" s="375">
        <f>G42+I42+K42+M42+N42+E41</f>
        <v>16387.37</v>
      </c>
      <c r="F42" s="379"/>
      <c r="G42" s="271">
        <f>2682.51+1130+90+70+40</f>
        <v>4012.51</v>
      </c>
      <c r="H42" s="271"/>
      <c r="I42" s="271">
        <f>30</f>
        <v>30</v>
      </c>
      <c r="J42" s="271"/>
      <c r="K42" s="271">
        <f>13.98+22+4.99+10</f>
        <v>50.970000000000006</v>
      </c>
      <c r="L42" s="271"/>
      <c r="M42" s="271">
        <f>7+10</f>
        <v>17</v>
      </c>
      <c r="N42" s="271"/>
      <c r="O42" s="314" t="str">
        <f>"£" &amp; ROUND(O5+O32+O24+IF(O38&lt;0,0,O38)+O40+O4,2) &amp; " / " &amp; "£" &amp; E42</f>
        <v>£13200.12 / £16387.37</v>
      </c>
      <c r="P42" s="274"/>
      <c r="Q42" s="282">
        <f>SUM(Q32,Q24,Q5)</f>
        <v>8.7599999999995077</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991</v>
      </c>
      <c r="O45" s="316">
        <v>44364</v>
      </c>
      <c r="P45" s="7">
        <f ca="1">DATEDIF(O45,NOW(),"d")</f>
        <v>1887</v>
      </c>
      <c r="Q45" t="s">
        <v>1058</v>
      </c>
    </row>
    <row r="46" spans="2:19">
      <c r="B46" s="365"/>
      <c r="C46" s="38"/>
      <c r="E46" s="11"/>
      <c r="F46" s="11"/>
      <c r="G46" s="243"/>
      <c r="H46" s="243"/>
      <c r="K46" s="214"/>
      <c r="L46" s="214"/>
      <c r="N46" s="322" t="s">
        <v>992</v>
      </c>
      <c r="O46" s="42">
        <v>44353</v>
      </c>
      <c r="P46" s="7">
        <f ca="1">DATEDIF(O46,NOW(),"d")</f>
        <v>1898</v>
      </c>
      <c r="Q46" t="s">
        <v>1059</v>
      </c>
    </row>
    <row r="47" spans="2:19" ht="14.4">
      <c r="E47" s="11"/>
      <c r="F47" s="11"/>
      <c r="G47" s="11"/>
      <c r="H47" s="11"/>
      <c r="L47" s="347"/>
      <c r="O47"/>
      <c r="P47"/>
    </row>
    <row r="48" spans="2:19" ht="16.2" customHeight="1">
      <c r="E48" s="214"/>
      <c r="F48" s="214"/>
      <c r="G48" s="11"/>
      <c r="J48" s="332"/>
      <c r="K48" s="332"/>
      <c r="L48" s="332"/>
      <c r="M48" s="332"/>
      <c r="N48" s="212"/>
      <c r="O48" s="212"/>
      <c r="P48" s="212"/>
    </row>
    <row r="49" spans="2:17">
      <c r="B49" s="378"/>
      <c r="E49"/>
      <c r="F49" s="214"/>
      <c r="G49" s="11"/>
      <c r="H49" s="11"/>
      <c r="J49" s="11"/>
      <c r="K49" s="56"/>
      <c r="L49" s="56"/>
      <c r="M49" s="365"/>
      <c r="N49" s="56" t="s">
        <v>98</v>
      </c>
      <c r="O49" s="243">
        <f>15164.66-15115.8</f>
        <v>48.860000000000582</v>
      </c>
      <c r="P49" s="56"/>
    </row>
    <row r="50" spans="2:17">
      <c r="E50"/>
      <c r="F50" s="38"/>
      <c r="G50" s="11"/>
      <c r="H50" s="11"/>
      <c r="J50" s="11"/>
      <c r="K50" s="56"/>
      <c r="L50" s="243">
        <f>116.35-O4</f>
        <v>116.35</v>
      </c>
      <c r="M50" s="365"/>
      <c r="N50" s="56"/>
      <c r="O50" s="11"/>
      <c r="P50"/>
    </row>
    <row r="51" spans="2:17">
      <c r="E51"/>
      <c r="F51" s="38"/>
      <c r="G51" s="38"/>
      <c r="H51" s="38"/>
      <c r="J51" s="11"/>
      <c r="M51" s="365"/>
      <c r="N51" s="56"/>
      <c r="O51" s="284"/>
      <c r="P51" s="212"/>
      <c r="Q51" s="212"/>
    </row>
    <row r="52" spans="2:17">
      <c r="E52"/>
      <c r="F52" s="38"/>
      <c r="G52" s="11"/>
      <c r="H52" s="38"/>
      <c r="J52" s="11"/>
      <c r="M52" s="365"/>
      <c r="N52" s="56"/>
      <c r="O52" s="56"/>
      <c r="P52" s="56"/>
      <c r="Q52" s="38"/>
    </row>
    <row r="53" spans="2:17" ht="14.4">
      <c r="E53"/>
      <c r="F53" s="38"/>
      <c r="G53" s="11">
        <v>90</v>
      </c>
      <c r="H53" s="38" t="s">
        <v>1060</v>
      </c>
      <c r="J53" s="11"/>
      <c r="N53" s="56"/>
    </row>
    <row r="54" spans="2:17">
      <c r="E54" s="365"/>
      <c r="F54" s="365"/>
      <c r="G54" s="11">
        <v>40</v>
      </c>
      <c r="H54" s="38" t="s">
        <v>1061</v>
      </c>
      <c r="I54" s="11"/>
      <c r="J54" s="11"/>
      <c r="M54" s="365"/>
      <c r="N54" s="764"/>
    </row>
    <row r="55" spans="2:17">
      <c r="E55" s="365"/>
      <c r="F55" s="365"/>
      <c r="G55" s="11">
        <v>30</v>
      </c>
      <c r="H55" s="38" t="s">
        <v>1062</v>
      </c>
      <c r="I55" s="11"/>
      <c r="J55" s="11"/>
      <c r="N55" s="765"/>
      <c r="O55" s="275"/>
      <c r="P55" s="275"/>
    </row>
    <row r="56" spans="2:17">
      <c r="B56" s="11"/>
      <c r="E56" s="365"/>
      <c r="F56" s="365"/>
      <c r="G56" s="11"/>
      <c r="H56" s="38"/>
      <c r="I56" s="11"/>
      <c r="J56" s="11"/>
      <c r="N56" s="765"/>
    </row>
    <row r="57" spans="2:17" ht="14.4">
      <c r="B57" s="11"/>
      <c r="E57"/>
      <c r="F57"/>
      <c r="G57" s="11"/>
      <c r="H57" s="38"/>
      <c r="I57" s="11"/>
      <c r="J57" s="11"/>
      <c r="L57" s="79"/>
      <c r="M57" s="726"/>
      <c r="N57" s="726"/>
      <c r="O57" s="726"/>
      <c r="P57" s="726"/>
    </row>
    <row r="58" spans="2:17">
      <c r="E58"/>
      <c r="F58"/>
      <c r="G58" s="11"/>
      <c r="H58" s="38"/>
      <c r="I58" s="11"/>
      <c r="N58" s="278"/>
      <c r="O58" s="212"/>
      <c r="P58" s="212"/>
    </row>
    <row r="59" spans="2:17">
      <c r="B59" s="212"/>
      <c r="C59" s="212"/>
      <c r="E59"/>
      <c r="F59"/>
      <c r="G59" s="11"/>
      <c r="H59" s="38"/>
      <c r="I59" s="11"/>
      <c r="J59" s="349"/>
      <c r="N59" s="376"/>
      <c r="O59" s="214"/>
      <c r="P59" s="214"/>
    </row>
    <row r="60" spans="2:17">
      <c r="C60" s="56"/>
      <c r="D60" s="243"/>
      <c r="E60"/>
      <c r="F60"/>
      <c r="G60" s="11"/>
      <c r="H60" s="38"/>
      <c r="I60" s="11"/>
      <c r="N60" s="365"/>
      <c r="O60"/>
      <c r="P60"/>
    </row>
    <row r="61" spans="2:17">
      <c r="C61" s="56"/>
      <c r="E61"/>
      <c r="F61"/>
      <c r="H61" s="38"/>
      <c r="I61" s="11"/>
      <c r="J61" s="349"/>
      <c r="N61" s="278"/>
      <c r="O61" s="212"/>
      <c r="P61" s="212"/>
    </row>
    <row r="62" spans="2:17">
      <c r="C62" s="56"/>
      <c r="D62" s="56"/>
      <c r="E62"/>
      <c r="F62"/>
      <c r="H62" s="38"/>
      <c r="I62" s="11"/>
      <c r="N62" s="365"/>
      <c r="O62" s="56"/>
      <c r="P62" s="56"/>
    </row>
    <row r="63" spans="2:17">
      <c r="C63" s="56"/>
      <c r="E63"/>
      <c r="F63"/>
      <c r="H63" s="38"/>
      <c r="I63" s="11"/>
      <c r="N63" s="365"/>
      <c r="O63"/>
      <c r="P63"/>
    </row>
    <row r="64" spans="2:17">
      <c r="C64" s="56"/>
      <c r="E64"/>
      <c r="F64"/>
      <c r="H64" s="38"/>
      <c r="I64" s="11"/>
      <c r="N64" s="278"/>
      <c r="O64" s="212"/>
      <c r="P64" s="212"/>
    </row>
    <row r="65" spans="2:16">
      <c r="C65" s="56"/>
      <c r="E65"/>
      <c r="F65"/>
      <c r="H65" s="38"/>
      <c r="I65" s="11"/>
      <c r="N65" s="365"/>
      <c r="O65" s="38"/>
      <c r="P65" s="56"/>
    </row>
    <row r="66" spans="2:16" ht="14.4">
      <c r="C66" s="56"/>
      <c r="E66"/>
      <c r="F66"/>
      <c r="H66" s="38"/>
      <c r="I66" s="11"/>
      <c r="O66"/>
    </row>
    <row r="67" spans="2:16" ht="14.4">
      <c r="C67" s="56"/>
      <c r="E67"/>
      <c r="F67"/>
      <c r="H67" s="38"/>
      <c r="I67" s="11"/>
    </row>
    <row r="68" spans="2:16" ht="14.4">
      <c r="C68" s="56"/>
      <c r="E68"/>
      <c r="F68"/>
    </row>
    <row r="69" spans="2:16" ht="14.4">
      <c r="C69" s="56"/>
      <c r="E69"/>
      <c r="F69"/>
    </row>
    <row r="70" spans="2:16" ht="14.4">
      <c r="C70" s="56"/>
      <c r="E70"/>
      <c r="F70"/>
    </row>
    <row r="71" spans="2:16">
      <c r="E71" s="365"/>
      <c r="F71" s="365"/>
    </row>
    <row r="72" spans="2:16" ht="14.4">
      <c r="B72" s="212"/>
      <c r="C72" s="294"/>
      <c r="D72" s="212"/>
      <c r="E72" s="212"/>
      <c r="F72" s="212"/>
      <c r="G72" s="212"/>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5">
    <mergeCell ref="M57:P57"/>
    <mergeCell ref="B31:E31"/>
    <mergeCell ref="B32:C32"/>
    <mergeCell ref="D32:E32"/>
    <mergeCell ref="B33:B38"/>
    <mergeCell ref="C33:C38"/>
    <mergeCell ref="B42:D42"/>
    <mergeCell ref="B44:G44"/>
    <mergeCell ref="K44:O44"/>
    <mergeCell ref="B45:C45"/>
    <mergeCell ref="D45:E45"/>
    <mergeCell ref="N54:N56"/>
    <mergeCell ref="B24:C24"/>
    <mergeCell ref="D24:E24"/>
    <mergeCell ref="B1:O1"/>
    <mergeCell ref="G3:H3"/>
    <mergeCell ref="I3:J3"/>
    <mergeCell ref="K3:L3"/>
    <mergeCell ref="M3:N3"/>
    <mergeCell ref="B4:E4"/>
    <mergeCell ref="B5:C5"/>
    <mergeCell ref="D5:E5"/>
    <mergeCell ref="B6:B21"/>
    <mergeCell ref="C6:C21"/>
    <mergeCell ref="B23:E23"/>
  </mergeCells>
  <pageMargins left="0.7" right="0.7" top="0.75" bottom="0.75" header="0.3" footer="0.3"/>
  <pageSetup orientation="portrait" r:id="rId1"/>
  <legacyDrawing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0BE2-81ED-403E-89D5-930C0256C5B9}">
  <dimension ref="A1:T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17.44140625" bestFit="1" customWidth="1"/>
    <col min="21" max="21" width="16.109375" customWidth="1"/>
  </cols>
  <sheetData>
    <row r="1" spans="1:20" ht="25.5" customHeight="1">
      <c r="A1" t="str">
        <f ca="1">UPPER(TEXT((1&amp;LEFT(B$1,3))-1,"MMM"))&amp;"-"&amp;UPPER(TEXT((1&amp;RIGHT(LEFT(B$1,7),3))-1,"MMM"))&amp;" "&amp;RIGHT(B$1,4)</f>
        <v>MAY-JUN 2021</v>
      </c>
      <c r="B1" s="730" t="str">
        <f ca="1">MID(CELL("filename",B1),FIND("]",CELL("filename",B1))+1,255)</f>
        <v>JUN-JUL 2021</v>
      </c>
      <c r="C1" s="731"/>
      <c r="D1" s="731"/>
      <c r="E1" s="731"/>
      <c r="F1" s="731"/>
      <c r="G1" s="731"/>
      <c r="H1" s="731"/>
      <c r="I1" s="731"/>
      <c r="J1" s="731"/>
      <c r="K1" s="731"/>
      <c r="L1" s="731"/>
      <c r="M1" s="731"/>
      <c r="N1" s="731"/>
      <c r="O1" s="731"/>
      <c r="P1" s="298">
        <f>118.92-O4</f>
        <v>-964.16</v>
      </c>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E3" s="365"/>
      <c r="F3" s="365"/>
      <c r="G3" s="732">
        <v>44372</v>
      </c>
      <c r="H3" s="732"/>
      <c r="I3" s="732">
        <f>G3+7</f>
        <v>44379</v>
      </c>
      <c r="J3" s="732"/>
      <c r="K3" s="732">
        <f>I3+7</f>
        <v>44386</v>
      </c>
      <c r="L3" s="732"/>
      <c r="M3" s="732">
        <f>K3+7</f>
        <v>44393</v>
      </c>
      <c r="N3" s="732"/>
      <c r="O3" s="325" t="str">
        <f>0 &amp; " / " &amp; ROUND(0-O4,2)</f>
        <v>0 / -1083.08</v>
      </c>
      <c r="P3" s="325" t="s">
        <v>994</v>
      </c>
      <c r="Q3" s="282"/>
    </row>
    <row r="4" spans="1:20" ht="15" customHeight="1">
      <c r="B4" s="727" t="str">
        <f>_xlfn.CONCAT("Expenses - 50 - ",G42*0.5," / Actual = ",D5," (",ROUND((D5/G42)*100,2),")")</f>
        <v>Expenses - 50 - 2068.34 / Actual = 1687.04 (40.78)</v>
      </c>
      <c r="C4" s="727"/>
      <c r="D4" s="727"/>
      <c r="E4" s="727"/>
      <c r="F4" s="318"/>
      <c r="H4" s="243">
        <f>SUM(H5:H40)</f>
        <v>773.06</v>
      </c>
      <c r="J4" s="243">
        <f>SUM(J5:J40)</f>
        <v>77.009999999999991</v>
      </c>
      <c r="L4" s="243">
        <f>SUM(L5:L40)</f>
        <v>233.01</v>
      </c>
      <c r="N4" s="243">
        <f>SUM(N5:N40)</f>
        <v>0</v>
      </c>
      <c r="O4" s="308">
        <f>IF(H41&lt;&gt;"PAID",H4,0)+IF(J41&lt;&gt;"PAID",J4,0)+IF(L41&lt;&gt;"PAID",L4,0)+IF(N41&lt;&gt;"PAID",N4,0)</f>
        <v>1083.08</v>
      </c>
      <c r="P4" s="309" t="s">
        <v>973</v>
      </c>
      <c r="Q4" s="282"/>
      <c r="R4" s="243"/>
      <c r="S4" s="243"/>
    </row>
    <row r="5" spans="1:20" ht="15" customHeight="1">
      <c r="B5" s="733" t="str">
        <f>IF(D5&gt;E$42*0.5,ROUND(D5-E$42*0.5,2) &amp; " Over",ROUND(E$42*0.5-D5,2) &amp; " Under")</f>
        <v>7051.36 Under</v>
      </c>
      <c r="C5" s="733"/>
      <c r="D5" s="761">
        <f>SUM(F6:F21)</f>
        <v>1687.0399999999997</v>
      </c>
      <c r="E5" s="761"/>
      <c r="F5" s="321"/>
      <c r="G5" s="284"/>
      <c r="H5" s="306"/>
      <c r="I5" s="79"/>
      <c r="J5" s="306"/>
      <c r="K5" s="79"/>
      <c r="L5" s="306"/>
      <c r="M5" s="79"/>
      <c r="N5" s="305"/>
      <c r="O5" s="285">
        <f>SUMIF(O6:O21,"&gt;0")</f>
        <v>61.970000000000006</v>
      </c>
      <c r="P5" s="285" t="s">
        <v>892</v>
      </c>
      <c r="Q5" s="282">
        <f>SUM(Q6:Q21)</f>
        <v>3.2999999999999829</v>
      </c>
    </row>
    <row r="6" spans="1:20" ht="15" customHeight="1">
      <c r="B6" s="734" t="str">
        <f>"50%: " &amp; E$42*0.5</f>
        <v>50%: 8738.4</v>
      </c>
      <c r="C6" s="734" t="str">
        <f>ROUND((D5/E$42)*100,2) &amp; "%: " &amp;D5</f>
        <v>9.65%: 1687.04</v>
      </c>
      <c r="D6" s="13" t="s">
        <v>805</v>
      </c>
      <c r="E6" s="365">
        <v>0</v>
      </c>
      <c r="F6" s="374">
        <f>120-20.02-20.01+25+25</f>
        <v>129.97</v>
      </c>
      <c r="H6" s="305">
        <f>20</f>
        <v>20</v>
      </c>
      <c r="J6" s="305">
        <f>20+20</f>
        <v>40</v>
      </c>
      <c r="L6" s="305">
        <f>20+26.49+26.78</f>
        <v>73.27</v>
      </c>
      <c r="N6" s="305"/>
      <c r="O6" s="274">
        <f>SUM(E6:F6)-SUM(G6:N6)</f>
        <v>-3.2999999999999829</v>
      </c>
      <c r="P6" s="274" t="str">
        <f t="shared" ref="P6:P21" si="0">D6</f>
        <v>Car Petrol / commuting</v>
      </c>
      <c r="Q6" s="282">
        <f t="shared" ref="Q6:Q21" si="1">IF(O6&lt;0,O6*-1,0)</f>
        <v>3.2999999999999829</v>
      </c>
      <c r="R6" s="243"/>
    </row>
    <row r="7" spans="1:20" ht="15" customHeight="1">
      <c r="B7" s="734"/>
      <c r="C7" s="734"/>
      <c r="D7" s="13" t="s">
        <v>169</v>
      </c>
      <c r="E7" s="365">
        <v>0</v>
      </c>
      <c r="F7" s="365">
        <f>300+15-25-41.53</f>
        <v>248.47</v>
      </c>
      <c r="G7">
        <f>18.41+72.6</f>
        <v>91.009999999999991</v>
      </c>
      <c r="H7" s="305">
        <f>3.98</f>
        <v>3.98</v>
      </c>
      <c r="J7" s="305">
        <f>26.13+56.57+6.5</f>
        <v>89.2</v>
      </c>
      <c r="L7" s="305">
        <f>11.35+4.5+-7.99+3.06+27.85+19.73+5.78</f>
        <v>64.28</v>
      </c>
      <c r="N7" s="305"/>
      <c r="O7" s="274">
        <f>SUM(E7:F7)-SUM(G7:N7)</f>
        <v>0</v>
      </c>
      <c r="P7" s="274" t="str">
        <f t="shared" si="0"/>
        <v>Food</v>
      </c>
      <c r="Q7" s="282">
        <f t="shared" si="1"/>
        <v>0</v>
      </c>
    </row>
    <row r="8" spans="1:20" ht="15" customHeight="1">
      <c r="B8" s="734"/>
      <c r="C8" s="734"/>
      <c r="D8" s="13" t="s">
        <v>1055</v>
      </c>
      <c r="E8" s="365">
        <v>0</v>
      </c>
      <c r="F8" s="365">
        <f>40+100-6</f>
        <v>134</v>
      </c>
      <c r="G8">
        <f>28.99+41.2</f>
        <v>70.19</v>
      </c>
      <c r="H8" s="305">
        <f>10.44+14.99+25.73</f>
        <v>51.16</v>
      </c>
      <c r="J8" s="305"/>
      <c r="L8" s="305"/>
      <c r="M8">
        <f>8.75+3</f>
        <v>11.75</v>
      </c>
      <c r="N8" s="305"/>
      <c r="O8" s="274">
        <f>SUM(E8:F8)-SUM(G8:N8)</f>
        <v>0.90000000000000568</v>
      </c>
      <c r="P8" s="274" t="str">
        <f t="shared" si="0"/>
        <v>Pet Food + Treats</v>
      </c>
      <c r="Q8" s="282">
        <f t="shared" si="1"/>
        <v>0</v>
      </c>
    </row>
    <row r="9" spans="1:20" ht="15" customHeight="1" outlineLevel="1">
      <c r="B9" s="734"/>
      <c r="C9" s="734"/>
      <c r="D9" s="201" t="s">
        <v>595</v>
      </c>
      <c r="E9" s="365">
        <v>0</v>
      </c>
      <c r="F9" s="365">
        <f>452.64</f>
        <v>452.64</v>
      </c>
      <c r="H9" s="305"/>
      <c r="J9" s="305"/>
      <c r="L9" s="305"/>
      <c r="M9">
        <v>452.64</v>
      </c>
      <c r="N9" s="305"/>
      <c r="O9" s="274">
        <f t="shared" ref="O9:O21" si="2">SUM(E9:F9)-SUM(G9:N9)</f>
        <v>0</v>
      </c>
      <c r="P9" s="274" t="str">
        <f t="shared" si="0"/>
        <v>Mortgage</v>
      </c>
      <c r="Q9" s="282">
        <f t="shared" si="1"/>
        <v>0</v>
      </c>
    </row>
    <row r="10" spans="1:20" ht="15" customHeight="1" outlineLevel="1">
      <c r="B10" s="734"/>
      <c r="C10" s="734"/>
      <c r="D10" s="201" t="s">
        <v>596</v>
      </c>
      <c r="E10" s="365">
        <v>0</v>
      </c>
      <c r="F10" s="365">
        <v>135</v>
      </c>
      <c r="H10" s="305"/>
      <c r="J10" s="305"/>
      <c r="L10" s="305"/>
      <c r="M10">
        <f>135</f>
        <v>135</v>
      </c>
      <c r="N10" s="305"/>
      <c r="O10" s="274">
        <f t="shared" si="2"/>
        <v>0</v>
      </c>
      <c r="P10" s="274" t="str">
        <f t="shared" si="0"/>
        <v>Council tax</v>
      </c>
      <c r="Q10" s="282">
        <f t="shared" si="1"/>
        <v>0</v>
      </c>
    </row>
    <row r="11" spans="1:20" ht="15" customHeight="1" outlineLevel="1">
      <c r="B11" s="734"/>
      <c r="C11" s="734"/>
      <c r="D11" s="201" t="s">
        <v>1002</v>
      </c>
      <c r="E11" s="365">
        <v>0</v>
      </c>
      <c r="F11" s="365">
        <f>23+55+1</f>
        <v>79</v>
      </c>
      <c r="G11">
        <f>55+1</f>
        <v>56</v>
      </c>
      <c r="H11" s="305"/>
      <c r="J11" s="305"/>
      <c r="L11" s="305"/>
      <c r="M11">
        <v>23</v>
      </c>
      <c r="N11" s="305"/>
      <c r="O11" s="274">
        <f t="shared" si="2"/>
        <v>0</v>
      </c>
      <c r="P11" s="274" t="str">
        <f t="shared" si="0"/>
        <v>Utilities (G,W,E,HTB)</v>
      </c>
      <c r="Q11" s="282">
        <f t="shared" si="1"/>
        <v>0</v>
      </c>
    </row>
    <row r="12" spans="1:20" ht="15" customHeight="1" outlineLevel="1">
      <c r="B12" s="734"/>
      <c r="C12" s="734"/>
      <c r="D12" s="201" t="s">
        <v>996</v>
      </c>
      <c r="E12" s="365">
        <v>0</v>
      </c>
      <c r="F12" s="365">
        <f>13.07</f>
        <v>13.07</v>
      </c>
      <c r="H12" s="305"/>
      <c r="J12" s="305"/>
      <c r="L12" s="305"/>
      <c r="N12" s="305"/>
      <c r="O12" s="274">
        <f t="shared" si="2"/>
        <v>13.07</v>
      </c>
      <c r="P12" s="274" t="str">
        <f t="shared" si="0"/>
        <v>Home Insurance</v>
      </c>
      <c r="Q12" s="282">
        <f t="shared" si="1"/>
        <v>0</v>
      </c>
    </row>
    <row r="13" spans="1:20" ht="15" customHeight="1" outlineLevel="1">
      <c r="B13" s="734"/>
      <c r="C13" s="734"/>
      <c r="D13" s="201" t="s">
        <v>359</v>
      </c>
      <c r="E13" s="365">
        <v>11</v>
      </c>
      <c r="F13" s="365">
        <f>11</f>
        <v>11</v>
      </c>
      <c r="H13" s="305"/>
      <c r="J13" s="305"/>
      <c r="L13" s="305"/>
      <c r="N13" s="305"/>
      <c r="O13" s="274">
        <f t="shared" si="2"/>
        <v>22</v>
      </c>
      <c r="P13" s="274" t="str">
        <f t="shared" si="0"/>
        <v>TV License</v>
      </c>
      <c r="Q13" s="282">
        <f t="shared" si="1"/>
        <v>0</v>
      </c>
    </row>
    <row r="14" spans="1:20" ht="15" customHeight="1" outlineLevel="1">
      <c r="B14" s="734"/>
      <c r="C14" s="734"/>
      <c r="D14" s="201" t="s">
        <v>1056</v>
      </c>
      <c r="E14" s="365">
        <v>0</v>
      </c>
      <c r="F14" s="365">
        <f>8+36.79+16.6</f>
        <v>61.39</v>
      </c>
      <c r="G14">
        <f>16.6</f>
        <v>16.600000000000001</v>
      </c>
      <c r="H14" s="305"/>
      <c r="J14" s="305"/>
      <c r="L14" s="305"/>
      <c r="M14">
        <f>8+36.79</f>
        <v>44.79</v>
      </c>
      <c r="N14" s="305"/>
      <c r="O14" s="274">
        <f t="shared" si="2"/>
        <v>0</v>
      </c>
      <c r="P14" s="274" t="str">
        <f t="shared" si="0"/>
        <v>Pet Health / Insurance</v>
      </c>
      <c r="Q14" s="282">
        <f t="shared" si="1"/>
        <v>0</v>
      </c>
    </row>
    <row r="15" spans="1:20" ht="15" customHeight="1" outlineLevel="1">
      <c r="B15" s="734"/>
      <c r="C15" s="734"/>
      <c r="D15" s="201" t="s">
        <v>1057</v>
      </c>
      <c r="E15" s="365">
        <v>0</v>
      </c>
      <c r="F15" s="365">
        <f>4.52+15.97+8.56</f>
        <v>29.050000000000004</v>
      </c>
      <c r="G15">
        <f>29.05</f>
        <v>29.05</v>
      </c>
      <c r="H15" s="305"/>
      <c r="I15" s="11"/>
      <c r="J15" s="305"/>
      <c r="L15" s="305"/>
      <c r="N15" s="305"/>
      <c r="O15" s="274">
        <f t="shared" si="2"/>
        <v>0</v>
      </c>
      <c r="P15" s="274" t="str">
        <f t="shared" si="0"/>
        <v>Life / Income Insurance</v>
      </c>
      <c r="Q15" s="282">
        <f t="shared" si="1"/>
        <v>0</v>
      </c>
    </row>
    <row r="16" spans="1:20" ht="15" customHeight="1" outlineLevel="1">
      <c r="B16" s="734"/>
      <c r="C16" s="734"/>
      <c r="D16" s="201" t="s">
        <v>602</v>
      </c>
      <c r="E16" s="365">
        <v>0</v>
      </c>
      <c r="F16" s="365">
        <v>26</v>
      </c>
      <c r="H16" s="305"/>
      <c r="J16" s="305"/>
      <c r="L16" s="305"/>
      <c r="N16" s="305"/>
      <c r="O16" s="274">
        <f>SUM(E16:F16)-SUM(G16:N16)</f>
        <v>26</v>
      </c>
      <c r="P16" s="274" t="str">
        <f t="shared" si="0"/>
        <v>Broadband / TV</v>
      </c>
      <c r="Q16" s="282">
        <f t="shared" si="1"/>
        <v>0</v>
      </c>
    </row>
    <row r="17" spans="2:17" ht="15" customHeight="1" outlineLevel="1">
      <c r="B17" s="734"/>
      <c r="C17" s="734"/>
      <c r="D17" s="201" t="s">
        <v>582</v>
      </c>
      <c r="E17" s="365">
        <v>0</v>
      </c>
      <c r="F17" s="365">
        <v>7.99</v>
      </c>
      <c r="H17" s="305"/>
      <c r="I17">
        <v>7.99</v>
      </c>
      <c r="J17" s="305"/>
      <c r="L17" s="305"/>
      <c r="N17" s="305"/>
      <c r="O17" s="274">
        <f>SUM(E17:F17)-SUM(G17:N17)</f>
        <v>0</v>
      </c>
      <c r="P17" s="274" t="str">
        <f t="shared" si="0"/>
        <v>Onedrive (6th)</v>
      </c>
      <c r="Q17" s="282">
        <f t="shared" si="1"/>
        <v>0</v>
      </c>
    </row>
    <row r="18" spans="2:17" ht="15" customHeight="1" outlineLevel="1">
      <c r="B18" s="734"/>
      <c r="C18" s="734"/>
      <c r="D18" s="201" t="s">
        <v>788</v>
      </c>
      <c r="E18" s="365">
        <v>0</v>
      </c>
      <c r="F18" s="365">
        <v>10.56</v>
      </c>
      <c r="G18">
        <f>10.56</f>
        <v>10.56</v>
      </c>
      <c r="H18" s="305"/>
      <c r="J18" s="305"/>
      <c r="L18" s="305"/>
      <c r="N18" s="305"/>
      <c r="O18" s="274">
        <f>SUM(E18:F18)-SUM(G18:N18)</f>
        <v>0</v>
      </c>
      <c r="P18" s="274" t="str">
        <f t="shared" si="0"/>
        <v>Matt Phone</v>
      </c>
      <c r="Q18" s="282">
        <f t="shared" si="1"/>
        <v>0</v>
      </c>
    </row>
    <row r="19" spans="2:17" ht="15" customHeight="1" outlineLevel="1">
      <c r="B19" s="734"/>
      <c r="C19" s="734"/>
      <c r="D19" s="201" t="s">
        <v>985</v>
      </c>
      <c r="E19" s="365">
        <v>0</v>
      </c>
      <c r="F19" s="365">
        <f>28.87+50.08+75.88</f>
        <v>154.82999999999998</v>
      </c>
      <c r="G19">
        <f>28.87+50.08+75.88</f>
        <v>154.82999999999998</v>
      </c>
      <c r="H19" s="305"/>
      <c r="J19" s="305"/>
      <c r="L19" s="305"/>
      <c r="N19" s="305"/>
      <c r="O19" s="274">
        <f>SUM(E19:F19)-SUM(G19:N19)</f>
        <v>0</v>
      </c>
      <c r="P19" s="274" t="str">
        <f t="shared" si="0"/>
        <v>Car Tax / Insurance</v>
      </c>
      <c r="Q19" s="282">
        <f t="shared" si="1"/>
        <v>0</v>
      </c>
    </row>
    <row r="20" spans="2:17" ht="15" customHeight="1" outlineLevel="1">
      <c r="B20" s="734"/>
      <c r="C20" s="734"/>
      <c r="D20" s="201" t="s">
        <v>944</v>
      </c>
      <c r="E20" s="365">
        <v>0</v>
      </c>
      <c r="F20" s="365">
        <v>15</v>
      </c>
      <c r="G20">
        <f>15</f>
        <v>15</v>
      </c>
      <c r="H20" s="305"/>
      <c r="J20" s="305"/>
      <c r="L20" s="305"/>
      <c r="N20" s="305"/>
      <c r="O20" s="274">
        <f t="shared" si="2"/>
        <v>0</v>
      </c>
      <c r="P20" s="274" t="str">
        <f t="shared" si="0"/>
        <v>Windows</v>
      </c>
      <c r="Q20" s="282">
        <f t="shared" si="1"/>
        <v>0</v>
      </c>
    </row>
    <row r="21" spans="2:17" ht="15" customHeight="1" outlineLevel="1">
      <c r="B21" s="734"/>
      <c r="C21" s="734"/>
      <c r="D21" s="293" t="s">
        <v>920</v>
      </c>
      <c r="E21" s="365">
        <v>0</v>
      </c>
      <c r="F21" s="277">
        <f>179.07</f>
        <v>179.07</v>
      </c>
      <c r="H21" s="305"/>
      <c r="J21" s="305"/>
      <c r="L21" s="305"/>
      <c r="M21">
        <v>179.07</v>
      </c>
      <c r="N21" s="305"/>
      <c r="O21" s="274">
        <f t="shared" si="2"/>
        <v>0</v>
      </c>
      <c r="P21" s="274" t="str">
        <f t="shared" si="0"/>
        <v>Finance</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",G42*0.2," / Actual = ",D24," (",ROUND((D24/G42)*100,2),")")</f>
        <v>Savings - 20 - 827.336 / Actual = 519.99 (12.57)</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519.99</v>
      </c>
      <c r="E24" s="759"/>
      <c r="F24" s="319"/>
      <c r="H24" s="305"/>
      <c r="J24" s="305"/>
      <c r="L24" s="305"/>
      <c r="N24" s="305"/>
      <c r="O24" s="285">
        <f>SUMIF(O25:O29,"&gt;0")</f>
        <v>714.39000000000362</v>
      </c>
      <c r="P24" s="285" t="s">
        <v>895</v>
      </c>
      <c r="Q24" s="282">
        <f>SUM(Q26:Q26)</f>
        <v>0</v>
      </c>
    </row>
    <row r="25" spans="2:17" ht="15" customHeight="1" outlineLevel="1">
      <c r="B25" s="7" t="str">
        <f>"20% : " &amp; E$42*0.2</f>
        <v>20% : 3495.36</v>
      </c>
      <c r="C25" s="7" t="str">
        <f>"20% : " &amp; E$42*0.2</f>
        <v>20% : 3495.36</v>
      </c>
      <c r="D25" s="300" t="s">
        <v>590</v>
      </c>
      <c r="E25" s="365">
        <f>13.7400000000005+16</f>
        <v>29.740000000000499</v>
      </c>
      <c r="F25" s="365">
        <f>50+14.99+70+15</f>
        <v>149.99</v>
      </c>
      <c r="G25">
        <f>23.08-10.56</f>
        <v>12.519999999999998</v>
      </c>
      <c r="H25" s="305"/>
      <c r="J25" s="305">
        <f>11</f>
        <v>11</v>
      </c>
      <c r="L25" s="315">
        <f>-10+15</f>
        <v>5</v>
      </c>
      <c r="N25" s="305"/>
      <c r="O25" s="274">
        <f>SUM(E25:F25)-SUM(G25:N25)-Q42</f>
        <v>147.09000000000364</v>
      </c>
      <c r="P25" s="274" t="str">
        <f t="shared" ref="P25:P29" si="3">D25</f>
        <v>Contingency</v>
      </c>
      <c r="Q25" s="282">
        <f>SUM(Q26:Q30)</f>
        <v>0</v>
      </c>
    </row>
    <row r="26" spans="2:17" ht="15" customHeight="1" outlineLevel="1">
      <c r="B26" s="7"/>
      <c r="C26" s="7"/>
      <c r="D26" s="300" t="s">
        <v>998</v>
      </c>
      <c r="E26" s="365">
        <v>237.29</v>
      </c>
      <c r="F26" s="365">
        <f>50+20</f>
        <v>70</v>
      </c>
      <c r="G26" s="11"/>
      <c r="H26" s="306"/>
      <c r="J26" s="305">
        <f>39.99</f>
        <v>39.99</v>
      </c>
      <c r="L26" s="305"/>
      <c r="N26" s="305"/>
      <c r="O26" s="274">
        <f>SUM(E26:F26)-SUM(G26:N26)</f>
        <v>267.29999999999995</v>
      </c>
      <c r="P26" s="274" t="str">
        <f t="shared" si="3"/>
        <v>Cars (Service / MOT)</v>
      </c>
      <c r="Q26" s="282">
        <f t="shared" ref="Q26:Q29" si="4">IF(O26&lt;0,O26*-1,0)</f>
        <v>0</v>
      </c>
    </row>
    <row r="27" spans="2:17" ht="15" customHeight="1" outlineLevel="1">
      <c r="B27" s="7"/>
      <c r="C27" s="7"/>
      <c r="D27" s="300" t="s">
        <v>999</v>
      </c>
      <c r="E27" s="365">
        <v>0</v>
      </c>
      <c r="F27" s="365">
        <v>300</v>
      </c>
      <c r="G27" s="11"/>
      <c r="H27" s="306"/>
      <c r="J27" s="305"/>
      <c r="L27" s="305"/>
      <c r="N27" s="305"/>
      <c r="O27" s="274">
        <f t="shared" ref="O27:O29" si="5">SUM(E27:F27)-SUM(G27:N27)</f>
        <v>300</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",G42*0.3," / Actual = ",D32," (",ROUND((D32/G42)*100,2),")")</f>
        <v>Wants - 30 - 1241.004 / Actual = 2069.65 (50.03)</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(E$42-D5-D24-E41)</f>
        <v>2069.6500000000033</v>
      </c>
      <c r="E32" s="727"/>
      <c r="F32" s="319">
        <f>SUM(F33:F38)</f>
        <v>2009.6500000000033</v>
      </c>
      <c r="H32" s="305"/>
      <c r="J32" s="305"/>
      <c r="L32" s="305"/>
      <c r="N32" s="305"/>
      <c r="O32" s="285">
        <f>SUMIF(O33:O37,"&gt;0")</f>
        <v>13670.289999999999</v>
      </c>
      <c r="P32" s="285" t="s">
        <v>899</v>
      </c>
      <c r="Q32" s="282">
        <f>SUM(Q33:Q38)</f>
        <v>0.81999999999686679</v>
      </c>
    </row>
    <row r="33" spans="2:19" ht="15" customHeight="1" outlineLevel="1">
      <c r="B33" s="734"/>
      <c r="C33" s="760"/>
      <c r="D33" s="300" t="s">
        <v>1036</v>
      </c>
      <c r="E33" s="365">
        <v>386.32</v>
      </c>
      <c r="F33" s="365">
        <f>400+20.01+2.85+2.85+11.95+20.02+6-50-40</f>
        <v>373.68</v>
      </c>
      <c r="H33" s="305"/>
      <c r="J33" s="305">
        <f>+-(205.81-25)</f>
        <v>-180.81</v>
      </c>
      <c r="K33">
        <v>90</v>
      </c>
      <c r="L33" s="305"/>
      <c r="M33">
        <f>9.2+5+23.4+11.88</f>
        <v>49.48</v>
      </c>
      <c r="N33" s="305"/>
      <c r="O33" s="274">
        <f t="shared" ref="O33:O35" si="6">SUM(E33:F33)-SUM(G33:N33)</f>
        <v>801.33</v>
      </c>
      <c r="P33" s="274" t="str">
        <f>D33</f>
        <v>Eye Surgery</v>
      </c>
      <c r="Q33" s="282">
        <f t="shared" ref="Q33:Q36" si="7">IF(O33&lt;0,O33*-1,0)</f>
        <v>0</v>
      </c>
      <c r="R33" s="11"/>
      <c r="S33" s="11"/>
    </row>
    <row r="34" spans="2:19" ht="15" customHeight="1" outlineLevel="1">
      <c r="B34" s="734"/>
      <c r="C34" s="760"/>
      <c r="D34" s="300" t="s">
        <v>354</v>
      </c>
      <c r="E34" s="365">
        <v>0</v>
      </c>
      <c r="F34" s="365">
        <f>0</f>
        <v>0</v>
      </c>
      <c r="H34" s="305"/>
      <c r="J34" s="305"/>
      <c r="L34" s="305"/>
      <c r="N34" s="305"/>
      <c r="O34" s="274">
        <f t="shared" si="6"/>
        <v>0</v>
      </c>
      <c r="P34" s="274" t="str">
        <f t="shared" ref="P34:P40" si="8">D34</f>
        <v>Holiday</v>
      </c>
      <c r="Q34" s="282">
        <f t="shared" si="7"/>
        <v>0</v>
      </c>
      <c r="R34" s="11"/>
      <c r="S34" s="11"/>
    </row>
    <row r="35" spans="2:19" ht="15" customHeight="1" outlineLevel="1">
      <c r="B35" s="734"/>
      <c r="C35" s="760"/>
      <c r="D35" s="300" t="s">
        <v>170</v>
      </c>
      <c r="E35" s="365">
        <v>500.79999999999995</v>
      </c>
      <c r="F35" s="365">
        <f>250+15</f>
        <v>265</v>
      </c>
      <c r="G35">
        <f>25.2+31.75</f>
        <v>56.95</v>
      </c>
      <c r="H35" s="305"/>
      <c r="J35" s="305">
        <f>30</f>
        <v>30</v>
      </c>
      <c r="K35">
        <f>22.5+17.42</f>
        <v>39.92</v>
      </c>
      <c r="L35" s="305">
        <f>27.44</f>
        <v>27.44</v>
      </c>
      <c r="N35" s="305"/>
      <c r="O35" s="274">
        <f t="shared" si="6"/>
        <v>611.49</v>
      </c>
      <c r="P35" s="274" t="str">
        <f t="shared" si="8"/>
        <v>Gift Fund</v>
      </c>
      <c r="Q35" s="282">
        <f t="shared" si="7"/>
        <v>0</v>
      </c>
      <c r="R35" s="11"/>
      <c r="S35" s="11"/>
    </row>
    <row r="36" spans="2:19" ht="15" customHeight="1" outlineLevel="1">
      <c r="B36" s="734"/>
      <c r="C36" s="760"/>
      <c r="D36" s="300" t="s">
        <v>812</v>
      </c>
      <c r="E36" s="365">
        <v>12034.97</v>
      </c>
      <c r="F36" s="365">
        <f>890-70+40</f>
        <v>860</v>
      </c>
      <c r="H36" s="305">
        <f>637.5</f>
        <v>637.5</v>
      </c>
      <c r="J36" s="305"/>
      <c r="L36" s="305"/>
      <c r="N36" s="305"/>
      <c r="O36" s="274">
        <f>SUM(E36:F36)-SUM(G36:N36)-O39</f>
        <v>12257.47</v>
      </c>
      <c r="P36" s="274" t="str">
        <f t="shared" si="8"/>
        <v>Wedding</v>
      </c>
      <c r="Q36" s="282">
        <f t="shared" si="7"/>
        <v>0</v>
      </c>
      <c r="R36" s="11"/>
      <c r="S36" s="349"/>
    </row>
    <row r="37" spans="2:19" ht="15.75" customHeight="1" outlineLevel="1">
      <c r="B37" s="734"/>
      <c r="C37" s="760"/>
      <c r="D37" s="13" t="s">
        <v>781</v>
      </c>
      <c r="E37" s="365">
        <v>0</v>
      </c>
      <c r="F37" s="365">
        <f>13+2+10+5.99+5.99+5.99+10.99</f>
        <v>53.960000000000008</v>
      </c>
      <c r="G37">
        <f>13+2</f>
        <v>15</v>
      </c>
      <c r="H37" s="305"/>
      <c r="I37">
        <f>10.99+5.99+10</f>
        <v>26.98</v>
      </c>
      <c r="J37" s="305"/>
      <c r="L37" s="305"/>
      <c r="M37">
        <f>5.99+5.99</f>
        <v>11.98</v>
      </c>
      <c r="N37" s="305"/>
      <c r="O37" s="274">
        <f t="shared" ref="O37:O40" si="9">SUM(E37:F37)-SUM(G37:N37)</f>
        <v>0</v>
      </c>
      <c r="P37" s="274" t="str">
        <f t="shared" si="8"/>
        <v>Subscriptions</v>
      </c>
      <c r="Q37" s="282">
        <f>IF(O37&lt;0,O37*-1,0)</f>
        <v>0</v>
      </c>
      <c r="R37" s="243"/>
    </row>
    <row r="38" spans="2:19" ht="18" outlineLevel="1">
      <c r="B38" s="734"/>
      <c r="C38" s="760"/>
      <c r="D38" s="13" t="s">
        <v>922</v>
      </c>
      <c r="E38" s="365">
        <v>0</v>
      </c>
      <c r="F38" s="365">
        <f>(D32-SUM(F33:F37))-F40</f>
        <v>457.01000000000317</v>
      </c>
      <c r="G38">
        <f>2.3+1+4.2+26.48+40.6+9</f>
        <v>83.580000000000013</v>
      </c>
      <c r="H38" s="305">
        <f>11.99+7.5+16+6.45+16.99+1.49</f>
        <v>60.420000000000009</v>
      </c>
      <c r="I38">
        <f>38.32+4.1+29.95+1+18+1.69</f>
        <v>93.06</v>
      </c>
      <c r="J38" s="305">
        <f>10.9+23.86+-16+16.95+11.92</f>
        <v>47.629999999999995</v>
      </c>
      <c r="K38">
        <f>20.5+6.19</f>
        <v>26.69</v>
      </c>
      <c r="L38" s="305">
        <f>10.23+22.6+11.21+-11.92+1.1+5+24.8</f>
        <v>63.019999999999996</v>
      </c>
      <c r="M38">
        <f>7.3+3.49+3.49+13.4+19.9+35.85</f>
        <v>83.43</v>
      </c>
      <c r="N38" s="305"/>
      <c r="O38" s="274">
        <f>SUM(E38:F38)-SUM(G38:N38)</f>
        <v>-0.81999999999686679</v>
      </c>
      <c r="P38" s="274" t="str">
        <f t="shared" si="8"/>
        <v>Matt Fun</v>
      </c>
      <c r="Q38" s="282">
        <f>IF(SUM(E38:F38)-SUM(G38:N38)&lt;=0,(SUM(E38:F38)-SUM(G38:N38))*-1,0)</f>
        <v>0.81999999999686679</v>
      </c>
    </row>
    <row r="39" spans="2:19" ht="18" outlineLevel="1">
      <c r="B39" s="7"/>
      <c r="C39" s="284"/>
      <c r="D39" s="13" t="s">
        <v>1025</v>
      </c>
      <c r="E39" s="365">
        <v>0</v>
      </c>
      <c r="F39" s="365">
        <v>0</v>
      </c>
      <c r="H39" s="305"/>
      <c r="J39" s="305"/>
      <c r="L39" s="305"/>
      <c r="N39" s="305"/>
      <c r="O39" s="274">
        <f>SUM(G39:N39)</f>
        <v>0</v>
      </c>
      <c r="P39" s="274" t="str">
        <f t="shared" si="8"/>
        <v>Work Expenses</v>
      </c>
      <c r="Q39" s="333"/>
      <c r="S39" s="11"/>
    </row>
    <row r="40" spans="2:19" ht="18" outlineLevel="1">
      <c r="B40" s="7"/>
      <c r="C40" s="284"/>
      <c r="D40" s="13" t="s">
        <v>152</v>
      </c>
      <c r="E40" s="365">
        <v>0</v>
      </c>
      <c r="F40" s="365">
        <v>60</v>
      </c>
      <c r="G40">
        <f>126.04+-64.99</f>
        <v>61.050000000000011</v>
      </c>
      <c r="H40" s="305"/>
      <c r="J40" s="305"/>
      <c r="L40" s="305"/>
      <c r="N40" s="305"/>
      <c r="O40" s="274">
        <f t="shared" si="9"/>
        <v>-1.0500000000000114</v>
      </c>
      <c r="P40" s="274" t="str">
        <f t="shared" si="8"/>
        <v>Kris</v>
      </c>
      <c r="Q40" s="271">
        <f>IF(F40-SUM(G40:N40)&lt;=0,(F40-SUM(G40:N40))*-1,0)</f>
        <v>1.0500000000000114</v>
      </c>
    </row>
    <row r="41" spans="2:19">
      <c r="B41" s="118"/>
      <c r="C41" s="118"/>
      <c r="E41" s="365">
        <f>SUM(E33:E40)+SUM(E25:E29)+SUM(E6:E21)</f>
        <v>13200.12</v>
      </c>
      <c r="F41" s="365"/>
      <c r="H41" s="7"/>
      <c r="J41" s="7"/>
      <c r="L41" s="7"/>
      <c r="N41" s="7"/>
      <c r="O41" s="273"/>
      <c r="P41" s="273"/>
      <c r="Q41" s="282"/>
    </row>
    <row r="42" spans="2:19" ht="18">
      <c r="B42" s="728" t="s">
        <v>817</v>
      </c>
      <c r="C42" s="728"/>
      <c r="D42" s="728"/>
      <c r="E42" s="375">
        <f>G42+I42+K42+M42+N42+E41</f>
        <v>17476.800000000003</v>
      </c>
      <c r="F42" s="379"/>
      <c r="G42" s="271">
        <f>2891.68+1150+15+20+60</f>
        <v>4136.68</v>
      </c>
      <c r="H42" s="271"/>
      <c r="I42" s="271">
        <f>50+30</f>
        <v>80</v>
      </c>
      <c r="J42" s="271"/>
      <c r="K42" s="271">
        <v>15</v>
      </c>
      <c r="L42" s="271"/>
      <c r="M42" s="271">
        <f>15+30</f>
        <v>45</v>
      </c>
      <c r="N42" s="271"/>
      <c r="O42" s="314" t="str">
        <f>"£" &amp; ROUND(O5+O32+O24+IF(O38&lt;0,0,O38)+O40+O4,2) &amp; " / " &amp; "£" &amp; E42</f>
        <v>£15528.68 / £17476.8</v>
      </c>
      <c r="P42" s="274"/>
      <c r="Q42" s="282">
        <f>SUM(Q32,Q24,Q5)</f>
        <v>4.1199999999968497</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991</v>
      </c>
      <c r="O45" s="316">
        <v>44389</v>
      </c>
      <c r="P45" s="7">
        <f ca="1">DATEDIF(O45,NOW(),"d")</f>
        <v>1862</v>
      </c>
      <c r="Q45" t="s">
        <v>1063</v>
      </c>
    </row>
    <row r="46" spans="2:19">
      <c r="B46" s="365"/>
      <c r="C46" s="38"/>
      <c r="E46" s="11"/>
      <c r="F46" s="11"/>
      <c r="G46" s="243"/>
      <c r="H46" s="243"/>
      <c r="K46" s="214"/>
      <c r="L46" s="214"/>
      <c r="N46" s="322" t="s">
        <v>992</v>
      </c>
      <c r="O46" s="42">
        <v>44395</v>
      </c>
      <c r="P46" s="7">
        <f ca="1">DATEDIF(O46,NOW(),"d")</f>
        <v>1856</v>
      </c>
      <c r="Q46">
        <v>5</v>
      </c>
      <c r="R46" t="s">
        <v>1064</v>
      </c>
    </row>
    <row r="47" spans="2:19">
      <c r="E47" s="365"/>
      <c r="F47" s="365"/>
      <c r="G47" s="11"/>
      <c r="H47" s="11"/>
      <c r="L47" s="347"/>
      <c r="O47"/>
      <c r="P47"/>
    </row>
    <row r="48" spans="2:19" ht="16.2" customHeight="1">
      <c r="E48" s="365"/>
      <c r="F48" s="365"/>
      <c r="G48" s="11"/>
      <c r="J48" s="332"/>
      <c r="K48" s="332"/>
      <c r="L48" s="332" t="s">
        <v>1065</v>
      </c>
      <c r="M48" s="332">
        <f>9.2+23.4+5+11.88+40+90</f>
        <v>179.48</v>
      </c>
      <c r="N48" s="212"/>
      <c r="O48" s="212"/>
      <c r="P48" s="212"/>
    </row>
    <row r="49" spans="2:17">
      <c r="B49" s="378"/>
      <c r="E49" t="s">
        <v>1066</v>
      </c>
      <c r="F49" s="38" t="s">
        <v>1067</v>
      </c>
      <c r="G49" s="11"/>
      <c r="H49" s="11"/>
      <c r="J49" s="11"/>
      <c r="K49" s="56"/>
      <c r="L49" s="56"/>
      <c r="M49" s="365">
        <f>M48/2</f>
        <v>89.74</v>
      </c>
      <c r="N49" s="56"/>
      <c r="O49" s="243"/>
      <c r="P49" s="56"/>
    </row>
    <row r="50" spans="2:17">
      <c r="D50" t="s">
        <v>93</v>
      </c>
      <c r="E50">
        <f>2623.84-2472.31</f>
        <v>151.5300000000002</v>
      </c>
      <c r="F50" s="38">
        <v>299.67</v>
      </c>
      <c r="G50" s="11"/>
      <c r="H50" s="11"/>
      <c r="J50" s="11"/>
      <c r="K50" s="56"/>
      <c r="L50" s="243"/>
      <c r="M50" s="365"/>
      <c r="N50" s="56"/>
      <c r="O50" s="11"/>
      <c r="P50"/>
    </row>
    <row r="51" spans="2:17">
      <c r="E51" s="365"/>
      <c r="F51" s="365"/>
      <c r="G51" s="38"/>
      <c r="H51" s="38"/>
      <c r="J51" s="11"/>
      <c r="M51" s="349"/>
      <c r="N51" s="56"/>
      <c r="O51" s="284"/>
      <c r="P51" s="212"/>
      <c r="Q51" s="212"/>
    </row>
    <row r="52" spans="2:17" ht="14.4">
      <c r="D52" t="s">
        <v>37</v>
      </c>
      <c r="E52" s="11">
        <f>2693.78-2472.51</f>
        <v>221.26999999999998</v>
      </c>
      <c r="F52" s="11">
        <v>287.17</v>
      </c>
      <c r="G52" s="11"/>
      <c r="H52" s="38"/>
      <c r="J52" s="11"/>
      <c r="M52" s="353"/>
      <c r="N52" s="56"/>
      <c r="O52" s="56"/>
      <c r="P52" s="56"/>
      <c r="Q52" s="38"/>
    </row>
    <row r="53" spans="2:17">
      <c r="D53" t="s">
        <v>59</v>
      </c>
      <c r="E53" s="365">
        <f>2682.51-2472.51</f>
        <v>210</v>
      </c>
      <c r="F53" s="214">
        <v>400</v>
      </c>
      <c r="G53" s="11"/>
      <c r="H53" s="38"/>
      <c r="J53" s="11"/>
      <c r="M53" s="353"/>
      <c r="N53" s="56"/>
    </row>
    <row r="54" spans="2:17">
      <c r="D54" t="s">
        <v>69</v>
      </c>
      <c r="E54" s="214">
        <f>2891.68-2472.51</f>
        <v>419.16999999999962</v>
      </c>
      <c r="F54" s="214">
        <v>800</v>
      </c>
      <c r="G54" s="11"/>
      <c r="H54" s="38"/>
      <c r="I54" s="11"/>
      <c r="J54" s="11"/>
      <c r="L54" t="s">
        <v>1068</v>
      </c>
      <c r="M54" s="365">
        <f>M53/2</f>
        <v>0</v>
      </c>
      <c r="N54" s="764"/>
    </row>
    <row r="55" spans="2:17">
      <c r="E55" s="365"/>
      <c r="F55" s="365"/>
      <c r="G55" s="11"/>
      <c r="H55" s="38"/>
      <c r="I55" s="11"/>
      <c r="J55" s="11"/>
      <c r="N55" s="765"/>
      <c r="O55" s="275"/>
      <c r="P55" s="275"/>
    </row>
    <row r="56" spans="2:17">
      <c r="B56" s="11"/>
      <c r="E56" s="365"/>
      <c r="F56" s="365"/>
      <c r="G56" s="11"/>
      <c r="H56" s="38"/>
      <c r="I56" s="11"/>
      <c r="J56" s="11"/>
      <c r="L56" s="349"/>
      <c r="N56" s="765"/>
    </row>
    <row r="57" spans="2:17" ht="14.4">
      <c r="B57" s="11"/>
      <c r="E57" s="351">
        <f>2637.77-2580.54</f>
        <v>57.230000000000018</v>
      </c>
      <c r="F57"/>
      <c r="G57" s="11"/>
      <c r="H57" s="38"/>
      <c r="I57" s="11"/>
      <c r="J57" s="11"/>
      <c r="L57" s="79"/>
      <c r="M57" s="726"/>
      <c r="N57" s="726"/>
      <c r="O57" s="726"/>
      <c r="P57" s="726"/>
    </row>
    <row r="58" spans="2:17">
      <c r="E58">
        <f>2877.9-2730.52</f>
        <v>147.38000000000011</v>
      </c>
      <c r="F58"/>
      <c r="G58" s="11"/>
      <c r="H58" s="38"/>
      <c r="I58" s="11"/>
      <c r="N58" s="278"/>
      <c r="O58" s="212"/>
      <c r="P58" s="212"/>
    </row>
    <row r="59" spans="2:17">
      <c r="B59" s="212"/>
      <c r="C59" s="212"/>
      <c r="E59" s="243">
        <f>SUM(E57:E58)</f>
        <v>204.61000000000013</v>
      </c>
      <c r="F59"/>
      <c r="G59" s="11"/>
      <c r="H59" s="38"/>
      <c r="I59" s="11"/>
      <c r="J59" s="349"/>
      <c r="N59" s="376"/>
      <c r="O59" s="214"/>
      <c r="P59" s="214"/>
    </row>
    <row r="60" spans="2:17">
      <c r="C60" s="56"/>
      <c r="D60" s="243"/>
      <c r="E60"/>
      <c r="F60"/>
      <c r="G60" s="11"/>
      <c r="H60" s="38"/>
      <c r="I60" s="11"/>
      <c r="N60" s="365"/>
      <c r="O60"/>
      <c r="P60"/>
    </row>
    <row r="61" spans="2:17">
      <c r="C61" s="56"/>
      <c r="E61"/>
      <c r="F61"/>
      <c r="H61" s="38"/>
      <c r="I61" s="11"/>
      <c r="J61" s="349"/>
      <c r="N61" s="278"/>
      <c r="O61" s="212"/>
      <c r="P61" s="212"/>
    </row>
    <row r="62" spans="2:17">
      <c r="C62" s="56"/>
      <c r="D62" s="56"/>
      <c r="E62"/>
      <c r="F62"/>
      <c r="H62" s="38"/>
      <c r="I62" s="11"/>
      <c r="N62" s="365"/>
      <c r="O62" s="56"/>
      <c r="P62" s="56"/>
    </row>
    <row r="63" spans="2:17">
      <c r="C63" s="56"/>
      <c r="E63"/>
      <c r="F63"/>
      <c r="H63" s="38"/>
      <c r="I63" s="11"/>
      <c r="N63" s="365"/>
      <c r="O63"/>
      <c r="P63"/>
    </row>
    <row r="64" spans="2:17">
      <c r="C64" s="56"/>
      <c r="E64"/>
      <c r="F64"/>
      <c r="H64" s="38"/>
      <c r="I64" s="11"/>
      <c r="N64" s="278"/>
      <c r="O64" s="212"/>
      <c r="P64" s="212"/>
    </row>
    <row r="65" spans="2:16">
      <c r="C65" s="56"/>
      <c r="E65"/>
      <c r="F65"/>
      <c r="H65" s="38"/>
      <c r="I65" s="11"/>
      <c r="N65" s="365"/>
      <c r="O65" s="38"/>
      <c r="P65" s="56"/>
    </row>
    <row r="66" spans="2:16" ht="14.4">
      <c r="C66" s="56"/>
      <c r="E66"/>
      <c r="F66"/>
      <c r="H66" s="38"/>
      <c r="I66" s="11"/>
      <c r="O66"/>
    </row>
    <row r="67" spans="2:16" ht="14.4">
      <c r="C67" s="56"/>
      <c r="E67"/>
      <c r="F67"/>
      <c r="H67" s="38"/>
      <c r="I67" s="11"/>
    </row>
    <row r="68" spans="2:16" ht="14.4">
      <c r="C68" s="56"/>
      <c r="E68"/>
      <c r="F68"/>
    </row>
    <row r="69" spans="2:16" ht="14.4">
      <c r="C69" s="56"/>
      <c r="E69"/>
      <c r="F69"/>
    </row>
    <row r="70" spans="2:16" ht="14.4">
      <c r="C70" s="56"/>
      <c r="E70"/>
      <c r="F70"/>
    </row>
    <row r="71" spans="2:16">
      <c r="E71" s="365"/>
      <c r="F71" s="365"/>
    </row>
    <row r="72" spans="2:16" ht="14.4">
      <c r="B72" s="212"/>
      <c r="C72" s="294"/>
      <c r="D72" s="212"/>
      <c r="E72" s="212"/>
      <c r="F72" s="212"/>
      <c r="G72" s="212"/>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5">
    <mergeCell ref="B24:C24"/>
    <mergeCell ref="D24:E24"/>
    <mergeCell ref="B1:O1"/>
    <mergeCell ref="G3:H3"/>
    <mergeCell ref="I3:J3"/>
    <mergeCell ref="K3:L3"/>
    <mergeCell ref="M3:N3"/>
    <mergeCell ref="B4:E4"/>
    <mergeCell ref="B5:C5"/>
    <mergeCell ref="D5:E5"/>
    <mergeCell ref="B6:B21"/>
    <mergeCell ref="C6:C21"/>
    <mergeCell ref="B23:E23"/>
    <mergeCell ref="M57:P57"/>
    <mergeCell ref="B31:E31"/>
    <mergeCell ref="B32:C32"/>
    <mergeCell ref="D32:E32"/>
    <mergeCell ref="B33:B38"/>
    <mergeCell ref="C33:C38"/>
    <mergeCell ref="B42:D42"/>
    <mergeCell ref="B44:G44"/>
    <mergeCell ref="K44:O44"/>
    <mergeCell ref="B45:C45"/>
    <mergeCell ref="D45:E45"/>
    <mergeCell ref="N54:N56"/>
  </mergeCells>
  <pageMargins left="0.7" right="0.7" top="0.75" bottom="0.75" header="0.3" footer="0.3"/>
  <pageSetup orientation="portrait" r:id="rId1"/>
  <legacy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7B321-5F62-4D6E-82DC-C02DE384B4F7}">
  <dimension ref="A1:T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JUN-JUL 2021</v>
      </c>
      <c r="B1" s="730" t="str">
        <f ca="1">MID(CELL("filename",B1),FIND("]",CELL("filename",B1))+1,255)</f>
        <v>JUL-AUG 2021</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E3" s="365"/>
      <c r="F3" s="365"/>
      <c r="G3" s="732">
        <v>44400</v>
      </c>
      <c r="H3" s="732"/>
      <c r="I3" s="732">
        <f>G3+7</f>
        <v>44407</v>
      </c>
      <c r="J3" s="732"/>
      <c r="K3" s="732">
        <f>I3+7</f>
        <v>44414</v>
      </c>
      <c r="L3" s="732"/>
      <c r="M3" s="732">
        <f>K3+7</f>
        <v>44421</v>
      </c>
      <c r="N3" s="732"/>
      <c r="O3" s="325" t="str">
        <f>0 &amp; " / " &amp; ROUND(0-O4,2)</f>
        <v>0 / 0</v>
      </c>
      <c r="P3" s="325" t="s">
        <v>994</v>
      </c>
      <c r="Q3" s="282"/>
    </row>
    <row r="4" spans="1:20" ht="15" customHeight="1">
      <c r="B4" s="727" t="str">
        <f>_xlfn.CONCAT("Expenses - 50 - ",G42*0.5," / Actual = ",D5," (",ROUND((D5/G42)*100,2),")")</f>
        <v>Expenses - 50 - 2680.9 / Actual = 1809.6 (33.75)</v>
      </c>
      <c r="C4" s="727"/>
      <c r="D4" s="727"/>
      <c r="E4" s="727"/>
      <c r="F4" s="318"/>
      <c r="H4" s="243">
        <f>SUM(H5:H40)</f>
        <v>231.39999999999998</v>
      </c>
      <c r="J4" s="243">
        <f>SUM(J5:J40)</f>
        <v>832.25</v>
      </c>
      <c r="L4" s="243">
        <f>SUM(L5:L40)</f>
        <v>441.62</v>
      </c>
      <c r="N4" s="243">
        <f>SUM(N5:N40)</f>
        <v>0</v>
      </c>
      <c r="O4" s="308">
        <f>IF(H41&lt;&gt;"PAID",H4,0)+IF(J41&lt;&gt;"PAID",J4,0)+IF(L41&lt;&gt;"PAID",L4,0)+IF(N41&lt;&gt;"PAID",N4,0)</f>
        <v>0</v>
      </c>
      <c r="P4" s="309" t="s">
        <v>973</v>
      </c>
      <c r="Q4" s="282"/>
      <c r="R4" s="243"/>
      <c r="S4" s="243"/>
    </row>
    <row r="5" spans="1:20" ht="15" customHeight="1">
      <c r="B5" s="733" t="str">
        <f>IF(D5&gt;E$42*0.5,ROUND(D5-E$42*0.5,2) &amp; " Over",ROUND(E$42*0.5-D5,2) &amp; " Under")</f>
        <v>8657.14 Under</v>
      </c>
      <c r="C5" s="733"/>
      <c r="D5" s="761">
        <f>SUM(F6:F21)</f>
        <v>1809.5999999999997</v>
      </c>
      <c r="E5" s="761"/>
      <c r="F5" s="321"/>
      <c r="G5" s="284"/>
      <c r="H5" s="306"/>
      <c r="I5" s="79"/>
      <c r="J5" s="306"/>
      <c r="K5" s="79"/>
      <c r="L5" s="306"/>
      <c r="M5" s="79"/>
      <c r="N5" s="305"/>
      <c r="O5" s="285">
        <f>SUMIF(O6:O21,"&gt;0")</f>
        <v>42.900000000000013</v>
      </c>
      <c r="P5" s="285" t="s">
        <v>892</v>
      </c>
      <c r="Q5" s="282">
        <f>SUM(Q6:Q21)</f>
        <v>144.49999999999994</v>
      </c>
    </row>
    <row r="6" spans="1:20" ht="15" customHeight="1">
      <c r="B6" s="734" t="str">
        <f>"50%: " &amp; E$42*0.5</f>
        <v>50%: 10466.74</v>
      </c>
      <c r="C6" s="734" t="str">
        <f>ROUND((D5/E$42)*100,2) &amp; "%: " &amp;D5</f>
        <v>8.64%: 1809.6</v>
      </c>
      <c r="D6" s="13" t="s">
        <v>805</v>
      </c>
      <c r="E6" s="365">
        <v>0</v>
      </c>
      <c r="F6" s="374">
        <f>200</f>
        <v>200</v>
      </c>
      <c r="H6" s="305">
        <f>25.19+25.81+25.58+25.99</f>
        <v>102.57</v>
      </c>
      <c r="J6" s="305">
        <f>26.13+26.69</f>
        <v>52.82</v>
      </c>
      <c r="L6" s="305">
        <f>26.39+26.39+20.04+59.05</f>
        <v>131.87</v>
      </c>
      <c r="N6" s="305"/>
      <c r="O6" s="274">
        <f>SUM(E6:F6)-SUM(G6:N6)</f>
        <v>-87.259999999999991</v>
      </c>
      <c r="P6" s="274" t="str">
        <f t="shared" ref="P6:P21" si="0">D6</f>
        <v>Car Petrol / commuting</v>
      </c>
      <c r="Q6" s="282">
        <f t="shared" ref="Q6:Q21" si="1">IF(O6&lt;0,O6*-1,0)</f>
        <v>87.259999999999991</v>
      </c>
    </row>
    <row r="7" spans="1:20" ht="15" customHeight="1">
      <c r="B7" s="734"/>
      <c r="C7" s="734"/>
      <c r="D7" s="13" t="s">
        <v>169</v>
      </c>
      <c r="E7" s="365">
        <v>0</v>
      </c>
      <c r="F7" s="365">
        <f>300-10</f>
        <v>290</v>
      </c>
      <c r="G7">
        <f>23.89</f>
        <v>23.89</v>
      </c>
      <c r="H7" s="305">
        <f>6.15+6.2+55.9</f>
        <v>68.25</v>
      </c>
      <c r="I7">
        <f>5.5+20.33+8.88</f>
        <v>34.71</v>
      </c>
      <c r="J7" s="305">
        <f>15.15+12.38</f>
        <v>27.53</v>
      </c>
      <c r="K7">
        <f>5.12+1.55+2+6+9.75+3.78+23.8</f>
        <v>52</v>
      </c>
      <c r="L7" s="305">
        <f>6.24+60.63+30.99+5.1</f>
        <v>102.96</v>
      </c>
      <c r="M7">
        <f>4.25+3.62+18.9</f>
        <v>26.77</v>
      </c>
      <c r="N7" s="305"/>
      <c r="O7" s="274">
        <f>SUM(E7:F7)-SUM(G7:N7)</f>
        <v>-46.109999999999957</v>
      </c>
      <c r="P7" s="274" t="str">
        <f t="shared" si="0"/>
        <v>Food</v>
      </c>
      <c r="Q7" s="282">
        <f t="shared" si="1"/>
        <v>46.109999999999957</v>
      </c>
    </row>
    <row r="8" spans="1:20" ht="15" customHeight="1">
      <c r="B8" s="734"/>
      <c r="C8" s="734"/>
      <c r="D8" s="13" t="s">
        <v>1055</v>
      </c>
      <c r="E8" s="365">
        <v>0.90000000000000568</v>
      </c>
      <c r="F8" s="365">
        <f>40+100+5</f>
        <v>145</v>
      </c>
      <c r="G8">
        <f>20+6.25</f>
        <v>26.25</v>
      </c>
      <c r="H8" s="305">
        <f>10.44</f>
        <v>10.44</v>
      </c>
      <c r="I8">
        <f>2.95</f>
        <v>2.95</v>
      </c>
      <c r="J8" s="305"/>
      <c r="L8" s="305">
        <f>27.27+35.46</f>
        <v>62.730000000000004</v>
      </c>
      <c r="M8">
        <f>28.95+10.75</f>
        <v>39.700000000000003</v>
      </c>
      <c r="N8" s="305"/>
      <c r="O8" s="274">
        <f>SUM(E8:F8)-SUM(G8:N8)</f>
        <v>3.8300000000000125</v>
      </c>
      <c r="P8" s="274" t="str">
        <f t="shared" si="0"/>
        <v>Pet Food + Treats</v>
      </c>
      <c r="Q8" s="282">
        <f t="shared" si="1"/>
        <v>0</v>
      </c>
    </row>
    <row r="9" spans="1:20" ht="15" customHeight="1" outlineLevel="1">
      <c r="B9" s="734"/>
      <c r="C9" s="734"/>
      <c r="D9" s="201" t="s">
        <v>595</v>
      </c>
      <c r="E9" s="365">
        <v>0</v>
      </c>
      <c r="F9" s="365">
        <f>452.64</f>
        <v>452.64</v>
      </c>
      <c r="H9" s="305"/>
      <c r="J9" s="305"/>
      <c r="L9" s="305"/>
      <c r="M9">
        <f>452.64</f>
        <v>452.64</v>
      </c>
      <c r="N9" s="305"/>
      <c r="O9" s="274">
        <f t="shared" ref="O9:O21" si="2">SUM(E9:F9)-SUM(G9:N9)</f>
        <v>0</v>
      </c>
      <c r="P9" s="274" t="str">
        <f t="shared" si="0"/>
        <v>Mortgage</v>
      </c>
      <c r="Q9" s="282">
        <f t="shared" si="1"/>
        <v>0</v>
      </c>
    </row>
    <row r="10" spans="1:20" ht="15" customHeight="1" outlineLevel="1">
      <c r="B10" s="734"/>
      <c r="C10" s="734"/>
      <c r="D10" s="201" t="s">
        <v>596</v>
      </c>
      <c r="E10" s="365">
        <v>0</v>
      </c>
      <c r="F10" s="365">
        <v>135</v>
      </c>
      <c r="H10" s="305"/>
      <c r="J10" s="305"/>
      <c r="L10" s="305"/>
      <c r="M10">
        <f>135</f>
        <v>135</v>
      </c>
      <c r="N10" s="305"/>
      <c r="O10" s="274">
        <f t="shared" si="2"/>
        <v>0</v>
      </c>
      <c r="P10" s="274" t="str">
        <f t="shared" si="0"/>
        <v>Council tax</v>
      </c>
      <c r="Q10" s="282">
        <f t="shared" si="1"/>
        <v>0</v>
      </c>
    </row>
    <row r="11" spans="1:20" ht="15" customHeight="1" outlineLevel="1">
      <c r="B11" s="734"/>
      <c r="C11" s="734"/>
      <c r="D11" s="201" t="s">
        <v>1002</v>
      </c>
      <c r="E11" s="365">
        <v>0</v>
      </c>
      <c r="F11" s="365">
        <f>23+55+1</f>
        <v>79</v>
      </c>
      <c r="H11" s="305"/>
      <c r="I11">
        <f>1+55</f>
        <v>56</v>
      </c>
      <c r="J11" s="305"/>
      <c r="L11" s="305"/>
      <c r="M11">
        <f>23</f>
        <v>23</v>
      </c>
      <c r="N11" s="305"/>
      <c r="O11" s="274">
        <f t="shared" si="2"/>
        <v>0</v>
      </c>
      <c r="P11" s="274" t="str">
        <f t="shared" si="0"/>
        <v>Utilities (G,W,E,HTB)</v>
      </c>
      <c r="Q11" s="282">
        <f t="shared" si="1"/>
        <v>0</v>
      </c>
    </row>
    <row r="12" spans="1:20" ht="15" customHeight="1" outlineLevel="1">
      <c r="B12" s="734"/>
      <c r="C12" s="734"/>
      <c r="D12" s="201" t="s">
        <v>996</v>
      </c>
      <c r="E12" s="365">
        <v>13.07</v>
      </c>
      <c r="F12" s="365">
        <f>13.07</f>
        <v>13.07</v>
      </c>
      <c r="G12">
        <f>13.07</f>
        <v>13.07</v>
      </c>
      <c r="H12" s="305"/>
      <c r="J12" s="305"/>
      <c r="L12" s="305"/>
      <c r="N12" s="305"/>
      <c r="O12" s="274">
        <f t="shared" si="2"/>
        <v>13.07</v>
      </c>
      <c r="P12" s="274" t="str">
        <f t="shared" si="0"/>
        <v>Home Insurance</v>
      </c>
      <c r="Q12" s="282">
        <f t="shared" si="1"/>
        <v>0</v>
      </c>
    </row>
    <row r="13" spans="1:20" ht="15" customHeight="1" outlineLevel="1">
      <c r="B13" s="734"/>
      <c r="C13" s="734"/>
      <c r="D13" s="201" t="s">
        <v>359</v>
      </c>
      <c r="E13" s="365">
        <v>22</v>
      </c>
      <c r="F13" s="365">
        <f>11</f>
        <v>11</v>
      </c>
      <c r="H13" s="305"/>
      <c r="J13" s="305"/>
      <c r="L13" s="305"/>
      <c r="M13">
        <f>41</f>
        <v>41</v>
      </c>
      <c r="N13" s="305"/>
      <c r="O13" s="274">
        <f t="shared" si="2"/>
        <v>-8</v>
      </c>
      <c r="P13" s="274" t="str">
        <f t="shared" si="0"/>
        <v>TV License</v>
      </c>
      <c r="Q13" s="282">
        <f t="shared" si="1"/>
        <v>8</v>
      </c>
    </row>
    <row r="14" spans="1:20" ht="15" customHeight="1" outlineLevel="1">
      <c r="B14" s="734"/>
      <c r="C14" s="734"/>
      <c r="D14" s="201" t="s">
        <v>1056</v>
      </c>
      <c r="E14" s="365">
        <v>0</v>
      </c>
      <c r="F14" s="365">
        <f>8+36.79+16.6</f>
        <v>61.39</v>
      </c>
      <c r="H14" s="305"/>
      <c r="I14">
        <f>16.6</f>
        <v>16.600000000000001</v>
      </c>
      <c r="J14" s="305"/>
      <c r="L14" s="305"/>
      <c r="M14">
        <f>8+36.79</f>
        <v>44.79</v>
      </c>
      <c r="N14" s="305"/>
      <c r="O14" s="274">
        <f>SUM(E14:F14)-SUM(H14:N14)</f>
        <v>0</v>
      </c>
      <c r="P14" s="274" t="str">
        <f t="shared" si="0"/>
        <v>Pet Health / Insurance</v>
      </c>
      <c r="Q14" s="282">
        <f t="shared" si="1"/>
        <v>0</v>
      </c>
    </row>
    <row r="15" spans="1:20" ht="15" customHeight="1" outlineLevel="1">
      <c r="B15" s="734"/>
      <c r="C15" s="734"/>
      <c r="D15" s="201" t="s">
        <v>1057</v>
      </c>
      <c r="E15" s="365">
        <v>0</v>
      </c>
      <c r="F15" s="365">
        <f>4.52+15.97+8.56</f>
        <v>29.050000000000004</v>
      </c>
      <c r="H15" s="305"/>
      <c r="I15" s="11">
        <f>29.05</f>
        <v>29.05</v>
      </c>
      <c r="J15" s="305"/>
      <c r="L15" s="305"/>
      <c r="N15" s="305"/>
      <c r="O15" s="274">
        <f t="shared" si="2"/>
        <v>0</v>
      </c>
      <c r="P15" s="274" t="str">
        <f t="shared" si="0"/>
        <v>Life / Income Insurance</v>
      </c>
      <c r="Q15" s="282">
        <f t="shared" si="1"/>
        <v>0</v>
      </c>
    </row>
    <row r="16" spans="1:20" ht="15" customHeight="1" outlineLevel="1">
      <c r="B16" s="734"/>
      <c r="C16" s="734"/>
      <c r="D16" s="201" t="s">
        <v>602</v>
      </c>
      <c r="E16" s="365">
        <v>26</v>
      </c>
      <c r="F16" s="365">
        <v>26</v>
      </c>
      <c r="G16">
        <f>26</f>
        <v>26</v>
      </c>
      <c r="H16" s="305"/>
      <c r="J16" s="305"/>
      <c r="L16" s="305"/>
      <c r="N16" s="305"/>
      <c r="O16" s="274">
        <f>SUM(E16:F16)-SUM(G16:N16)</f>
        <v>26</v>
      </c>
      <c r="P16" s="274" t="str">
        <f t="shared" si="0"/>
        <v>Broadband / TV</v>
      </c>
      <c r="Q16" s="282">
        <f t="shared" si="1"/>
        <v>0</v>
      </c>
    </row>
    <row r="17" spans="2:17" ht="15" customHeight="1" outlineLevel="1">
      <c r="B17" s="734"/>
      <c r="C17" s="734"/>
      <c r="D17" s="201" t="s">
        <v>582</v>
      </c>
      <c r="E17" s="365">
        <v>0</v>
      </c>
      <c r="F17" s="365">
        <v>7.99</v>
      </c>
      <c r="H17" s="305"/>
      <c r="J17" s="305"/>
      <c r="K17">
        <f>7.99</f>
        <v>7.99</v>
      </c>
      <c r="L17" s="305"/>
      <c r="N17" s="305"/>
      <c r="O17" s="274">
        <f>SUM(E17:F17)-SUM(G17:N17)</f>
        <v>0</v>
      </c>
      <c r="P17" s="274" t="str">
        <f t="shared" si="0"/>
        <v>Onedrive (6th)</v>
      </c>
      <c r="Q17" s="282">
        <f t="shared" si="1"/>
        <v>0</v>
      </c>
    </row>
    <row r="18" spans="2:17" ht="15" customHeight="1" outlineLevel="1">
      <c r="B18" s="734"/>
      <c r="C18" s="734"/>
      <c r="D18" s="201" t="s">
        <v>788</v>
      </c>
      <c r="E18" s="365">
        <v>0</v>
      </c>
      <c r="F18" s="365">
        <v>10.56</v>
      </c>
      <c r="H18" s="305"/>
      <c r="I18">
        <f>13.69</f>
        <v>13.69</v>
      </c>
      <c r="J18" s="305"/>
      <c r="L18" s="305"/>
      <c r="N18" s="305"/>
      <c r="O18" s="274">
        <f>SUM(E18:F18)-SUM(H18:N18)</f>
        <v>-3.129999999999999</v>
      </c>
      <c r="P18" s="274" t="str">
        <f t="shared" si="0"/>
        <v>Matt Phone</v>
      </c>
      <c r="Q18" s="282">
        <f t="shared" si="1"/>
        <v>3.129999999999999</v>
      </c>
    </row>
    <row r="19" spans="2:17" ht="15" customHeight="1" outlineLevel="1">
      <c r="B19" s="734"/>
      <c r="C19" s="734"/>
      <c r="D19" s="201" t="s">
        <v>985</v>
      </c>
      <c r="E19" s="365">
        <v>0</v>
      </c>
      <c r="F19" s="365">
        <f>28.87+50.08+75.88</f>
        <v>154.82999999999998</v>
      </c>
      <c r="H19" s="305"/>
      <c r="I19">
        <f>28.87+50.08+75.88</f>
        <v>154.82999999999998</v>
      </c>
      <c r="J19" s="305"/>
      <c r="L19" s="305"/>
      <c r="N19" s="305"/>
      <c r="O19" s="274">
        <f>SUM(E19:F19)-SUM(H19:N19)</f>
        <v>0</v>
      </c>
      <c r="P19" s="274" t="str">
        <f t="shared" si="0"/>
        <v>Car Tax / Insurance</v>
      </c>
      <c r="Q19" s="282">
        <f t="shared" si="1"/>
        <v>0</v>
      </c>
    </row>
    <row r="20" spans="2:17" ht="15" customHeight="1" outlineLevel="1">
      <c r="B20" s="734"/>
      <c r="C20" s="734"/>
      <c r="D20" s="201" t="s">
        <v>944</v>
      </c>
      <c r="E20" s="365">
        <v>0</v>
      </c>
      <c r="F20" s="365">
        <v>15</v>
      </c>
      <c r="H20" s="305"/>
      <c r="I20">
        <v>15</v>
      </c>
      <c r="J20" s="305"/>
      <c r="L20" s="305"/>
      <c r="N20" s="305"/>
      <c r="O20" s="274">
        <f>SUM(E20:F20)-SUM(H20:N20)</f>
        <v>0</v>
      </c>
      <c r="P20" s="274" t="str">
        <f t="shared" si="0"/>
        <v>Windows</v>
      </c>
      <c r="Q20" s="282">
        <f t="shared" si="1"/>
        <v>0</v>
      </c>
    </row>
    <row r="21" spans="2:17" ht="15" customHeight="1" outlineLevel="1">
      <c r="B21" s="734"/>
      <c r="C21" s="734"/>
      <c r="D21" s="293" t="s">
        <v>920</v>
      </c>
      <c r="E21" s="365">
        <v>0</v>
      </c>
      <c r="F21" s="277">
        <f>179.07</f>
        <v>179.07</v>
      </c>
      <c r="H21" s="305"/>
      <c r="J21" s="305"/>
      <c r="L21" s="305"/>
      <c r="M21">
        <f>179.07</f>
        <v>179.07</v>
      </c>
      <c r="N21" s="305"/>
      <c r="O21" s="274">
        <f t="shared" si="2"/>
        <v>0</v>
      </c>
      <c r="P21" s="274" t="str">
        <f t="shared" si="0"/>
        <v>Finance</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",G42*0.2," / Actual = ",D24," (",ROUND((D24/G42)*100,2),")")</f>
        <v>Savings - 20 - 1072.36 / Actual = 434.99 (8.11)</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434.99</v>
      </c>
      <c r="E24" s="759"/>
      <c r="F24" s="319"/>
      <c r="H24" s="305"/>
      <c r="J24" s="305"/>
      <c r="L24" s="305"/>
      <c r="N24" s="305"/>
      <c r="O24" s="285">
        <f>SUMIF(O25:O29,"&gt;0")</f>
        <v>310.25000000000097</v>
      </c>
      <c r="P24" s="285" t="s">
        <v>895</v>
      </c>
      <c r="Q24" s="282">
        <f>SUM(Q26:Q26)</f>
        <v>0</v>
      </c>
    </row>
    <row r="25" spans="2:17" ht="15" customHeight="1" outlineLevel="1">
      <c r="B25" s="7" t="str">
        <f>"20% : " &amp; E$42*0.2</f>
        <v>20% : 4186.696</v>
      </c>
      <c r="C25" s="7" t="str">
        <f>"20% : " &amp; E$42*0.2</f>
        <v>20% : 4186.696</v>
      </c>
      <c r="D25" s="300" t="s">
        <v>590</v>
      </c>
      <c r="E25" s="365">
        <v>146.04</v>
      </c>
      <c r="F25" s="365">
        <f>50+14.99</f>
        <v>64.989999999999995</v>
      </c>
      <c r="H25" s="305"/>
      <c r="J25" s="305"/>
      <c r="L25" s="315"/>
      <c r="M25">
        <f>30</f>
        <v>30</v>
      </c>
      <c r="N25" s="305"/>
      <c r="O25" s="274">
        <f>SUM(E25:F25)-SUM(G25:N25)-Q42</f>
        <v>35.520000000000948</v>
      </c>
      <c r="P25" s="274" t="str">
        <f t="shared" ref="P25:P29" si="3">D25</f>
        <v>Contingency</v>
      </c>
      <c r="Q25" s="282">
        <f>SUM(Q26:Q30)</f>
        <v>0</v>
      </c>
    </row>
    <row r="26" spans="2:17" ht="15" customHeight="1" outlineLevel="1">
      <c r="B26" s="7"/>
      <c r="C26" s="7"/>
      <c r="D26" s="300" t="s">
        <v>998</v>
      </c>
      <c r="E26" s="365">
        <v>267.3</v>
      </c>
      <c r="F26" s="365">
        <f>50+20</f>
        <v>70</v>
      </c>
      <c r="G26" s="11"/>
      <c r="H26" s="306"/>
      <c r="I26">
        <f>211.81</f>
        <v>211.81</v>
      </c>
      <c r="J26" s="305"/>
      <c r="L26" s="305"/>
      <c r="N26" s="305"/>
      <c r="O26" s="274">
        <f>SUM(E26:F26)-SUM(G26:N26)</f>
        <v>125.49000000000001</v>
      </c>
      <c r="P26" s="274" t="str">
        <f t="shared" si="3"/>
        <v>Cars (Service / MOT)</v>
      </c>
      <c r="Q26" s="282">
        <f t="shared" ref="Q26:Q29" si="4">IF(O26&lt;0,O26*-1,0)</f>
        <v>0</v>
      </c>
    </row>
    <row r="27" spans="2:17" ht="15" customHeight="1" outlineLevel="1">
      <c r="B27" s="7"/>
      <c r="C27" s="7"/>
      <c r="D27" s="300" t="s">
        <v>999</v>
      </c>
      <c r="E27" s="365">
        <v>300</v>
      </c>
      <c r="F27" s="365">
        <v>300</v>
      </c>
      <c r="G27" s="11"/>
      <c r="H27" s="306"/>
      <c r="J27" s="305">
        <f>120.94+10.15+25.81+12</f>
        <v>168.9</v>
      </c>
      <c r="L27" s="305">
        <f>23.99+12.1+3.25+6.5+24+17.97+6.75</f>
        <v>94.56</v>
      </c>
      <c r="M27">
        <f>6.75+9.3+15.8+16.19+40+7.5+10.9+17.4+5.7+9.17+13.24+20+15.35</f>
        <v>187.29999999999998</v>
      </c>
      <c r="N27" s="305"/>
      <c r="O27" s="274">
        <f t="shared" ref="O27:O29" si="5">SUM(E27:F27)-SUM(G27:N27)</f>
        <v>149.24</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v>1083.08</v>
      </c>
      <c r="F29" s="365">
        <v>0</v>
      </c>
      <c r="G29" s="11">
        <v>1083.08</v>
      </c>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",G42*0.3," / Actual = ",D32," (",ROUND((D32/G42)*100,2),")")</f>
        <v>Wants - 30 - 1608.54 / Actual = 3160.21 (58.94)</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(E$42-D5-D24-E41)</f>
        <v>3160.2100000000009</v>
      </c>
      <c r="E32" s="727"/>
      <c r="F32" s="319">
        <f>SUM(F33:F38)</f>
        <v>3141.2100000000009</v>
      </c>
      <c r="H32" s="305"/>
      <c r="J32" s="305"/>
      <c r="L32" s="305"/>
      <c r="N32" s="305"/>
      <c r="O32" s="285">
        <f>SUMIF(O33:O37,"&gt;0")</f>
        <v>9416.7799999999988</v>
      </c>
      <c r="P32" s="285" t="s">
        <v>899</v>
      </c>
      <c r="Q32" s="282">
        <f>SUM(Q33:Q38)</f>
        <v>1.0099999999990814</v>
      </c>
    </row>
    <row r="33" spans="2:19" ht="15" customHeight="1" outlineLevel="1">
      <c r="B33" s="734"/>
      <c r="C33" s="760"/>
      <c r="D33" s="300" t="s">
        <v>1036</v>
      </c>
      <c r="E33" s="365">
        <v>801.33</v>
      </c>
      <c r="F33" s="365">
        <f>140</f>
        <v>140</v>
      </c>
      <c r="H33" s="305"/>
      <c r="J33" s="305"/>
      <c r="L33" s="305"/>
      <c r="N33" s="305"/>
      <c r="O33" s="274">
        <f t="shared" ref="O33:O35" si="6">SUM(E33:F33)-SUM(G33:N33)</f>
        <v>941.33</v>
      </c>
      <c r="P33" s="274" t="str">
        <f>D33</f>
        <v>Eye Surgery</v>
      </c>
      <c r="Q33" s="282">
        <f t="shared" ref="Q33:Q36" si="7">IF(O33&lt;0,O33*-1,0)</f>
        <v>0</v>
      </c>
      <c r="R33" s="11"/>
      <c r="S33" s="11"/>
    </row>
    <row r="34" spans="2:19" ht="15" customHeight="1" outlineLevel="1">
      <c r="B34" s="734"/>
      <c r="C34" s="760"/>
      <c r="D34" s="300" t="s">
        <v>354</v>
      </c>
      <c r="E34" s="365">
        <v>0</v>
      </c>
      <c r="F34" s="365">
        <f>100+388.5</f>
        <v>488.5</v>
      </c>
      <c r="G34">
        <f>281.4</f>
        <v>281.39999999999998</v>
      </c>
      <c r="H34" s="305"/>
      <c r="J34" s="305"/>
      <c r="L34" s="305"/>
      <c r="N34" s="305"/>
      <c r="O34" s="274">
        <f>SUM(E34:F34)-SUM(G34:N34)</f>
        <v>207.10000000000002</v>
      </c>
      <c r="P34" s="274" t="str">
        <f t="shared" ref="P34:P40" si="8">D34</f>
        <v>Holiday</v>
      </c>
      <c r="Q34" s="282">
        <f t="shared" si="7"/>
        <v>0</v>
      </c>
      <c r="R34" s="11"/>
      <c r="S34" s="11"/>
    </row>
    <row r="35" spans="2:19" ht="15" customHeight="1" outlineLevel="1">
      <c r="B35" s="734"/>
      <c r="C35" s="760"/>
      <c r="D35" s="300" t="s">
        <v>170</v>
      </c>
      <c r="E35" s="365">
        <v>611.49</v>
      </c>
      <c r="F35" s="365">
        <f>250-30</f>
        <v>220</v>
      </c>
      <c r="H35" s="305"/>
      <c r="I35">
        <f>10+20</f>
        <v>30</v>
      </c>
      <c r="J35" s="305"/>
      <c r="K35">
        <f>20+5.38</f>
        <v>25.38</v>
      </c>
      <c r="L35" s="305">
        <f>42+7.5</f>
        <v>49.5</v>
      </c>
      <c r="N35" s="305"/>
      <c r="O35" s="274">
        <f t="shared" si="6"/>
        <v>726.61</v>
      </c>
      <c r="P35" s="274" t="str">
        <f t="shared" si="8"/>
        <v>Gift Fund</v>
      </c>
      <c r="Q35" s="282">
        <f t="shared" si="7"/>
        <v>0</v>
      </c>
      <c r="R35" s="11"/>
      <c r="S35" s="11"/>
    </row>
    <row r="36" spans="2:19" ht="15" customHeight="1" outlineLevel="1">
      <c r="B36" s="734"/>
      <c r="C36" s="760"/>
      <c r="D36" s="300" t="s">
        <v>812</v>
      </c>
      <c r="E36" s="365">
        <v>12257.47</v>
      </c>
      <c r="F36" s="365">
        <f>800+1000+30+10</f>
        <v>1840</v>
      </c>
      <c r="H36" s="305"/>
      <c r="J36" s="305">
        <f>515</f>
        <v>515</v>
      </c>
      <c r="K36">
        <f>495.6</f>
        <v>495.6</v>
      </c>
      <c r="L36" s="305"/>
      <c r="M36">
        <f>5545.13</f>
        <v>5545.13</v>
      </c>
      <c r="N36" s="305"/>
      <c r="O36" s="274">
        <f>SUM(E36:F36)-SUM(G36:N36)-O39</f>
        <v>7541.7399999999989</v>
      </c>
      <c r="P36" s="274" t="str">
        <f t="shared" si="8"/>
        <v>Wedding</v>
      </c>
      <c r="Q36" s="282">
        <f t="shared" si="7"/>
        <v>0</v>
      </c>
      <c r="R36" s="11"/>
      <c r="S36" s="349"/>
    </row>
    <row r="37" spans="2:19" ht="15.75" customHeight="1" outlineLevel="1">
      <c r="B37" s="734"/>
      <c r="C37" s="760"/>
      <c r="D37" s="13" t="s">
        <v>781</v>
      </c>
      <c r="E37" s="365">
        <v>0</v>
      </c>
      <c r="F37" s="365">
        <f>13+2+10+5.99+5.99+5.99+10.99</f>
        <v>53.960000000000008</v>
      </c>
      <c r="G37">
        <v>13</v>
      </c>
      <c r="H37" s="305"/>
      <c r="I37">
        <f>2+10.99</f>
        <v>12.99</v>
      </c>
      <c r="J37" s="305"/>
      <c r="K37">
        <f>5.99+10+5.99</f>
        <v>21.98</v>
      </c>
      <c r="L37" s="305"/>
      <c r="M37">
        <f>5.99</f>
        <v>5.99</v>
      </c>
      <c r="N37" s="305"/>
      <c r="O37" s="274">
        <f t="shared" ref="O37:O40" si="9">SUM(E37:F37)-SUM(G37:N37)</f>
        <v>0</v>
      </c>
      <c r="P37" s="274" t="str">
        <f t="shared" si="8"/>
        <v>Subscriptions</v>
      </c>
      <c r="Q37" s="282">
        <f>IF(O37&lt;0,O37*-1,0)</f>
        <v>0</v>
      </c>
      <c r="S37" s="349"/>
    </row>
    <row r="38" spans="2:19" ht="18" outlineLevel="1">
      <c r="B38" s="734"/>
      <c r="C38" s="760"/>
      <c r="D38" s="13" t="s">
        <v>922</v>
      </c>
      <c r="E38" s="365">
        <v>0</v>
      </c>
      <c r="F38" s="365">
        <f>(D32-SUM(F33:F37))-F40</f>
        <v>398.75000000000091</v>
      </c>
      <c r="G38">
        <f>8.3+9.08+2.85+9.7+11.8+12.45+3+3+5+5.57+6.48+10.1+13+8.7+20</f>
        <v>129.03</v>
      </c>
      <c r="H38" s="305">
        <f>17.84+24.3+8</f>
        <v>50.14</v>
      </c>
      <c r="I38">
        <f>2+2.95+24+29.35+40</f>
        <v>98.3</v>
      </c>
      <c r="J38" s="305">
        <f>68</f>
        <v>68</v>
      </c>
      <c r="K38">
        <f>12.85+5.45+15+20.99</f>
        <v>54.289999999999992</v>
      </c>
      <c r="L38" s="305"/>
      <c r="N38" s="305"/>
      <c r="O38" s="274">
        <f>SUM(E38:F38)-SUM(G38:N38)</f>
        <v>-1.0099999999990814</v>
      </c>
      <c r="P38" s="274" t="str">
        <f t="shared" si="8"/>
        <v>Matt Fun</v>
      </c>
      <c r="Q38" s="282">
        <f>IF(SUM(E38:F38)-SUM(G38:N38)&lt;=0,(SUM(E38:F38)-SUM(G38:N38))*-1,0)</f>
        <v>1.0099999999990814</v>
      </c>
    </row>
    <row r="39" spans="2:19" ht="18" outlineLevel="1">
      <c r="B39" s="7"/>
      <c r="C39" s="284"/>
      <c r="D39" s="13" t="s">
        <v>1025</v>
      </c>
      <c r="E39" s="365">
        <v>0</v>
      </c>
      <c r="F39" s="365">
        <v>0</v>
      </c>
      <c r="H39" s="305"/>
      <c r="J39" s="305"/>
      <c r="L39" s="305"/>
      <c r="N39" s="305"/>
      <c r="O39" s="274">
        <f>SUM(G39:N39)</f>
        <v>0</v>
      </c>
      <c r="P39" s="274" t="str">
        <f t="shared" si="8"/>
        <v>Work Expenses</v>
      </c>
      <c r="Q39" s="333"/>
      <c r="S39" s="11"/>
    </row>
    <row r="40" spans="2:19" ht="18" outlineLevel="1">
      <c r="B40" s="7"/>
      <c r="C40" s="284"/>
      <c r="D40" s="13" t="s">
        <v>152</v>
      </c>
      <c r="E40" s="365">
        <v>0</v>
      </c>
      <c r="F40" s="365">
        <f>19</f>
        <v>19</v>
      </c>
      <c r="G40">
        <f>18.99</f>
        <v>18.989999999999998</v>
      </c>
      <c r="H40" s="305"/>
      <c r="J40" s="305"/>
      <c r="L40" s="305"/>
      <c r="N40" s="305"/>
      <c r="O40" s="274">
        <f t="shared" si="9"/>
        <v>1.0000000000001563E-2</v>
      </c>
      <c r="P40" s="274" t="str">
        <f t="shared" si="8"/>
        <v>Kris</v>
      </c>
      <c r="Q40" s="271">
        <f>IF(F40-SUM(G40:N40)&lt;=0,(F40-SUM(G40:N40))*-1,0)</f>
        <v>0</v>
      </c>
    </row>
    <row r="41" spans="2:19">
      <c r="B41" s="118"/>
      <c r="C41" s="118"/>
      <c r="E41" s="365">
        <f>SUM(E33:E40)+SUM(E25:E29)+SUM(E6:E21)</f>
        <v>15528.679999999998</v>
      </c>
      <c r="F41" s="365"/>
      <c r="H41" s="7" t="s">
        <v>986</v>
      </c>
      <c r="J41" s="7" t="s">
        <v>986</v>
      </c>
      <c r="L41" s="7" t="s">
        <v>986</v>
      </c>
      <c r="N41" s="7"/>
      <c r="O41" s="273"/>
      <c r="P41" s="273"/>
      <c r="Q41" s="282"/>
    </row>
    <row r="42" spans="2:19" ht="18">
      <c r="B42" s="728" t="s">
        <v>817</v>
      </c>
      <c r="C42" s="728"/>
      <c r="D42" s="728"/>
      <c r="E42" s="375">
        <f>G42+I42+K42+M42+N42+E41</f>
        <v>20933.48</v>
      </c>
      <c r="F42" s="379"/>
      <c r="G42" s="271">
        <f>3769.3+1130+5+19+388.5+50</f>
        <v>5361.8</v>
      </c>
      <c r="H42" s="271"/>
      <c r="I42" s="271"/>
      <c r="J42" s="271"/>
      <c r="K42" s="271">
        <f>34+9</f>
        <v>43</v>
      </c>
      <c r="L42" s="271"/>
      <c r="M42" s="271"/>
      <c r="N42" s="271"/>
      <c r="O42" s="314" t="str">
        <f>"£" &amp; ROUND(O5+O32+O24+IF(O38&lt;0,0,O38)+O40+O4,2) &amp; " / " &amp; "£" &amp; E42</f>
        <v>£9769.94 / £20933.48</v>
      </c>
      <c r="P42" s="274"/>
      <c r="Q42" s="282">
        <f>SUM(Q32,Q24,Q5)</f>
        <v>145.50999999999902</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991</v>
      </c>
      <c r="O45" s="316">
        <v>44425</v>
      </c>
      <c r="P45" s="7">
        <f ca="1">DATEDIF(O45,NOW(),"d")</f>
        <v>1826</v>
      </c>
      <c r="Q45">
        <v>17.399999999999999</v>
      </c>
      <c r="R45" t="s">
        <v>1069</v>
      </c>
    </row>
    <row r="46" spans="2:19">
      <c r="B46" s="365"/>
      <c r="C46" s="38"/>
      <c r="E46" s="11"/>
      <c r="F46" s="11">
        <f>1750-O33</f>
        <v>808.67</v>
      </c>
      <c r="G46" s="243"/>
      <c r="H46" s="243"/>
      <c r="K46" s="214"/>
      <c r="L46" s="214"/>
      <c r="N46" s="322" t="s">
        <v>992</v>
      </c>
      <c r="O46" s="42">
        <v>44425</v>
      </c>
      <c r="P46" s="7">
        <f ca="1">DATEDIF(O46,NOW(),"d")</f>
        <v>1826</v>
      </c>
      <c r="Q46">
        <v>23.99</v>
      </c>
      <c r="R46" t="s">
        <v>1070</v>
      </c>
    </row>
    <row r="47" spans="2:19">
      <c r="E47" s="365"/>
      <c r="F47" s="365">
        <f>F46-150</f>
        <v>658.67</v>
      </c>
      <c r="G47" s="11"/>
      <c r="H47" s="11"/>
      <c r="L47" s="347"/>
      <c r="O47"/>
      <c r="P47"/>
    </row>
    <row r="48" spans="2:19" ht="16.2" customHeight="1">
      <c r="E48" s="365"/>
      <c r="F48" s="365"/>
      <c r="G48" s="11"/>
      <c r="J48" s="332"/>
      <c r="K48" s="332" t="s">
        <v>1071</v>
      </c>
      <c r="L48" s="332"/>
      <c r="M48" s="332"/>
      <c r="N48" s="212"/>
      <c r="O48" s="212"/>
      <c r="P48" s="212"/>
    </row>
    <row r="49" spans="2:17">
      <c r="B49" s="378"/>
      <c r="E49"/>
      <c r="F49" s="38"/>
      <c r="G49" s="11"/>
      <c r="H49" s="11"/>
      <c r="J49" s="11"/>
      <c r="K49" s="56"/>
      <c r="L49" s="56"/>
      <c r="M49" s="365"/>
      <c r="N49" s="56"/>
      <c r="O49" s="243"/>
      <c r="P49" s="56"/>
    </row>
    <row r="50" spans="2:17">
      <c r="E50"/>
      <c r="F50" s="38"/>
      <c r="G50" s="11"/>
      <c r="H50" s="11"/>
      <c r="J50" s="11"/>
      <c r="K50" s="56">
        <f>2.95+58.64+4.8</f>
        <v>66.39</v>
      </c>
      <c r="L50" s="243"/>
      <c r="M50" s="365"/>
      <c r="N50" s="56"/>
      <c r="O50" s="11"/>
      <c r="P50"/>
    </row>
    <row r="51" spans="2:17">
      <c r="E51" s="365"/>
      <c r="F51" s="365"/>
      <c r="G51" s="38"/>
      <c r="H51" s="38"/>
      <c r="J51" s="11"/>
      <c r="K51" s="243">
        <f>597.8-K50</f>
        <v>531.41</v>
      </c>
      <c r="M51" s="365"/>
      <c r="N51" s="56"/>
      <c r="O51" s="284"/>
      <c r="P51" s="212"/>
      <c r="Q51" s="212"/>
    </row>
    <row r="52" spans="2:17">
      <c r="E52" s="11"/>
      <c r="F52" s="11"/>
      <c r="G52" s="11"/>
      <c r="H52" s="38"/>
      <c r="J52" s="11"/>
      <c r="M52" s="365"/>
      <c r="N52" s="56"/>
      <c r="O52" s="56"/>
      <c r="P52" s="56"/>
      <c r="Q52" s="38"/>
    </row>
    <row r="53" spans="2:17">
      <c r="E53" s="365"/>
      <c r="F53" s="214"/>
      <c r="G53" s="11"/>
      <c r="H53" s="38"/>
      <c r="J53" s="11"/>
      <c r="N53" s="56"/>
    </row>
    <row r="54" spans="2:17">
      <c r="E54" s="214"/>
      <c r="F54" s="214"/>
      <c r="G54" s="11"/>
      <c r="H54" s="38"/>
      <c r="I54" s="11"/>
      <c r="J54" s="11"/>
      <c r="M54" s="365"/>
      <c r="N54" s="764"/>
    </row>
    <row r="55" spans="2:17">
      <c r="E55" s="365"/>
      <c r="F55" s="365"/>
      <c r="G55" s="11"/>
      <c r="H55" s="38"/>
      <c r="I55" s="11"/>
      <c r="J55" s="11"/>
      <c r="N55" s="765"/>
      <c r="O55" s="275"/>
      <c r="P55" s="275"/>
    </row>
    <row r="56" spans="2:17">
      <c r="B56" s="11"/>
      <c r="E56" s="365"/>
      <c r="F56" s="365"/>
      <c r="G56" s="11"/>
      <c r="H56" s="38"/>
      <c r="I56" s="11"/>
      <c r="J56" s="11"/>
      <c r="N56" s="765"/>
    </row>
    <row r="57" spans="2:17" ht="14.4">
      <c r="B57" s="11"/>
      <c r="E57" s="351"/>
      <c r="F57"/>
      <c r="G57" s="11"/>
      <c r="H57" s="38"/>
      <c r="I57" s="11"/>
      <c r="J57" s="11"/>
      <c r="L57" s="79"/>
      <c r="M57" s="726"/>
      <c r="N57" s="726"/>
      <c r="O57" s="726"/>
      <c r="P57" s="726"/>
    </row>
    <row r="58" spans="2:17">
      <c r="E58"/>
      <c r="F58"/>
      <c r="G58" s="11"/>
      <c r="H58" s="38"/>
      <c r="I58" s="11"/>
      <c r="N58" s="278"/>
      <c r="O58" s="212"/>
      <c r="P58" s="212"/>
    </row>
    <row r="59" spans="2:17">
      <c r="B59" s="212"/>
      <c r="C59" s="212"/>
      <c r="E59" s="243"/>
      <c r="F59"/>
      <c r="G59" s="11"/>
      <c r="H59" s="38"/>
      <c r="I59" s="11"/>
      <c r="J59" s="349"/>
      <c r="N59" s="376"/>
      <c r="O59" s="214"/>
      <c r="P59" s="214"/>
    </row>
    <row r="60" spans="2:17">
      <c r="C60" s="56"/>
      <c r="D60" s="243"/>
      <c r="E60"/>
      <c r="F60"/>
      <c r="G60" s="11"/>
      <c r="H60" s="38"/>
      <c r="I60" s="11"/>
      <c r="N60" s="365"/>
      <c r="O60"/>
      <c r="P60"/>
    </row>
    <row r="61" spans="2:17">
      <c r="C61" s="56"/>
      <c r="E61"/>
      <c r="F61"/>
      <c r="H61" s="38"/>
      <c r="I61" s="11"/>
      <c r="J61" s="349"/>
      <c r="N61" s="278"/>
      <c r="O61" s="212"/>
      <c r="P61" s="212"/>
    </row>
    <row r="62" spans="2:17">
      <c r="C62" s="56"/>
      <c r="D62" s="56"/>
      <c r="E62"/>
      <c r="F62"/>
      <c r="H62" s="38"/>
      <c r="I62" s="11"/>
      <c r="N62" s="365"/>
      <c r="O62" s="56"/>
      <c r="P62" s="56"/>
    </row>
    <row r="63" spans="2:17">
      <c r="C63" s="56"/>
      <c r="E63"/>
      <c r="F63"/>
      <c r="H63" s="38"/>
      <c r="I63" s="11"/>
      <c r="N63" s="365"/>
      <c r="O63"/>
      <c r="P63"/>
    </row>
    <row r="64" spans="2:17">
      <c r="C64" s="56"/>
      <c r="E64"/>
      <c r="F64"/>
      <c r="H64" s="38"/>
      <c r="I64" s="11"/>
      <c r="N64" s="278"/>
      <c r="O64" s="212"/>
      <c r="P64" s="212"/>
    </row>
    <row r="65" spans="2:16">
      <c r="C65" s="56"/>
      <c r="E65"/>
      <c r="F65"/>
      <c r="H65" s="38"/>
      <c r="I65" s="11"/>
      <c r="N65" s="365"/>
      <c r="O65" s="38"/>
      <c r="P65" s="56"/>
    </row>
    <row r="66" spans="2:16" ht="14.4">
      <c r="C66" s="56"/>
      <c r="E66"/>
      <c r="F66"/>
      <c r="H66" s="38"/>
      <c r="I66" s="11"/>
      <c r="O66"/>
    </row>
    <row r="67" spans="2:16" ht="14.4">
      <c r="C67" s="56"/>
      <c r="E67"/>
      <c r="F67"/>
      <c r="H67" s="38"/>
      <c r="I67" s="11"/>
    </row>
    <row r="68" spans="2:16" ht="14.4">
      <c r="C68" s="56"/>
      <c r="E68"/>
      <c r="F68"/>
    </row>
    <row r="69" spans="2:16" ht="14.4">
      <c r="C69" s="56"/>
      <c r="E69"/>
      <c r="F69"/>
    </row>
    <row r="70" spans="2:16" ht="14.4">
      <c r="C70" s="56"/>
      <c r="E70"/>
      <c r="F70"/>
    </row>
    <row r="71" spans="2:16">
      <c r="E71" s="365"/>
      <c r="F71" s="365"/>
    </row>
    <row r="72" spans="2:16" ht="14.4">
      <c r="B72" s="212"/>
      <c r="C72" s="294"/>
      <c r="D72" s="212"/>
      <c r="E72" s="212"/>
      <c r="F72" s="212"/>
      <c r="G72" s="212"/>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5">
    <mergeCell ref="B24:C24"/>
    <mergeCell ref="D24:E24"/>
    <mergeCell ref="B1:O1"/>
    <mergeCell ref="G3:H3"/>
    <mergeCell ref="I3:J3"/>
    <mergeCell ref="K3:L3"/>
    <mergeCell ref="M3:N3"/>
    <mergeCell ref="B4:E4"/>
    <mergeCell ref="B5:C5"/>
    <mergeCell ref="D5:E5"/>
    <mergeCell ref="B6:B21"/>
    <mergeCell ref="C6:C21"/>
    <mergeCell ref="B23:E23"/>
    <mergeCell ref="M57:P57"/>
    <mergeCell ref="B31:E31"/>
    <mergeCell ref="B32:C32"/>
    <mergeCell ref="D32:E32"/>
    <mergeCell ref="B33:B38"/>
    <mergeCell ref="C33:C38"/>
    <mergeCell ref="B42:D42"/>
    <mergeCell ref="B44:G44"/>
    <mergeCell ref="K44:O44"/>
    <mergeCell ref="B45:C45"/>
    <mergeCell ref="D45:E45"/>
    <mergeCell ref="N54:N56"/>
  </mergeCells>
  <pageMargins left="0.7" right="0.7" top="0.75" bottom="0.75" header="0.3" footer="0.3"/>
  <pageSetup orientation="portrait" r:id="rId1"/>
  <legacy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22B7-3053-416B-8536-891E55295A4B}">
  <dimension ref="A1:T94"/>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JUL-AUG 2021</v>
      </c>
      <c r="B1" s="730" t="str">
        <f ca="1">MID(CELL("filename",B1),FIND("]",CELL("filename",B1))+1,255)</f>
        <v>AUG-SEP 2021</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E3" s="365"/>
      <c r="F3" s="365"/>
      <c r="G3" s="732">
        <v>44433</v>
      </c>
      <c r="H3" s="732"/>
      <c r="I3" s="732">
        <f>G3+7</f>
        <v>44440</v>
      </c>
      <c r="J3" s="732"/>
      <c r="K3" s="732">
        <f>I3+7</f>
        <v>44447</v>
      </c>
      <c r="L3" s="732"/>
      <c r="M3" s="732">
        <f>K3+7</f>
        <v>44454</v>
      </c>
      <c r="N3" s="732"/>
      <c r="O3" s="325" t="str">
        <f>0 &amp; " / " &amp; ROUND(0-O4,2)</f>
        <v>0 / -1682.35</v>
      </c>
      <c r="P3" s="325" t="s">
        <v>994</v>
      </c>
      <c r="Q3" s="282"/>
    </row>
    <row r="4" spans="1:20" ht="15" customHeight="1">
      <c r="B4" s="727" t="str">
        <f>_xlfn.CONCAT("Expenses - 50 - ",G41*0.5," / Actual = ",D5," (",ROUND((D5/G41)*100,2),")")</f>
        <v>Expenses - 50 - 2064.03 / Actual = 1689.53 (40.93)</v>
      </c>
      <c r="C4" s="727"/>
      <c r="D4" s="727"/>
      <c r="E4" s="727"/>
      <c r="F4" s="318"/>
      <c r="H4" s="243">
        <f>SUM(H5:H39)</f>
        <v>784.08</v>
      </c>
      <c r="J4" s="243">
        <f>SUM(J5:J39)</f>
        <v>217.72</v>
      </c>
      <c r="L4" s="243">
        <f>SUM(L5:L39)</f>
        <v>300.48</v>
      </c>
      <c r="N4" s="243">
        <f>SUM(N5:N39)</f>
        <v>380.07</v>
      </c>
      <c r="O4" s="308">
        <f>IF(H40&lt;&gt;"PAID",H4,0)+IF(J40&lt;&gt;"PAID",J4,0)+IF(L40&lt;&gt;"PAID",L4,0)+IF(N40&lt;&gt;"PAID",N4,0)</f>
        <v>1682.3500000000001</v>
      </c>
      <c r="P4" s="309" t="s">
        <v>973</v>
      </c>
      <c r="Q4" s="282"/>
      <c r="R4" s="243"/>
      <c r="S4" s="243"/>
    </row>
    <row r="5" spans="1:20" ht="15" customHeight="1">
      <c r="B5" s="733" t="str">
        <f>IF(D5&gt;E$41*0.5,ROUND(D5-E$41*0.5,2) &amp; " Over",ROUND(E$41*0.5-D5,2) &amp; " Under")</f>
        <v>5391.1 Under</v>
      </c>
      <c r="C5" s="733"/>
      <c r="D5" s="761">
        <f>SUM(F6:F20)</f>
        <v>1689.5299999999997</v>
      </c>
      <c r="E5" s="761"/>
      <c r="F5" s="321"/>
      <c r="G5" s="284"/>
      <c r="H5" s="306"/>
      <c r="I5" s="79"/>
      <c r="J5" s="306"/>
      <c r="K5" s="79"/>
      <c r="L5" s="306"/>
      <c r="M5" s="79"/>
      <c r="N5" s="305"/>
      <c r="O5" s="285">
        <f>SUMIF(O6:O20,"&gt;0")</f>
        <v>40.849999999999994</v>
      </c>
      <c r="P5" s="285" t="s">
        <v>892</v>
      </c>
      <c r="Q5" s="282">
        <f>SUM(Q6:Q20)</f>
        <v>8.0100000000000477</v>
      </c>
      <c r="R5" s="243"/>
    </row>
    <row r="6" spans="1:20" ht="15" customHeight="1">
      <c r="B6" s="734" t="str">
        <f>"50%: " &amp; E$41*0.5</f>
        <v>50%: 7080.63</v>
      </c>
      <c r="C6" s="734" t="str">
        <f>ROUND((D5/E$41)*100,2) &amp; "%: " &amp;D5</f>
        <v>11.93%: 1689.53</v>
      </c>
      <c r="D6" s="13" t="s">
        <v>805</v>
      </c>
      <c r="E6" s="365">
        <v>0</v>
      </c>
      <c r="F6" s="374">
        <v>250</v>
      </c>
      <c r="H6" s="305">
        <f>18.64</f>
        <v>18.64</v>
      </c>
      <c r="J6" s="305">
        <f>32.49+20+30.02</f>
        <v>82.51</v>
      </c>
      <c r="L6" s="305">
        <f>25</f>
        <v>25</v>
      </c>
      <c r="N6" s="305">
        <f>63.13+34.87</f>
        <v>98</v>
      </c>
      <c r="O6" s="274">
        <f>SUM(E6:F6)-SUM(G6:N6)</f>
        <v>25.849999999999994</v>
      </c>
      <c r="P6" s="274" t="str">
        <f t="shared" ref="P6:P20" si="0">D6</f>
        <v>Car Petrol / commuting</v>
      </c>
      <c r="Q6" s="282">
        <f t="shared" ref="Q6:Q20" si="1">IF(O6&lt;0,O6*-1,0)</f>
        <v>0</v>
      </c>
      <c r="R6" s="243"/>
    </row>
    <row r="7" spans="1:20" ht="15" customHeight="1">
      <c r="B7" s="734"/>
      <c r="C7" s="734"/>
      <c r="D7" s="13" t="s">
        <v>169</v>
      </c>
      <c r="E7" s="365">
        <v>0</v>
      </c>
      <c r="F7" s="365">
        <f>300</f>
        <v>300</v>
      </c>
      <c r="G7">
        <f>21.51</f>
        <v>21.51</v>
      </c>
      <c r="H7" s="305">
        <f>32.35+4.8+11.27+5.75</f>
        <v>54.17</v>
      </c>
      <c r="I7">
        <f>11.69+43.87</f>
        <v>55.559999999999995</v>
      </c>
      <c r="J7" s="305">
        <f>33.81</f>
        <v>33.81</v>
      </c>
      <c r="K7">
        <f>10.09</f>
        <v>10.09</v>
      </c>
      <c r="L7" s="305">
        <f>7.7+2.9+5.83+17.6+26.15+7+9+8.25+7.25</f>
        <v>91.68</v>
      </c>
      <c r="M7">
        <f>(49.99-18.58)+3.78</f>
        <v>35.190000000000005</v>
      </c>
      <c r="N7" s="305"/>
      <c r="O7" s="274">
        <f>SUM(E7:F7)-SUM(G7:N7)</f>
        <v>-2.0100000000000477</v>
      </c>
      <c r="P7" s="274" t="str">
        <f t="shared" si="0"/>
        <v>Food</v>
      </c>
      <c r="Q7" s="282">
        <f t="shared" si="1"/>
        <v>2.0100000000000477</v>
      </c>
      <c r="R7" s="243"/>
    </row>
    <row r="8" spans="1:20" ht="15" customHeight="1">
      <c r="B8" s="734"/>
      <c r="C8" s="734"/>
      <c r="D8" s="13" t="s">
        <v>1055</v>
      </c>
      <c r="E8" s="365">
        <v>3.83</v>
      </c>
      <c r="F8" s="365">
        <f>40+100</f>
        <v>140</v>
      </c>
      <c r="G8">
        <f>33+8.09</f>
        <v>41.09</v>
      </c>
      <c r="H8" s="305">
        <f>7.99+10.12+33.05</f>
        <v>51.16</v>
      </c>
      <c r="I8">
        <f>33</f>
        <v>33</v>
      </c>
      <c r="J8" s="305"/>
      <c r="L8" s="305"/>
      <c r="M8">
        <f>(49.99-31.41)</f>
        <v>18.580000000000002</v>
      </c>
      <c r="N8" s="305"/>
      <c r="O8" s="274">
        <f>SUM(E8:F8)-SUM(G8:N8)</f>
        <v>0</v>
      </c>
      <c r="P8" s="274" t="str">
        <f t="shared" si="0"/>
        <v>Pet Food + Treats</v>
      </c>
      <c r="Q8" s="282">
        <f t="shared" si="1"/>
        <v>0</v>
      </c>
    </row>
    <row r="9" spans="1:20" ht="15" customHeight="1" outlineLevel="1">
      <c r="B9" s="734"/>
      <c r="C9" s="734"/>
      <c r="D9" s="201" t="s">
        <v>595</v>
      </c>
      <c r="E9" s="365">
        <v>0</v>
      </c>
      <c r="F9" s="365">
        <f>452.64</f>
        <v>452.64</v>
      </c>
      <c r="H9" s="305"/>
      <c r="J9" s="305"/>
      <c r="L9" s="305"/>
      <c r="M9">
        <v>452.64</v>
      </c>
      <c r="N9" s="305"/>
      <c r="O9" s="274">
        <f t="shared" ref="O9:O15" si="2">SUM(E9:F9)-SUM(G9:N9)</f>
        <v>0</v>
      </c>
      <c r="P9" s="274" t="str">
        <f t="shared" si="0"/>
        <v>Mortgage</v>
      </c>
      <c r="Q9" s="282">
        <f t="shared" si="1"/>
        <v>0</v>
      </c>
      <c r="R9" s="243"/>
    </row>
    <row r="10" spans="1:20" ht="15" customHeight="1" outlineLevel="1">
      <c r="B10" s="734"/>
      <c r="C10" s="734"/>
      <c r="D10" s="201" t="s">
        <v>596</v>
      </c>
      <c r="E10" s="365">
        <v>0</v>
      </c>
      <c r="F10" s="365">
        <v>135</v>
      </c>
      <c r="H10" s="305"/>
      <c r="J10" s="305"/>
      <c r="L10" s="305"/>
      <c r="M10">
        <v>135</v>
      </c>
      <c r="N10" s="305"/>
      <c r="O10" s="274">
        <f t="shared" si="2"/>
        <v>0</v>
      </c>
      <c r="P10" s="274" t="str">
        <f t="shared" si="0"/>
        <v>Council tax</v>
      </c>
      <c r="Q10" s="282">
        <f t="shared" si="1"/>
        <v>0</v>
      </c>
    </row>
    <row r="11" spans="1:20" ht="15" customHeight="1" outlineLevel="1">
      <c r="B11" s="734"/>
      <c r="C11" s="734"/>
      <c r="D11" s="201" t="s">
        <v>1002</v>
      </c>
      <c r="E11" s="365">
        <v>0</v>
      </c>
      <c r="F11" s="365">
        <f>23+55+1</f>
        <v>79</v>
      </c>
      <c r="H11" s="305"/>
      <c r="I11">
        <f>1+55</f>
        <v>56</v>
      </c>
      <c r="J11" s="305"/>
      <c r="L11" s="305"/>
      <c r="M11">
        <f>29</f>
        <v>29</v>
      </c>
      <c r="N11" s="305"/>
      <c r="O11" s="274">
        <f t="shared" si="2"/>
        <v>-6</v>
      </c>
      <c r="P11" s="274" t="str">
        <f t="shared" si="0"/>
        <v>Utilities (G,W,E,HTB)</v>
      </c>
      <c r="Q11" s="282">
        <f t="shared" si="1"/>
        <v>6</v>
      </c>
    </row>
    <row r="12" spans="1:20" ht="15" customHeight="1" outlineLevel="1">
      <c r="B12" s="734"/>
      <c r="C12" s="734"/>
      <c r="D12" s="201" t="s">
        <v>996</v>
      </c>
      <c r="E12" s="365">
        <v>13.07</v>
      </c>
      <c r="F12" s="365">
        <f>13.07</f>
        <v>13.07</v>
      </c>
      <c r="G12">
        <f>13.07</f>
        <v>13.07</v>
      </c>
      <c r="H12" s="305"/>
      <c r="J12" s="305"/>
      <c r="L12" s="305"/>
      <c r="M12">
        <f>13.07</f>
        <v>13.07</v>
      </c>
      <c r="N12" s="305"/>
      <c r="O12" s="274">
        <f t="shared" si="2"/>
        <v>0</v>
      </c>
      <c r="P12" s="274" t="str">
        <f t="shared" si="0"/>
        <v>Home Insurance</v>
      </c>
      <c r="Q12" s="282">
        <f t="shared" si="1"/>
        <v>0</v>
      </c>
    </row>
    <row r="13" spans="1:20" ht="15" customHeight="1" outlineLevel="1">
      <c r="B13" s="734"/>
      <c r="C13" s="734"/>
      <c r="D13" s="201" t="s">
        <v>359</v>
      </c>
      <c r="E13" s="365">
        <v>0</v>
      </c>
      <c r="F13" s="365">
        <f>15</f>
        <v>15</v>
      </c>
      <c r="H13" s="305"/>
      <c r="J13" s="305"/>
      <c r="L13" s="305"/>
      <c r="N13" s="305"/>
      <c r="O13" s="274">
        <f t="shared" si="2"/>
        <v>15</v>
      </c>
      <c r="P13" s="274" t="str">
        <f t="shared" si="0"/>
        <v>TV License</v>
      </c>
      <c r="Q13" s="282">
        <f t="shared" si="1"/>
        <v>0</v>
      </c>
    </row>
    <row r="14" spans="1:20" ht="15" customHeight="1" outlineLevel="1">
      <c r="B14" s="734"/>
      <c r="C14" s="734"/>
      <c r="D14" s="201" t="s">
        <v>1056</v>
      </c>
      <c r="E14" s="365">
        <v>0</v>
      </c>
      <c r="F14" s="365">
        <f>8+36.79+16.6</f>
        <v>61.39</v>
      </c>
      <c r="H14" s="305"/>
      <c r="I14">
        <f>16.6</f>
        <v>16.600000000000001</v>
      </c>
      <c r="J14" s="305"/>
      <c r="L14" s="305"/>
      <c r="M14">
        <f>8+36.79</f>
        <v>44.79</v>
      </c>
      <c r="N14" s="305"/>
      <c r="O14" s="274">
        <f>SUM(E14:F14)-SUM(H14:N14)</f>
        <v>0</v>
      </c>
      <c r="P14" s="274" t="str">
        <f t="shared" si="0"/>
        <v>Pet Health / Insurance</v>
      </c>
      <c r="Q14" s="282">
        <f t="shared" si="1"/>
        <v>0</v>
      </c>
    </row>
    <row r="15" spans="1:20" ht="15" customHeight="1" outlineLevel="1">
      <c r="B15" s="734"/>
      <c r="C15" s="734"/>
      <c r="D15" s="201" t="s">
        <v>1057</v>
      </c>
      <c r="E15" s="365">
        <v>0</v>
      </c>
      <c r="F15" s="365">
        <f>4.52+15.97+8.56</f>
        <v>29.050000000000004</v>
      </c>
      <c r="H15" s="305"/>
      <c r="I15" s="11">
        <f>29.05</f>
        <v>29.05</v>
      </c>
      <c r="J15" s="305"/>
      <c r="L15" s="305"/>
      <c r="N15" s="305"/>
      <c r="O15" s="274">
        <f t="shared" si="2"/>
        <v>0</v>
      </c>
      <c r="P15" s="274" t="str">
        <f t="shared" si="0"/>
        <v>Life / Income Insurance</v>
      </c>
      <c r="Q15" s="282">
        <f t="shared" si="1"/>
        <v>0</v>
      </c>
    </row>
    <row r="16" spans="1:20" ht="15" customHeight="1" outlineLevel="1">
      <c r="B16" s="734"/>
      <c r="C16" s="734"/>
      <c r="D16" s="201" t="s">
        <v>602</v>
      </c>
      <c r="E16" s="365">
        <v>26</v>
      </c>
      <c r="F16" s="365">
        <v>26</v>
      </c>
      <c r="G16">
        <f>26</f>
        <v>26</v>
      </c>
      <c r="H16" s="305"/>
      <c r="J16" s="305"/>
      <c r="L16" s="305"/>
      <c r="M16">
        <f>26</f>
        <v>26</v>
      </c>
      <c r="N16" s="305"/>
      <c r="O16" s="274">
        <f>SUM(E16:F16)-SUM(G16:N16)</f>
        <v>0</v>
      </c>
      <c r="P16" s="274" t="str">
        <f t="shared" si="0"/>
        <v>Broadband / TV</v>
      </c>
      <c r="Q16" s="282">
        <f t="shared" si="1"/>
        <v>0</v>
      </c>
    </row>
    <row r="17" spans="2:19" ht="15" customHeight="1" outlineLevel="1">
      <c r="B17" s="734"/>
      <c r="C17" s="734"/>
      <c r="D17" s="201" t="s">
        <v>582</v>
      </c>
      <c r="E17" s="365">
        <v>0</v>
      </c>
      <c r="F17" s="365">
        <v>7.99</v>
      </c>
      <c r="H17" s="305"/>
      <c r="I17">
        <v>7.99</v>
      </c>
      <c r="J17" s="305"/>
      <c r="L17" s="305"/>
      <c r="N17" s="305"/>
      <c r="O17" s="274">
        <f>SUM(E17:F17)-SUM(G17:N17)</f>
        <v>0</v>
      </c>
      <c r="P17" s="274" t="str">
        <f t="shared" si="0"/>
        <v>Onedrive (6th)</v>
      </c>
      <c r="Q17" s="282">
        <f t="shared" si="1"/>
        <v>0</v>
      </c>
    </row>
    <row r="18" spans="2:19" ht="15" customHeight="1" outlineLevel="1">
      <c r="B18" s="734"/>
      <c r="C18" s="734"/>
      <c r="D18" s="201" t="s">
        <v>788</v>
      </c>
      <c r="E18" s="365">
        <v>0</v>
      </c>
      <c r="F18" s="365">
        <v>10.56</v>
      </c>
      <c r="G18">
        <f>10.56</f>
        <v>10.56</v>
      </c>
      <c r="H18" s="305"/>
      <c r="J18" s="305"/>
      <c r="L18" s="305"/>
      <c r="N18" s="305"/>
      <c r="O18" s="274">
        <f>SUM(E18:F18)-SUM(G18:N18)</f>
        <v>0</v>
      </c>
      <c r="P18" s="274" t="str">
        <f t="shared" si="0"/>
        <v>Matt Phone</v>
      </c>
      <c r="Q18" s="282">
        <f t="shared" si="1"/>
        <v>0</v>
      </c>
    </row>
    <row r="19" spans="2:19" ht="15" customHeight="1" outlineLevel="1">
      <c r="B19" s="734"/>
      <c r="C19" s="734"/>
      <c r="D19" s="201" t="s">
        <v>985</v>
      </c>
      <c r="E19" s="365">
        <v>0</v>
      </c>
      <c r="F19" s="365">
        <f>28.87+50.08+75.88</f>
        <v>154.82999999999998</v>
      </c>
      <c r="H19" s="305"/>
      <c r="I19">
        <f>28.87+50.08+75.88</f>
        <v>154.82999999999998</v>
      </c>
      <c r="J19" s="305"/>
      <c r="L19" s="305"/>
      <c r="N19" s="305"/>
      <c r="O19" s="274">
        <f>SUM(E19:F19)-SUM(H19:N19)</f>
        <v>0</v>
      </c>
      <c r="P19" s="274" t="str">
        <f t="shared" si="0"/>
        <v>Car Tax / Insurance</v>
      </c>
      <c r="Q19" s="282">
        <f t="shared" si="1"/>
        <v>0</v>
      </c>
    </row>
    <row r="20" spans="2:19" ht="15" customHeight="1" outlineLevel="1">
      <c r="B20" s="734"/>
      <c r="C20" s="734"/>
      <c r="D20" s="201" t="s">
        <v>944</v>
      </c>
      <c r="E20" s="365">
        <v>0</v>
      </c>
      <c r="F20" s="365">
        <v>15</v>
      </c>
      <c r="H20" s="305"/>
      <c r="I20">
        <f>15</f>
        <v>15</v>
      </c>
      <c r="J20" s="305"/>
      <c r="L20" s="305"/>
      <c r="N20" s="305"/>
      <c r="O20" s="274">
        <f>SUM(E20:F20)-SUM(H20:N20)</f>
        <v>0</v>
      </c>
      <c r="P20" s="274" t="str">
        <f t="shared" si="0"/>
        <v>Windows</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",G41*0.2," / Actual = ",D23," (",ROUND((D23/G41)*100,2),")")</f>
        <v>Savings - 20 - 825.612 / Actual = 631.25 (15.29)</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631.25</v>
      </c>
      <c r="E23" s="759"/>
      <c r="F23" s="319"/>
      <c r="H23" s="305"/>
      <c r="J23" s="305"/>
      <c r="L23" s="305"/>
      <c r="N23" s="305"/>
      <c r="O23" s="285">
        <f>SUMIF(O24:O28,"&gt;0")</f>
        <v>326.36000000000092</v>
      </c>
      <c r="P23" s="285" t="s">
        <v>895</v>
      </c>
      <c r="Q23" s="282">
        <f>SUM(Q24:Q28)</f>
        <v>0</v>
      </c>
    </row>
    <row r="24" spans="2:19" ht="15" customHeight="1" outlineLevel="1">
      <c r="B24" s="7" t="str">
        <f>"20% : " &amp; E$41*0.2</f>
        <v>20% : 2832.252</v>
      </c>
      <c r="C24" s="7" t="str">
        <f>"20% : " &amp; E$41*0.2</f>
        <v>20% : 2832.252</v>
      </c>
      <c r="D24" s="300" t="s">
        <v>590</v>
      </c>
      <c r="E24" s="365">
        <v>35.520000000000948</v>
      </c>
      <c r="F24" s="365">
        <f>50+14.99</f>
        <v>64.989999999999995</v>
      </c>
      <c r="H24" s="305"/>
      <c r="I24">
        <f>1.99</f>
        <v>1.99</v>
      </c>
      <c r="J24" s="305"/>
      <c r="L24" s="315"/>
      <c r="N24" s="305"/>
      <c r="O24" s="274">
        <f>SUM(E24:F24)-SUM(G24:N24)-Q41</f>
        <v>90.5100000000009</v>
      </c>
      <c r="P24" s="274" t="str">
        <f t="shared" ref="P24:P28" si="3">D24</f>
        <v>Contingency</v>
      </c>
      <c r="Q24" s="282">
        <v>0</v>
      </c>
    </row>
    <row r="25" spans="2:19" ht="15" customHeight="1" outlineLevel="1">
      <c r="B25" s="7"/>
      <c r="C25" s="7"/>
      <c r="D25" s="300" t="s">
        <v>998</v>
      </c>
      <c r="E25" s="365">
        <v>125.49000000000001</v>
      </c>
      <c r="F25" s="365">
        <f>50+20+100+96.26</f>
        <v>266.26</v>
      </c>
      <c r="G25" s="11">
        <f>155.9</f>
        <v>155.9</v>
      </c>
      <c r="H25" s="306"/>
      <c r="J25" s="305"/>
      <c r="L25" s="305"/>
      <c r="N25" s="305"/>
      <c r="O25" s="274">
        <f>SUM(E25:F25)-SUM(G25:N25)</f>
        <v>235.85</v>
      </c>
      <c r="P25" s="274" t="str">
        <f t="shared" si="3"/>
        <v>Cars (Service / MOT)</v>
      </c>
      <c r="Q25" s="282">
        <f t="shared" ref="Q25:Q28" si="4">IF(O25&lt;0,O25*-1,0)</f>
        <v>0</v>
      </c>
    </row>
    <row r="26" spans="2:19" ht="15" customHeight="1" outlineLevel="1">
      <c r="B26" s="7"/>
      <c r="C26" s="7"/>
      <c r="D26" s="300" t="s">
        <v>999</v>
      </c>
      <c r="E26" s="365">
        <v>147</v>
      </c>
      <c r="F26" s="365">
        <v>300</v>
      </c>
      <c r="G26" s="11"/>
      <c r="H26" s="306">
        <f>477+-30</f>
        <v>447</v>
      </c>
      <c r="J26" s="305"/>
      <c r="L26" s="305"/>
      <c r="N26" s="305"/>
      <c r="O26" s="274">
        <f t="shared" ref="O26:O28" si="5">SUM(E26:F26)-SUM(G26:N26)</f>
        <v>0</v>
      </c>
      <c r="P26" s="274" t="str">
        <f t="shared" si="3"/>
        <v>Mortgage Overpayment</v>
      </c>
      <c r="Q26" s="282">
        <f t="shared" si="4"/>
        <v>0</v>
      </c>
    </row>
    <row r="27" spans="2:19" ht="15" customHeight="1" outlineLevel="1">
      <c r="B27" s="7"/>
      <c r="C27" s="7"/>
      <c r="D27" s="300" t="s">
        <v>1000</v>
      </c>
      <c r="E27" s="365">
        <v>0</v>
      </c>
      <c r="F27" s="365">
        <v>0</v>
      </c>
      <c r="G27" s="11"/>
      <c r="H27" s="306"/>
      <c r="J27" s="305"/>
      <c r="L27" s="305"/>
      <c r="N27" s="305"/>
      <c r="O27" s="274">
        <f t="shared" si="5"/>
        <v>0</v>
      </c>
      <c r="P27" s="274" t="str">
        <f t="shared" si="3"/>
        <v>Finance Overpayment</v>
      </c>
      <c r="Q27" s="282">
        <f t="shared" si="4"/>
        <v>0</v>
      </c>
    </row>
    <row r="28" spans="2:19" ht="15" customHeight="1" outlineLevel="1">
      <c r="B28" s="7"/>
      <c r="C28" s="7"/>
      <c r="D28" s="300" t="s">
        <v>814</v>
      </c>
      <c r="E28" s="365">
        <v>0</v>
      </c>
      <c r="F28" s="365">
        <v>0</v>
      </c>
      <c r="G28" s="11"/>
      <c r="H28" s="306"/>
      <c r="J28" s="305"/>
      <c r="L28" s="305"/>
      <c r="N28" s="305"/>
      <c r="O28" s="274">
        <f t="shared" si="5"/>
        <v>0</v>
      </c>
      <c r="P28" s="274" t="str">
        <f t="shared" si="3"/>
        <v>CC</v>
      </c>
      <c r="Q28" s="282">
        <f t="shared" si="4"/>
        <v>0</v>
      </c>
    </row>
    <row r="29" spans="2:19" ht="15" customHeight="1">
      <c r="B29" s="118"/>
      <c r="C29" s="118"/>
      <c r="E29" s="365"/>
      <c r="F29" s="365"/>
      <c r="H29" s="305"/>
      <c r="J29" s="305"/>
      <c r="L29" s="305"/>
      <c r="N29" s="305"/>
      <c r="O29" s="273"/>
      <c r="P29" s="273"/>
      <c r="Q29" s="282"/>
    </row>
    <row r="30" spans="2:19" ht="15" customHeight="1">
      <c r="B30" s="727" t="str">
        <f>_xlfn.CONCAT("Wants - 30 - ",G41*0.3," / Actual = ",D31," (",ROUND((D31/G41)*100,2),")")</f>
        <v>Wants - 30 - 1238.418 / Actual = 2070.54 (50.16)</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(E$41-D5-D23-E40)</f>
        <v>2070.5400000000009</v>
      </c>
      <c r="E31" s="727"/>
      <c r="F31" s="319">
        <f>SUM(F32:F37)</f>
        <v>2060.5400000000009</v>
      </c>
      <c r="H31" s="305"/>
      <c r="J31" s="305"/>
      <c r="L31" s="305"/>
      <c r="N31" s="305"/>
      <c r="O31" s="285">
        <f>SUMIF(O32:O36,"&gt;0")</f>
        <v>9465.6499999999978</v>
      </c>
      <c r="P31" s="285" t="s">
        <v>899</v>
      </c>
      <c r="Q31" s="282">
        <f>SUM(Q32:Q37)</f>
        <v>0</v>
      </c>
    </row>
    <row r="32" spans="2:19" ht="15" customHeight="1" outlineLevel="1">
      <c r="B32" s="734"/>
      <c r="C32" s="760"/>
      <c r="D32" s="300" t="s">
        <v>1036</v>
      </c>
      <c r="E32" s="365">
        <v>941.33</v>
      </c>
      <c r="F32" s="365">
        <v>158.66999999999999</v>
      </c>
      <c r="H32" s="305"/>
      <c r="J32" s="305"/>
      <c r="L32" s="305"/>
      <c r="N32" s="305">
        <f>152.68</f>
        <v>152.68</v>
      </c>
      <c r="O32" s="274">
        <f t="shared" ref="O32:O34" si="6">SUM(E32:F32)-SUM(G32:N32)</f>
        <v>947.31999999999994</v>
      </c>
      <c r="P32" s="274" t="str">
        <f>D32</f>
        <v>Eye Surgery</v>
      </c>
      <c r="Q32" s="282">
        <f t="shared" ref="Q32:Q35" si="7">IF(O32&lt;0,O32*-1,0)</f>
        <v>0</v>
      </c>
      <c r="R32" s="11"/>
      <c r="S32" s="11"/>
    </row>
    <row r="33" spans="2:19" ht="15" customHeight="1" outlineLevel="1">
      <c r="B33" s="734"/>
      <c r="C33" s="760"/>
      <c r="D33" s="300" t="s">
        <v>354</v>
      </c>
      <c r="E33" s="365">
        <v>207.10000000000002</v>
      </c>
      <c r="F33" s="365">
        <f>150-90</f>
        <v>60</v>
      </c>
      <c r="H33" s="305"/>
      <c r="J33" s="305"/>
      <c r="L33" s="305"/>
      <c r="M33">
        <f>20+2.5+55+23.99+11.9+3.36+3.4+8.8</f>
        <v>128.95000000000002</v>
      </c>
      <c r="N33" s="305">
        <f>21.15+10.33+82.47+9.75+5.69</f>
        <v>129.38999999999999</v>
      </c>
      <c r="O33" s="274">
        <f>SUM(E33:F33)-SUM(G33:N33)</f>
        <v>8.7599999999999909</v>
      </c>
      <c r="P33" s="274" t="str">
        <f t="shared" ref="P33:P39" si="8">D33</f>
        <v>Holiday</v>
      </c>
      <c r="Q33" s="282">
        <f t="shared" si="7"/>
        <v>0</v>
      </c>
      <c r="R33" s="11"/>
      <c r="S33" s="11"/>
    </row>
    <row r="34" spans="2:19" ht="15" customHeight="1" outlineLevel="1">
      <c r="B34" s="734"/>
      <c r="C34" s="760"/>
      <c r="D34" s="300" t="s">
        <v>170</v>
      </c>
      <c r="E34" s="365">
        <v>726.62</v>
      </c>
      <c r="F34" s="365">
        <f>250+90</f>
        <v>340</v>
      </c>
      <c r="H34" s="305">
        <f>89.99</f>
        <v>89.99</v>
      </c>
      <c r="I34">
        <f>60</f>
        <v>60</v>
      </c>
      <c r="J34" s="305">
        <f>(61.45-25.45)</f>
        <v>36</v>
      </c>
      <c r="K34">
        <f>30</f>
        <v>30</v>
      </c>
      <c r="L34" s="305">
        <f>183.8</f>
        <v>183.8</v>
      </c>
      <c r="N34" s="305"/>
      <c r="O34" s="274">
        <f t="shared" si="6"/>
        <v>666.82999999999993</v>
      </c>
      <c r="P34" s="274" t="str">
        <f t="shared" si="8"/>
        <v>Gift Fund</v>
      </c>
      <c r="Q34" s="282">
        <f t="shared" si="7"/>
        <v>0</v>
      </c>
      <c r="R34" s="11"/>
      <c r="S34" s="11"/>
    </row>
    <row r="35" spans="2:19" ht="15" customHeight="1" outlineLevel="1">
      <c r="B35" s="734"/>
      <c r="C35" s="760"/>
      <c r="D35" s="300" t="s">
        <v>812</v>
      </c>
      <c r="E35" s="365">
        <v>7541.7399999999989</v>
      </c>
      <c r="F35" s="365">
        <f>800+180</f>
        <v>980</v>
      </c>
      <c r="H35" s="305"/>
      <c r="I35">
        <f>550</f>
        <v>550</v>
      </c>
      <c r="J35" s="305"/>
      <c r="K35">
        <f>129</f>
        <v>129</v>
      </c>
      <c r="L35" s="305"/>
      <c r="N35" s="305"/>
      <c r="O35" s="274">
        <f>SUM(E35:F35)-SUM(G35:N35)-O38</f>
        <v>7842.739999999998</v>
      </c>
      <c r="P35" s="274" t="str">
        <f t="shared" si="8"/>
        <v>Wedding</v>
      </c>
      <c r="Q35" s="282">
        <f t="shared" si="7"/>
        <v>0</v>
      </c>
      <c r="R35" s="11"/>
      <c r="S35" s="349"/>
    </row>
    <row r="36" spans="2:19" ht="15.75" customHeight="1" outlineLevel="1">
      <c r="B36" s="734"/>
      <c r="C36" s="760"/>
      <c r="D36" s="13" t="s">
        <v>781</v>
      </c>
      <c r="E36" s="365">
        <v>0</v>
      </c>
      <c r="F36" s="365">
        <f>13+2+10+5.99+5.99+7.99+10.99</f>
        <v>55.960000000000008</v>
      </c>
      <c r="G36">
        <f>13</f>
        <v>13</v>
      </c>
      <c r="H36" s="305"/>
      <c r="I36">
        <f>10.99+2+7.99</f>
        <v>20.98</v>
      </c>
      <c r="J36" s="305"/>
      <c r="K36">
        <f>10</f>
        <v>10</v>
      </c>
      <c r="L36" s="305"/>
      <c r="M36">
        <f>5.99+5.99</f>
        <v>11.98</v>
      </c>
      <c r="N36" s="305"/>
      <c r="O36" s="274">
        <f t="shared" ref="O36:O39" si="9">SUM(E36:F36)-SUM(G36:N36)</f>
        <v>0</v>
      </c>
      <c r="P36" s="274" t="str">
        <f t="shared" si="8"/>
        <v>Subscriptions</v>
      </c>
      <c r="Q36" s="282">
        <f>IF(O36&lt;0,O36*-1,0)</f>
        <v>0</v>
      </c>
      <c r="S36" s="349"/>
    </row>
    <row r="37" spans="2:19" ht="18" outlineLevel="1">
      <c r="B37" s="734"/>
      <c r="C37" s="760"/>
      <c r="D37" s="13" t="s">
        <v>922</v>
      </c>
      <c r="E37" s="365">
        <f>2.24</f>
        <v>2.2400000000000002</v>
      </c>
      <c r="F37" s="365">
        <f>(D31-SUM(F32:F36))-F39</f>
        <v>465.91000000000076</v>
      </c>
      <c r="G37">
        <f>3.4+14.58+75+51.6</f>
        <v>144.58000000000001</v>
      </c>
      <c r="H37" s="305">
        <f>40+2.95+5.95+16.47+18.3+4.5+2.95+11+21</f>
        <v>123.12</v>
      </c>
      <c r="I37">
        <f>45+8.6+30</f>
        <v>83.6</v>
      </c>
      <c r="J37" s="305">
        <f>26.97+25.45+11+1.98</f>
        <v>65.400000000000006</v>
      </c>
      <c r="K37">
        <f>3.7</f>
        <v>3.7</v>
      </c>
      <c r="L37" s="305"/>
      <c r="M37">
        <f>4.78+8.45+9.1+4.99+13.74</f>
        <v>41.06</v>
      </c>
      <c r="N37" s="305"/>
      <c r="O37" s="274">
        <f>SUM(E37:F37)-SUM(G37:N37)</f>
        <v>6.6900000000007367</v>
      </c>
      <c r="P37" s="274" t="str">
        <f t="shared" si="8"/>
        <v>Matt Fun</v>
      </c>
      <c r="Q37" s="282">
        <f>IF(SUM(E37:F37)-SUM(G37:N37)&lt;=0,(SUM(E37:F37)-SUM(G37:N37))*-1,0)</f>
        <v>0</v>
      </c>
    </row>
    <row r="38" spans="2:19" ht="18" outlineLevel="1">
      <c r="B38" s="7"/>
      <c r="C38" s="284"/>
      <c r="D38" s="13" t="s">
        <v>1025</v>
      </c>
      <c r="E38" s="365">
        <v>0</v>
      </c>
      <c r="F38" s="365">
        <v>0</v>
      </c>
      <c r="H38" s="305"/>
      <c r="J38" s="305"/>
      <c r="L38" s="305"/>
      <c r="N38" s="305"/>
      <c r="O38" s="274">
        <f>SUM(G38:N38)</f>
        <v>0</v>
      </c>
      <c r="P38" s="274" t="str">
        <f t="shared" si="8"/>
        <v>Work Expenses</v>
      </c>
      <c r="Q38" s="333"/>
      <c r="S38" s="11"/>
    </row>
    <row r="39" spans="2:19" ht="18" outlineLevel="1">
      <c r="B39" s="7"/>
      <c r="C39" s="284"/>
      <c r="D39" s="13" t="s">
        <v>152</v>
      </c>
      <c r="E39" s="365">
        <v>0</v>
      </c>
      <c r="F39" s="365">
        <f>10</f>
        <v>10</v>
      </c>
      <c r="H39" s="305"/>
      <c r="J39" s="305"/>
      <c r="L39" s="305"/>
      <c r="M39">
        <f>10</f>
        <v>10</v>
      </c>
      <c r="N39" s="305"/>
      <c r="O39" s="274">
        <f t="shared" si="9"/>
        <v>0</v>
      </c>
      <c r="P39" s="274" t="str">
        <f t="shared" si="8"/>
        <v>Kris</v>
      </c>
      <c r="Q39" s="271">
        <f>IF(F39-SUM(G39:N39)&lt;=0,(F39-SUM(G39:N39))*-1,0)</f>
        <v>0</v>
      </c>
    </row>
    <row r="40" spans="2:19">
      <c r="B40" s="118"/>
      <c r="C40" s="118"/>
      <c r="E40" s="365">
        <f>SUM(E32:E39)+SUM(E24:E28)+SUM(E6:E20)</f>
        <v>9769.9399999999987</v>
      </c>
      <c r="F40" s="365"/>
      <c r="H40" s="7"/>
      <c r="J40" s="7"/>
      <c r="L40" s="7"/>
      <c r="N40" s="7"/>
      <c r="O40" s="273"/>
      <c r="P40" s="273"/>
      <c r="Q40" s="282"/>
    </row>
    <row r="41" spans="2:19" ht="18">
      <c r="B41" s="728" t="s">
        <v>817</v>
      </c>
      <c r="C41" s="728"/>
      <c r="D41" s="728"/>
      <c r="E41" s="375">
        <f>G41+I41+K41+M41+N41+E40</f>
        <v>14161.259999999998</v>
      </c>
      <c r="F41" s="379"/>
      <c r="G41" s="271">
        <f>2990.06+1130+8</f>
        <v>4128.0599999999995</v>
      </c>
      <c r="H41" s="271"/>
      <c r="I41" s="271">
        <f>23+14</f>
        <v>37</v>
      </c>
      <c r="J41" s="271"/>
      <c r="K41" s="271">
        <f>100+15</f>
        <v>115</v>
      </c>
      <c r="L41" s="271"/>
      <c r="M41" s="271">
        <f>96.26+15</f>
        <v>111.26</v>
      </c>
      <c r="N41" s="271"/>
      <c r="O41" s="314" t="str">
        <f>"£" &amp; ROUND(O5+O31+O23+IF(O37&lt;0,0,O37)+O39+O4,2) &amp; " / " &amp; "£" &amp; E41</f>
        <v>£11521.9 / £14161.26</v>
      </c>
      <c r="P41" s="274"/>
      <c r="Q41" s="282">
        <f>SUM(Q31,Q23,Q5)</f>
        <v>8.0100000000000477</v>
      </c>
    </row>
    <row r="42" spans="2:19">
      <c r="B42" s="118"/>
      <c r="C42" s="7"/>
      <c r="E42" s="365"/>
      <c r="F42" s="365"/>
      <c r="G42" s="365"/>
      <c r="H42" s="365"/>
    </row>
    <row r="43" spans="2:19" ht="14.4">
      <c r="B43" s="729"/>
      <c r="C43" s="729"/>
      <c r="D43" s="729"/>
      <c r="E43" s="729"/>
      <c r="F43" s="729"/>
      <c r="G43" s="729"/>
      <c r="H43" s="297"/>
      <c r="K43" s="729"/>
      <c r="L43" s="729"/>
      <c r="M43" s="729"/>
      <c r="N43" s="729"/>
      <c r="O43" s="729"/>
      <c r="P43" s="297"/>
    </row>
    <row r="44" spans="2:19" ht="15" customHeight="1">
      <c r="B44" s="726" t="s">
        <v>955</v>
      </c>
      <c r="C44" s="726"/>
      <c r="D44" s="726"/>
      <c r="E44" s="726"/>
      <c r="F44" s="348"/>
      <c r="K44" s="212"/>
      <c r="L44" s="212"/>
      <c r="N44" s="118" t="s">
        <v>991</v>
      </c>
      <c r="O44" s="316">
        <v>44455</v>
      </c>
      <c r="P44" s="7">
        <f ca="1">DATEDIF(O44,NOW(),"d")</f>
        <v>1796</v>
      </c>
      <c r="Q44">
        <v>30</v>
      </c>
      <c r="R44" t="s">
        <v>1072</v>
      </c>
    </row>
    <row r="45" spans="2:19">
      <c r="B45" s="365"/>
      <c r="C45" s="38"/>
      <c r="E45" s="11"/>
      <c r="F45" s="11"/>
      <c r="G45" s="243"/>
      <c r="H45" s="243"/>
      <c r="K45" s="214"/>
      <c r="L45" s="214"/>
      <c r="N45" s="322" t="s">
        <v>992</v>
      </c>
      <c r="O45" s="42">
        <v>44455</v>
      </c>
      <c r="P45" s="7">
        <f ca="1">DATEDIF(O45,NOW(),"d")</f>
        <v>1796</v>
      </c>
      <c r="Q45">
        <v>32</v>
      </c>
      <c r="R45" t="s">
        <v>1073</v>
      </c>
    </row>
    <row r="46" spans="2:19">
      <c r="E46" s="365"/>
      <c r="F46" s="365"/>
      <c r="G46" s="11"/>
      <c r="H46" s="11"/>
      <c r="L46" s="347"/>
      <c r="O46"/>
      <c r="P46"/>
    </row>
    <row r="47" spans="2:19" ht="16.2" customHeight="1">
      <c r="E47" s="365"/>
      <c r="F47" s="365"/>
      <c r="G47" s="11"/>
      <c r="J47" s="332"/>
      <c r="K47" s="332"/>
      <c r="L47" s="332"/>
      <c r="M47" s="332"/>
      <c r="N47" s="212"/>
      <c r="O47" s="212"/>
      <c r="P47" s="212"/>
    </row>
    <row r="48" spans="2:19">
      <c r="B48" s="378"/>
      <c r="E48"/>
      <c r="F48" s="38"/>
      <c r="G48" s="11"/>
      <c r="H48" s="11"/>
      <c r="J48" s="11"/>
      <c r="K48" s="56"/>
      <c r="L48" s="56"/>
      <c r="M48" s="365"/>
      <c r="N48" s="56"/>
      <c r="O48" s="243"/>
      <c r="P48" s="56"/>
    </row>
    <row r="49" spans="2:17">
      <c r="E49"/>
      <c r="F49" s="38"/>
      <c r="G49" s="11"/>
      <c r="H49" s="11"/>
      <c r="J49" s="11"/>
      <c r="K49" s="56"/>
      <c r="L49" s="243"/>
      <c r="M49" s="365"/>
      <c r="N49" s="56"/>
      <c r="O49" s="11"/>
      <c r="P49"/>
    </row>
    <row r="50" spans="2:17">
      <c r="E50" s="365"/>
      <c r="F50" s="365"/>
      <c r="G50" s="38"/>
      <c r="H50" s="38"/>
      <c r="J50" s="11"/>
      <c r="M50" s="365"/>
      <c r="N50" s="56"/>
      <c r="O50" s="284"/>
      <c r="P50" s="212"/>
      <c r="Q50" s="212"/>
    </row>
    <row r="51" spans="2:17">
      <c r="E51" s="11"/>
      <c r="F51" s="11"/>
      <c r="G51" s="11"/>
      <c r="H51" s="38"/>
      <c r="J51" s="11"/>
      <c r="M51" s="365"/>
      <c r="N51" s="56"/>
      <c r="O51" s="56"/>
      <c r="P51" s="56"/>
      <c r="Q51" s="38"/>
    </row>
    <row r="52" spans="2:17">
      <c r="E52" s="365"/>
      <c r="F52" s="214"/>
      <c r="G52" s="11"/>
      <c r="H52" s="38"/>
      <c r="J52" s="11"/>
      <c r="N52" s="56"/>
    </row>
    <row r="53" spans="2:17">
      <c r="E53" s="214"/>
      <c r="F53" s="214"/>
      <c r="G53" s="11"/>
      <c r="H53" s="38"/>
      <c r="I53" s="11"/>
      <c r="J53" s="11"/>
      <c r="M53" s="365"/>
      <c r="N53" s="764"/>
    </row>
    <row r="54" spans="2:17">
      <c r="E54" s="365"/>
      <c r="F54" s="365"/>
      <c r="G54" s="11"/>
      <c r="H54" s="38"/>
      <c r="I54" s="11"/>
      <c r="J54" s="11"/>
      <c r="N54" s="765"/>
      <c r="O54" s="275"/>
      <c r="P54" s="275"/>
    </row>
    <row r="55" spans="2:17">
      <c r="B55" s="11"/>
      <c r="E55" s="365"/>
      <c r="F55" s="365"/>
      <c r="G55" s="11"/>
      <c r="H55" s="38"/>
      <c r="I55" s="11"/>
      <c r="J55" s="11"/>
      <c r="N55" s="765"/>
    </row>
    <row r="56" spans="2:17" ht="14.4">
      <c r="B56" s="11"/>
      <c r="E56" s="351"/>
      <c r="F56"/>
      <c r="G56" s="11"/>
      <c r="H56" s="38"/>
      <c r="I56" s="11"/>
      <c r="J56" s="11"/>
      <c r="L56" s="79"/>
      <c r="M56" s="726"/>
      <c r="N56" s="726"/>
      <c r="O56" s="726"/>
      <c r="P56" s="726"/>
    </row>
    <row r="57" spans="2:17">
      <c r="E57"/>
      <c r="F57"/>
      <c r="G57" s="11"/>
      <c r="H57" s="38"/>
      <c r="I57" s="11"/>
      <c r="N57" s="278"/>
      <c r="O57" s="212"/>
      <c r="P57" s="212"/>
    </row>
    <row r="58" spans="2:17">
      <c r="B58" s="212"/>
      <c r="C58" s="212"/>
      <c r="E58" s="243"/>
      <c r="F58"/>
      <c r="G58" s="11"/>
      <c r="H58" s="38"/>
      <c r="I58" s="11"/>
      <c r="J58" s="349"/>
      <c r="N58" s="376"/>
      <c r="O58" s="214"/>
      <c r="P58" s="214"/>
    </row>
    <row r="59" spans="2:17">
      <c r="C59" s="56"/>
      <c r="D59" s="243"/>
      <c r="E59"/>
      <c r="F59"/>
      <c r="G59" s="11"/>
      <c r="H59" s="38"/>
      <c r="I59" s="11"/>
      <c r="N59" s="365"/>
      <c r="O59"/>
      <c r="P59"/>
    </row>
    <row r="60" spans="2:17">
      <c r="C60" s="56"/>
      <c r="E60"/>
      <c r="F60"/>
      <c r="H60" s="38"/>
      <c r="I60" s="11"/>
      <c r="J60" s="349"/>
      <c r="N60" s="278"/>
      <c r="O60" s="212"/>
      <c r="P60" s="212"/>
    </row>
    <row r="61" spans="2:17">
      <c r="C61" s="56"/>
      <c r="D61" s="56"/>
      <c r="E61"/>
      <c r="F61"/>
      <c r="H61" s="38"/>
      <c r="I61" s="11"/>
      <c r="N61" s="365"/>
      <c r="O61" s="56"/>
      <c r="P61" s="56"/>
    </row>
    <row r="62" spans="2:17">
      <c r="C62" s="56"/>
      <c r="E62"/>
      <c r="F62"/>
      <c r="H62" s="38"/>
      <c r="I62" s="11"/>
      <c r="N62" s="365"/>
      <c r="O62"/>
      <c r="P62"/>
    </row>
    <row r="63" spans="2:17">
      <c r="C63" s="56"/>
      <c r="E63"/>
      <c r="F63"/>
      <c r="H63" s="38"/>
      <c r="I63" s="11"/>
      <c r="N63" s="278"/>
      <c r="O63" s="212"/>
      <c r="P63" s="212"/>
    </row>
    <row r="64" spans="2:17">
      <c r="C64" s="56"/>
      <c r="E64"/>
      <c r="F64"/>
      <c r="H64" s="38"/>
      <c r="I64" s="11"/>
      <c r="N64" s="365"/>
      <c r="O64" s="38"/>
      <c r="P64" s="56"/>
    </row>
    <row r="65" spans="2:15" ht="14.4">
      <c r="C65" s="56"/>
      <c r="E65"/>
      <c r="F65"/>
      <c r="H65" s="38"/>
      <c r="I65" s="11"/>
      <c r="O65"/>
    </row>
    <row r="66" spans="2:15" ht="14.4">
      <c r="C66" s="56"/>
      <c r="E66"/>
      <c r="F66"/>
      <c r="H66" s="38"/>
      <c r="I66" s="11"/>
    </row>
    <row r="67" spans="2:15" ht="14.4">
      <c r="C67" s="56"/>
      <c r="E67"/>
      <c r="F67"/>
    </row>
    <row r="68" spans="2:15" ht="14.4">
      <c r="C68" s="56"/>
      <c r="E68"/>
      <c r="F68"/>
    </row>
    <row r="69" spans="2:15" ht="14.4">
      <c r="C69" s="56"/>
      <c r="E69"/>
      <c r="F69"/>
    </row>
    <row r="70" spans="2:15">
      <c r="E70" s="365"/>
      <c r="F70" s="365"/>
    </row>
    <row r="71" spans="2:15" ht="14.4">
      <c r="B71" s="212"/>
      <c r="C71" s="294"/>
      <c r="D71" s="212"/>
      <c r="E71" s="212"/>
      <c r="F71" s="212"/>
      <c r="G71" s="212"/>
      <c r="H71" s="212"/>
    </row>
    <row r="72" spans="2:15" ht="14.4">
      <c r="C72" s="56"/>
      <c r="D72" s="56"/>
      <c r="E72" s="56"/>
      <c r="F72" s="56"/>
      <c r="G72" s="56"/>
      <c r="H72" s="56"/>
    </row>
    <row r="73" spans="2:15" ht="14.4">
      <c r="C73" s="56"/>
      <c r="D73" s="56"/>
      <c r="E73" s="56"/>
      <c r="F73" s="56"/>
      <c r="G73" s="56"/>
      <c r="H73" s="56"/>
    </row>
    <row r="74" spans="2:15" ht="14.4">
      <c r="C74" s="56"/>
      <c r="D74" s="56"/>
      <c r="E74" s="56"/>
      <c r="F74" s="56"/>
      <c r="G74" s="56"/>
      <c r="H74" s="56"/>
    </row>
    <row r="75" spans="2:15" ht="14.4">
      <c r="C75" s="56"/>
      <c r="D75" s="56"/>
      <c r="E75" s="56"/>
      <c r="F75" s="56"/>
      <c r="G75" s="56"/>
      <c r="H75" s="56"/>
    </row>
    <row r="76" spans="2:15" ht="14.4">
      <c r="C76" s="56"/>
      <c r="D76" s="56"/>
      <c r="E76" s="56"/>
      <c r="F76" s="56"/>
      <c r="G76" s="56"/>
      <c r="H76" s="56"/>
    </row>
    <row r="77" spans="2:15" ht="14.4">
      <c r="C77" s="56"/>
      <c r="E77" s="56"/>
      <c r="F77" s="56"/>
    </row>
    <row r="79" spans="2:15" ht="14.4">
      <c r="E79" s="212"/>
      <c r="F79" s="212"/>
      <c r="G79" s="212"/>
      <c r="H79" s="212"/>
    </row>
    <row r="80" spans="2:15" ht="14.4">
      <c r="E80" s="56"/>
      <c r="F80" s="56"/>
      <c r="G80" s="56"/>
      <c r="H80" s="56"/>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row>
    <row r="87" spans="5:8" ht="14.4">
      <c r="E87" s="212"/>
      <c r="F87" s="212"/>
      <c r="G87" s="212"/>
      <c r="H87" s="212"/>
    </row>
    <row r="88" spans="5:8" ht="14.4">
      <c r="E88" s="56"/>
      <c r="F88" s="56"/>
      <c r="G88" s="56"/>
      <c r="H88" s="56"/>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row>
    <row r="94" spans="5:8">
      <c r="E94" s="365"/>
      <c r="F94" s="365"/>
    </row>
  </sheetData>
  <mergeCells count="25">
    <mergeCell ref="M56:P56"/>
    <mergeCell ref="B30:E30"/>
    <mergeCell ref="B31:C31"/>
    <mergeCell ref="D31:E31"/>
    <mergeCell ref="B32:B37"/>
    <mergeCell ref="C32:C37"/>
    <mergeCell ref="B41:D41"/>
    <mergeCell ref="B43:G43"/>
    <mergeCell ref="K43:O43"/>
    <mergeCell ref="B44:C44"/>
    <mergeCell ref="D44:E44"/>
    <mergeCell ref="N53:N55"/>
    <mergeCell ref="B23:C23"/>
    <mergeCell ref="D23:E23"/>
    <mergeCell ref="B1:O1"/>
    <mergeCell ref="G3:H3"/>
    <mergeCell ref="I3:J3"/>
    <mergeCell ref="K3:L3"/>
    <mergeCell ref="M3:N3"/>
    <mergeCell ref="B4:E4"/>
    <mergeCell ref="B5:C5"/>
    <mergeCell ref="D5:E5"/>
    <mergeCell ref="B6:B20"/>
    <mergeCell ref="C6:C20"/>
    <mergeCell ref="B22:E22"/>
  </mergeCells>
  <pageMargins left="0.7" right="0.7" top="0.75" bottom="0.75" header="0.3" footer="0.3"/>
  <pageSetup orientation="portrait" r:id="rId1"/>
  <legacyDrawing r:id="rId2"/>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26143-B965-452B-A140-6075961032A5}">
  <dimension ref="A1:T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AUG-SEP 2021</v>
      </c>
      <c r="B1" s="730" t="str">
        <f ca="1">MID(CELL("filename",B1),FIND("]",CELL("filename",B1))+1,255)</f>
        <v>SEP-OCT 2021</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E3" s="365"/>
      <c r="F3" s="365"/>
      <c r="G3" s="732">
        <v>44464</v>
      </c>
      <c r="H3" s="732"/>
      <c r="I3" s="732">
        <f>G3+7</f>
        <v>44471</v>
      </c>
      <c r="J3" s="732"/>
      <c r="K3" s="732">
        <f>I3+7</f>
        <v>44478</v>
      </c>
      <c r="L3" s="732"/>
      <c r="M3" s="732">
        <f>K3+7</f>
        <v>44485</v>
      </c>
      <c r="N3" s="732"/>
      <c r="O3" s="325" t="str">
        <f>0 &amp; " / " &amp; ROUND(0-O4,2)</f>
        <v>0 / -1384.92</v>
      </c>
      <c r="P3" s="325" t="s">
        <v>994</v>
      </c>
      <c r="Q3" s="282"/>
    </row>
    <row r="4" spans="1:20" ht="15" customHeight="1">
      <c r="B4" s="727" t="str">
        <f>_xlfn.CONCAT("Expenses - 50 - ",G42*0.5," / Actual = ",D5," (",ROUND((D5/G42)*100,2),")")</f>
        <v>Expenses - 50 - 2210.18 / Actual = 1560.69 (35.31)</v>
      </c>
      <c r="C4" s="727"/>
      <c r="D4" s="727"/>
      <c r="E4" s="727"/>
      <c r="F4" s="318"/>
      <c r="H4" s="243">
        <f>SUM(H5:H40)</f>
        <v>290.31</v>
      </c>
      <c r="J4" s="243">
        <f>SUM(J5:J40)</f>
        <v>215.81</v>
      </c>
      <c r="L4" s="243">
        <f>SUM(L5:L40)</f>
        <v>338.41</v>
      </c>
      <c r="N4" s="243">
        <f>SUM(N5:N40)</f>
        <v>540.3900000000001</v>
      </c>
      <c r="O4" s="308">
        <f>IF(H41&lt;&gt;"PAID",H4,0)+IF(J41&lt;&gt;"PAID",J4,0)+IF(L41&lt;&gt;"PAID",L4,0)+IF(N41&lt;&gt;"PAID",N4,0)</f>
        <v>1384.92</v>
      </c>
      <c r="P4" s="309" t="s">
        <v>973</v>
      </c>
      <c r="Q4" s="282"/>
      <c r="R4" s="243"/>
      <c r="S4" s="243"/>
    </row>
    <row r="5" spans="1:20" ht="15" customHeight="1">
      <c r="B5" s="733" t="str">
        <f>IF(D5&gt;E$42*0.5,ROUND(D5-E$42*0.5,2) &amp; " Over",ROUND(E$42*0.5-D5,2) &amp; " Under")</f>
        <v>6419.83 Under</v>
      </c>
      <c r="C5" s="733"/>
      <c r="D5" s="761">
        <f>SUM(F6:F20)</f>
        <v>1560.6899999999998</v>
      </c>
      <c r="E5" s="761"/>
      <c r="F5" s="321"/>
      <c r="G5" s="284"/>
      <c r="H5" s="306"/>
      <c r="I5" s="79"/>
      <c r="J5" s="306"/>
      <c r="K5" s="79"/>
      <c r="L5" s="306"/>
      <c r="M5" s="79"/>
      <c r="N5" s="305"/>
      <c r="O5" s="285">
        <f>SUMIF(O6:O20,"&gt;0")</f>
        <v>69.069999999999993</v>
      </c>
      <c r="P5" s="285" t="s">
        <v>892</v>
      </c>
      <c r="Q5" s="282">
        <f>SUM(Q6:Q20)</f>
        <v>119.33999999999997</v>
      </c>
      <c r="R5" s="243"/>
    </row>
    <row r="6" spans="1:20" ht="15" customHeight="1">
      <c r="B6" s="734" t="str">
        <f>"50%: " &amp; E$42*0.5</f>
        <v>50%: 7980.52</v>
      </c>
      <c r="C6" s="734" t="str">
        <f>ROUND((D5/E$42)*100,2) &amp; "%: " &amp;D5</f>
        <v>9.78%: 1560.69</v>
      </c>
      <c r="D6" s="13" t="s">
        <v>805</v>
      </c>
      <c r="E6" s="365">
        <v>25.85</v>
      </c>
      <c r="F6" s="374">
        <f>200-28.98</f>
        <v>171.02</v>
      </c>
      <c r="H6" s="305">
        <f>30.6+56.26</f>
        <v>86.86</v>
      </c>
      <c r="J6" s="305">
        <f>60</f>
        <v>60</v>
      </c>
      <c r="L6" s="305">
        <f>25.01</f>
        <v>25.01</v>
      </c>
      <c r="N6" s="305">
        <f>25</f>
        <v>25</v>
      </c>
      <c r="O6" s="274">
        <f>SUM(E6:F6)-SUM(G6:N6)</f>
        <v>0</v>
      </c>
      <c r="P6" s="274" t="str">
        <f t="shared" ref="P6:P20" si="0">D6</f>
        <v>Car Petrol / commuting</v>
      </c>
      <c r="Q6" s="282">
        <f t="shared" ref="Q6:Q20" si="1">IF(O6&lt;0,O6*-1,0)</f>
        <v>0</v>
      </c>
      <c r="R6" s="243"/>
    </row>
    <row r="7" spans="1:20" ht="15" customHeight="1">
      <c r="B7" s="734"/>
      <c r="C7" s="734"/>
      <c r="D7" s="13" t="s">
        <v>169</v>
      </c>
      <c r="E7" s="365">
        <v>0</v>
      </c>
      <c r="F7" s="365">
        <f>300-75+10</f>
        <v>235</v>
      </c>
      <c r="H7" s="305">
        <f>10</f>
        <v>10</v>
      </c>
      <c r="J7" s="305">
        <f>43.89+53.43</f>
        <v>97.32</v>
      </c>
      <c r="L7" s="305">
        <f>42.1+40.23+4.5</f>
        <v>86.83</v>
      </c>
      <c r="N7" s="305">
        <f>22.75+32.07+30.51+11.67</f>
        <v>97</v>
      </c>
      <c r="O7" s="274">
        <f>SUM(E7:F7)-SUM(G7:N7)</f>
        <v>-56.149999999999977</v>
      </c>
      <c r="P7" s="274" t="str">
        <f t="shared" si="0"/>
        <v>Food</v>
      </c>
      <c r="Q7" s="282">
        <f t="shared" si="1"/>
        <v>56.149999999999977</v>
      </c>
      <c r="R7" s="243"/>
    </row>
    <row r="8" spans="1:20" ht="15" customHeight="1">
      <c r="B8" s="734"/>
      <c r="C8" s="734"/>
      <c r="D8" s="13" t="s">
        <v>1055</v>
      </c>
      <c r="E8" s="365">
        <v>0</v>
      </c>
      <c r="F8" s="365">
        <f>40+100+28.98</f>
        <v>168.98</v>
      </c>
      <c r="H8" s="305">
        <f>48</f>
        <v>48</v>
      </c>
      <c r="I8">
        <f>30.24</f>
        <v>30.24</v>
      </c>
      <c r="J8" s="305">
        <f>21.96</f>
        <v>21.96</v>
      </c>
      <c r="K8">
        <f>37.59+8.42</f>
        <v>46.010000000000005</v>
      </c>
      <c r="L8" s="305">
        <f>32.47+10.44+4.99</f>
        <v>47.9</v>
      </c>
      <c r="M8">
        <f>5.99+17.85+-2.9</f>
        <v>20.940000000000005</v>
      </c>
      <c r="N8" s="305">
        <f>22.14+-8+2.98</f>
        <v>17.12</v>
      </c>
      <c r="O8" s="274">
        <f>SUM(E8:F8)-SUM(G8:N8)</f>
        <v>-63.19</v>
      </c>
      <c r="P8" s="274" t="str">
        <f t="shared" si="0"/>
        <v>Pet Food + Treats</v>
      </c>
      <c r="Q8" s="282">
        <f t="shared" si="1"/>
        <v>63.19</v>
      </c>
    </row>
    <row r="9" spans="1:20" ht="15" customHeight="1" outlineLevel="1">
      <c r="B9" s="734"/>
      <c r="C9" s="734"/>
      <c r="D9" s="201" t="s">
        <v>595</v>
      </c>
      <c r="E9" s="365">
        <v>0</v>
      </c>
      <c r="F9" s="365">
        <f>452.64</f>
        <v>452.64</v>
      </c>
      <c r="H9" s="305"/>
      <c r="J9" s="305"/>
      <c r="L9" s="305"/>
      <c r="M9">
        <v>452.64</v>
      </c>
      <c r="N9" s="305"/>
      <c r="O9" s="274">
        <f t="shared" ref="O9:O15" si="2">SUM(E9:F9)-SUM(G9:N9)</f>
        <v>0</v>
      </c>
      <c r="P9" s="274" t="str">
        <f t="shared" si="0"/>
        <v>Mortgage</v>
      </c>
      <c r="Q9" s="282">
        <f t="shared" si="1"/>
        <v>0</v>
      </c>
      <c r="R9" s="243"/>
      <c r="S9">
        <f>848.28-844.53</f>
        <v>3.75</v>
      </c>
    </row>
    <row r="10" spans="1:20" ht="15" customHeight="1" outlineLevel="1">
      <c r="B10" s="734"/>
      <c r="C10" s="734"/>
      <c r="D10" s="201" t="s">
        <v>596</v>
      </c>
      <c r="E10" s="365">
        <v>0</v>
      </c>
      <c r="F10" s="365">
        <v>135</v>
      </c>
      <c r="H10" s="305"/>
      <c r="J10" s="305"/>
      <c r="L10" s="305"/>
      <c r="M10">
        <v>135</v>
      </c>
      <c r="N10" s="305"/>
      <c r="O10" s="274">
        <f t="shared" si="2"/>
        <v>0</v>
      </c>
      <c r="P10" s="274" t="str">
        <f t="shared" si="0"/>
        <v>Council tax</v>
      </c>
      <c r="Q10" s="282">
        <f t="shared" si="1"/>
        <v>0</v>
      </c>
    </row>
    <row r="11" spans="1:20" ht="15" customHeight="1" outlineLevel="1">
      <c r="B11" s="734"/>
      <c r="C11" s="734"/>
      <c r="D11" s="201" t="s">
        <v>1002</v>
      </c>
      <c r="E11" s="365">
        <v>0</v>
      </c>
      <c r="F11" s="365">
        <f>29+55+1</f>
        <v>85</v>
      </c>
      <c r="G11">
        <f>1+55</f>
        <v>56</v>
      </c>
      <c r="H11" s="305"/>
      <c r="J11" s="305"/>
      <c r="L11" s="305"/>
      <c r="M11">
        <v>29</v>
      </c>
      <c r="N11" s="305"/>
      <c r="O11" s="274">
        <f>SUM(E11:F11)-SUM(G11:N11)</f>
        <v>0</v>
      </c>
      <c r="P11" s="274" t="str">
        <f t="shared" si="0"/>
        <v>Utilities (G,W,E,HTB)</v>
      </c>
      <c r="Q11" s="282">
        <f t="shared" si="1"/>
        <v>0</v>
      </c>
    </row>
    <row r="12" spans="1:20" ht="15" customHeight="1" outlineLevel="1">
      <c r="B12" s="734"/>
      <c r="C12" s="734"/>
      <c r="D12" s="201" t="s">
        <v>996</v>
      </c>
      <c r="E12" s="365">
        <v>0</v>
      </c>
      <c r="F12" s="365">
        <f>13.07</f>
        <v>13.07</v>
      </c>
      <c r="H12" s="305"/>
      <c r="J12" s="305"/>
      <c r="L12" s="305"/>
      <c r="N12" s="305"/>
      <c r="O12" s="274">
        <f>SUM(E12:F12)-SUM(G12:N12)</f>
        <v>13.07</v>
      </c>
      <c r="P12" s="274" t="str">
        <f t="shared" si="0"/>
        <v>Home Insurance</v>
      </c>
      <c r="Q12" s="282">
        <f t="shared" si="1"/>
        <v>0</v>
      </c>
    </row>
    <row r="13" spans="1:20" ht="15" customHeight="1" outlineLevel="1">
      <c r="B13" s="734"/>
      <c r="C13" s="734"/>
      <c r="D13" s="201" t="s">
        <v>359</v>
      </c>
      <c r="E13" s="365">
        <v>15</v>
      </c>
      <c r="F13" s="365">
        <f>15</f>
        <v>15</v>
      </c>
      <c r="H13" s="305"/>
      <c r="J13" s="305"/>
      <c r="L13" s="305"/>
      <c r="N13" s="305"/>
      <c r="O13" s="274">
        <f t="shared" si="2"/>
        <v>30</v>
      </c>
      <c r="P13" s="274" t="str">
        <f t="shared" si="0"/>
        <v>TV License</v>
      </c>
      <c r="Q13" s="282">
        <f t="shared" si="1"/>
        <v>0</v>
      </c>
    </row>
    <row r="14" spans="1:20" ht="15" customHeight="1" outlineLevel="1">
      <c r="B14" s="734"/>
      <c r="C14" s="734"/>
      <c r="D14" s="201" t="s">
        <v>1056</v>
      </c>
      <c r="E14" s="365">
        <v>0</v>
      </c>
      <c r="F14" s="365">
        <f>8+36.79+16.6</f>
        <v>61.39</v>
      </c>
      <c r="G14">
        <f>16.6</f>
        <v>16.600000000000001</v>
      </c>
      <c r="H14" s="305"/>
      <c r="J14" s="305"/>
      <c r="L14" s="305"/>
      <c r="M14">
        <f>8+36.79</f>
        <v>44.79</v>
      </c>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4.52+15.97+8.56</f>
        <v>29.050000000000004</v>
      </c>
      <c r="G15">
        <f>29.05</f>
        <v>29.05</v>
      </c>
      <c r="H15" s="305"/>
      <c r="I15" s="11"/>
      <c r="J15" s="305"/>
      <c r="L15" s="305"/>
      <c r="N15" s="305"/>
      <c r="O15" s="274">
        <f t="shared" si="2"/>
        <v>0</v>
      </c>
      <c r="P15" s="274" t="str">
        <f t="shared" si="0"/>
        <v>Life / Income Insurance</v>
      </c>
      <c r="Q15" s="282">
        <f t="shared" si="1"/>
        <v>0</v>
      </c>
    </row>
    <row r="16" spans="1:20" ht="15" customHeight="1" outlineLevel="1">
      <c r="B16" s="734"/>
      <c r="C16" s="734"/>
      <c r="D16" s="201" t="s">
        <v>602</v>
      </c>
      <c r="E16" s="365">
        <v>0</v>
      </c>
      <c r="F16" s="365">
        <v>26</v>
      </c>
      <c r="H16" s="305"/>
      <c r="J16" s="305"/>
      <c r="L16" s="305"/>
      <c r="N16" s="305"/>
      <c r="O16" s="274">
        <f>SUM(E16:F16)-SUM(G16:N16)</f>
        <v>26</v>
      </c>
      <c r="P16" s="274" t="str">
        <f t="shared" si="0"/>
        <v>Broadband / TV</v>
      </c>
      <c r="Q16" s="282">
        <f t="shared" si="1"/>
        <v>0</v>
      </c>
    </row>
    <row r="17" spans="2:19" ht="15" customHeight="1" outlineLevel="1">
      <c r="B17" s="734"/>
      <c r="C17" s="734"/>
      <c r="D17" s="201" t="s">
        <v>582</v>
      </c>
      <c r="E17" s="365">
        <v>0</v>
      </c>
      <c r="F17" s="365">
        <v>7.99</v>
      </c>
      <c r="H17" s="305"/>
      <c r="I17">
        <f>7.99</f>
        <v>7.99</v>
      </c>
      <c r="J17" s="305"/>
      <c r="L17" s="305"/>
      <c r="N17" s="305"/>
      <c r="O17" s="274">
        <f>SUM(E17:F17)-SUM(G17:N17)</f>
        <v>0</v>
      </c>
      <c r="P17" s="274" t="str">
        <f t="shared" si="0"/>
        <v>Onedrive (6th)</v>
      </c>
      <c r="Q17" s="282">
        <f t="shared" si="1"/>
        <v>0</v>
      </c>
    </row>
    <row r="18" spans="2:19" ht="15" customHeight="1" outlineLevel="1">
      <c r="B18" s="734"/>
      <c r="C18" s="734"/>
      <c r="D18" s="201" t="s">
        <v>788</v>
      </c>
      <c r="E18" s="365">
        <v>0</v>
      </c>
      <c r="F18" s="365">
        <v>10.56</v>
      </c>
      <c r="G18">
        <f>10.56</f>
        <v>10.56</v>
      </c>
      <c r="H18" s="305"/>
      <c r="J18" s="305"/>
      <c r="L18" s="305"/>
      <c r="N18" s="305"/>
      <c r="O18" s="274">
        <f>SUM(E18:F18)-SUM(G18:N18)</f>
        <v>0</v>
      </c>
      <c r="P18" s="274" t="str">
        <f t="shared" si="0"/>
        <v>Matt Phone</v>
      </c>
      <c r="Q18" s="282">
        <f t="shared" si="1"/>
        <v>0</v>
      </c>
    </row>
    <row r="19" spans="2:19" ht="15" customHeight="1" outlineLevel="1">
      <c r="B19" s="734"/>
      <c r="C19" s="734"/>
      <c r="D19" s="201" t="s">
        <v>985</v>
      </c>
      <c r="E19" s="365">
        <v>0</v>
      </c>
      <c r="F19" s="365">
        <f>28.87+50.08+42.45+13.59</f>
        <v>134.99</v>
      </c>
      <c r="G19">
        <f>13.59+28.87+50.08</f>
        <v>92.539999999999992</v>
      </c>
      <c r="H19" s="305"/>
      <c r="I19">
        <f>42.45</f>
        <v>42.45</v>
      </c>
      <c r="J19" s="305"/>
      <c r="L19" s="305"/>
      <c r="N19" s="305"/>
      <c r="O19" s="274">
        <f>SUM(E19:F19)-SUM(G19:N19)</f>
        <v>0</v>
      </c>
      <c r="P19" s="274" t="str">
        <f t="shared" si="0"/>
        <v>Car Tax / Insurance</v>
      </c>
      <c r="Q19" s="282">
        <f t="shared" si="1"/>
        <v>0</v>
      </c>
    </row>
    <row r="20" spans="2:19" ht="15" customHeight="1" outlineLevel="1">
      <c r="B20" s="734"/>
      <c r="C20" s="734"/>
      <c r="D20" s="201" t="s">
        <v>944</v>
      </c>
      <c r="E20" s="365">
        <v>0</v>
      </c>
      <c r="F20" s="365">
        <v>15</v>
      </c>
      <c r="G20">
        <f>15</f>
        <v>15</v>
      </c>
      <c r="H20" s="305"/>
      <c r="J20" s="305"/>
      <c r="L20" s="305"/>
      <c r="N20" s="305"/>
      <c r="O20" s="274">
        <f>SUM(E20:F20)-SUM(G20:N20)</f>
        <v>0</v>
      </c>
      <c r="P20" s="274" t="str">
        <f t="shared" si="0"/>
        <v>Windows</v>
      </c>
      <c r="Q20" s="282">
        <f t="shared" si="1"/>
        <v>0</v>
      </c>
    </row>
    <row r="21" spans="2:19" ht="15" customHeight="1">
      <c r="B21" s="118"/>
      <c r="C21" s="118"/>
      <c r="D21" s="188"/>
      <c r="E21" s="365"/>
      <c r="F21" s="365"/>
      <c r="H21" s="305"/>
      <c r="J21" s="305"/>
      <c r="L21" s="305"/>
      <c r="N21" s="305"/>
      <c r="O21" s="273"/>
      <c r="P21" s="273"/>
      <c r="Q21" s="282"/>
    </row>
    <row r="22" spans="2:19" ht="15" customHeight="1">
      <c r="B22" s="736" t="str">
        <f>_xlfn.CONCAT("Savings - 20 - ",G42*0.2," / Actual = ",D23," (",ROUND((D23/G42)*100,2),")")</f>
        <v>Savings - 20 - 884.072 / Actual = 134.99 (3.05)</v>
      </c>
      <c r="C22" s="736"/>
      <c r="D22" s="736"/>
      <c r="E22" s="736"/>
      <c r="F22" s="320"/>
      <c r="H22" s="305"/>
      <c r="J22" s="305"/>
      <c r="L22" s="305"/>
      <c r="N22" s="305"/>
      <c r="O22" s="274"/>
      <c r="P22" s="274"/>
      <c r="Q22" s="282"/>
    </row>
    <row r="23" spans="2:19" ht="15" customHeight="1">
      <c r="B23" s="727" t="str">
        <f>IF(ISNUMBER((SEARCH("Over",C$5))),"Operating under budget","Operating over budget")</f>
        <v>Operating over budget</v>
      </c>
      <c r="C23" s="727"/>
      <c r="D23" s="759">
        <f>SUM(F24:F28)</f>
        <v>134.99</v>
      </c>
      <c r="E23" s="759"/>
      <c r="F23" s="319"/>
      <c r="H23" s="305"/>
      <c r="J23" s="305"/>
      <c r="L23" s="305"/>
      <c r="N23" s="305"/>
      <c r="O23" s="285">
        <f>SUMIF(O24:O28,"&gt;0")</f>
        <v>79.800000000000523</v>
      </c>
      <c r="P23" s="285" t="s">
        <v>895</v>
      </c>
      <c r="Q23" s="282">
        <f>SUM(Q24:Q28)</f>
        <v>0</v>
      </c>
    </row>
    <row r="24" spans="2:19" ht="15" customHeight="1" outlineLevel="1">
      <c r="B24" s="7" t="str">
        <f>"20% : " &amp; E$42*0.2</f>
        <v>20% : 3192.208</v>
      </c>
      <c r="C24" s="7" t="str">
        <f>"20% : " &amp; E$42*0.2</f>
        <v>20% : 3192.208</v>
      </c>
      <c r="D24" s="300" t="s">
        <v>590</v>
      </c>
      <c r="E24" s="365">
        <f>90.5100000000009+125.85</f>
        <v>216.36000000000089</v>
      </c>
      <c r="F24" s="365">
        <f>50+14.99</f>
        <v>64.989999999999995</v>
      </c>
      <c r="H24" s="305"/>
      <c r="I24">
        <f>1.99+54.76</f>
        <v>56.75</v>
      </c>
      <c r="J24" s="305"/>
      <c r="L24" s="315">
        <f>19.49</f>
        <v>19.489999999999998</v>
      </c>
      <c r="N24" s="305"/>
      <c r="O24" s="274">
        <f>SUM(E24:F24)-SUM(G24:N24)-Q42</f>
        <v>79.800000000000523</v>
      </c>
      <c r="P24" s="274" t="str">
        <f t="shared" ref="P24:P28" si="3">D24</f>
        <v>Contingency</v>
      </c>
      <c r="Q24" s="282">
        <v>0</v>
      </c>
    </row>
    <row r="25" spans="2:19" ht="15" customHeight="1" outlineLevel="1">
      <c r="B25" s="7"/>
      <c r="C25" s="7"/>
      <c r="D25" s="300" t="s">
        <v>998</v>
      </c>
      <c r="E25" s="365">
        <f>235.85-125.85</f>
        <v>110</v>
      </c>
      <c r="F25" s="365">
        <f>50+20</f>
        <v>70</v>
      </c>
      <c r="G25" s="11"/>
      <c r="H25" s="306"/>
      <c r="I25">
        <f>180</f>
        <v>180</v>
      </c>
      <c r="J25" s="305"/>
      <c r="L25" s="305"/>
      <c r="N25" s="305"/>
      <c r="O25" s="274">
        <f>SUM(E25:F25)-SUM(G25:N25)</f>
        <v>0</v>
      </c>
      <c r="P25" s="274" t="str">
        <f t="shared" si="3"/>
        <v>Cars (Service / MOT)</v>
      </c>
      <c r="Q25" s="282">
        <f t="shared" ref="Q25:Q28" si="4">IF(O25&lt;0,O25*-1,0)</f>
        <v>0</v>
      </c>
    </row>
    <row r="26" spans="2:19" ht="15" customHeight="1" outlineLevel="1">
      <c r="B26" s="7"/>
      <c r="C26" s="7"/>
      <c r="D26" s="300" t="s">
        <v>999</v>
      </c>
      <c r="E26" s="365">
        <v>0</v>
      </c>
      <c r="F26" s="365">
        <v>0</v>
      </c>
      <c r="G26" s="11"/>
      <c r="H26" s="306"/>
      <c r="J26" s="305"/>
      <c r="L26" s="305"/>
      <c r="N26" s="305"/>
      <c r="O26" s="274">
        <f t="shared" ref="O26:O28" si="5">SUM(E26:F26)-SUM(G26:N26)</f>
        <v>0</v>
      </c>
      <c r="P26" s="274" t="str">
        <f t="shared" si="3"/>
        <v>Mortgage Overpayment</v>
      </c>
      <c r="Q26" s="282">
        <f t="shared" si="4"/>
        <v>0</v>
      </c>
    </row>
    <row r="27" spans="2:19" ht="15" customHeight="1" outlineLevel="1">
      <c r="B27" s="7"/>
      <c r="C27" s="7"/>
      <c r="D27" s="300" t="s">
        <v>1000</v>
      </c>
      <c r="E27" s="365">
        <v>0</v>
      </c>
      <c r="F27" s="365">
        <v>0</v>
      </c>
      <c r="G27" s="11"/>
      <c r="H27" s="306"/>
      <c r="J27" s="305"/>
      <c r="L27" s="305"/>
      <c r="N27" s="305"/>
      <c r="O27" s="274">
        <f t="shared" si="5"/>
        <v>0</v>
      </c>
      <c r="P27" s="274" t="str">
        <f t="shared" si="3"/>
        <v>Finance Overpayment</v>
      </c>
      <c r="Q27" s="282">
        <f t="shared" si="4"/>
        <v>0</v>
      </c>
    </row>
    <row r="28" spans="2:19" ht="15" customHeight="1" outlineLevel="1">
      <c r="B28" s="7"/>
      <c r="C28" s="7"/>
      <c r="D28" s="300" t="s">
        <v>814</v>
      </c>
      <c r="E28" s="365">
        <v>1682.3500000000001</v>
      </c>
      <c r="F28" s="365">
        <v>0</v>
      </c>
      <c r="G28" s="11">
        <f>1682.35</f>
        <v>1682.35</v>
      </c>
      <c r="H28" s="306"/>
      <c r="J28" s="305"/>
      <c r="L28" s="305"/>
      <c r="N28" s="305"/>
      <c r="O28" s="274">
        <f t="shared" si="5"/>
        <v>0</v>
      </c>
      <c r="P28" s="274" t="str">
        <f t="shared" si="3"/>
        <v>CC</v>
      </c>
      <c r="Q28" s="282">
        <f t="shared" si="4"/>
        <v>0</v>
      </c>
    </row>
    <row r="29" spans="2:19" ht="15" customHeight="1">
      <c r="B29" s="118"/>
      <c r="C29" s="118"/>
      <c r="E29" s="365"/>
      <c r="F29" s="365"/>
      <c r="H29" s="305"/>
      <c r="J29" s="305"/>
      <c r="L29" s="305"/>
      <c r="N29" s="305"/>
      <c r="O29" s="273"/>
      <c r="P29" s="273"/>
      <c r="Q29" s="282"/>
    </row>
    <row r="30" spans="2:19" ht="15" customHeight="1">
      <c r="B30" s="727" t="str">
        <f>_xlfn.CONCAT("Wants - 30 - ",G42*0.3," / Actual = ",D31," (",ROUND((D31/G42)*100,2),")")</f>
        <v>Wants - 30 - 1326.108 / Actual = 2743.46 (62.06)</v>
      </c>
      <c r="C30" s="727"/>
      <c r="D30" s="727"/>
      <c r="E30" s="727"/>
      <c r="F30" s="318"/>
      <c r="H30" s="305"/>
      <c r="J30" s="305"/>
      <c r="L30" s="305"/>
      <c r="N30" s="305"/>
      <c r="O30" s="273"/>
      <c r="P30" s="273"/>
      <c r="Q30" s="282"/>
    </row>
    <row r="31" spans="2:19" ht="15" customHeight="1">
      <c r="B31" s="727" t="str">
        <f>IF(ISNUMBER((SEARCH("Over",B$5))),"Operating under budget","Operating over budget")</f>
        <v>Operating over budget</v>
      </c>
      <c r="C31" s="727"/>
      <c r="D31" s="759">
        <f>(E$42-D5-D23-E41)</f>
        <v>2743.4599999999991</v>
      </c>
      <c r="E31" s="727"/>
      <c r="F31" s="319">
        <f>SUM(F32:F38)</f>
        <v>2743.4599999999991</v>
      </c>
      <c r="H31" s="305"/>
      <c r="J31" s="305"/>
      <c r="L31" s="305"/>
      <c r="N31" s="305"/>
      <c r="O31" s="285">
        <f>SUMIF(O32:O37,"&gt;0")</f>
        <v>8910.7799999999988</v>
      </c>
      <c r="P31" s="285" t="s">
        <v>899</v>
      </c>
      <c r="Q31" s="282">
        <f>SUM(Q32:Q38)</f>
        <v>5.9700000000003683</v>
      </c>
    </row>
    <row r="32" spans="2:19" ht="15" customHeight="1" outlineLevel="1">
      <c r="B32" s="734"/>
      <c r="C32" s="760"/>
      <c r="D32" s="300" t="s">
        <v>1036</v>
      </c>
      <c r="E32" s="365">
        <v>947.31999999999994</v>
      </c>
      <c r="F32" s="365">
        <f>400+680+150-29.09+80</f>
        <v>1280.9100000000001</v>
      </c>
      <c r="G32">
        <f>53.9+250+150+50+60.5+9.5+9.5+20+50</f>
        <v>653.4</v>
      </c>
      <c r="H32" s="305">
        <f>14.98+7.78</f>
        <v>22.76</v>
      </c>
      <c r="I32">
        <f>1472.07+80</f>
        <v>1552.07</v>
      </c>
      <c r="J32" s="305"/>
      <c r="L32" s="305"/>
      <c r="N32" s="305"/>
      <c r="O32" s="274">
        <f t="shared" ref="O32:O34" si="6">SUM(E32:F32)-SUM(G32:N32)</f>
        <v>0</v>
      </c>
      <c r="P32" s="274" t="str">
        <f>D32</f>
        <v>Eye Surgery</v>
      </c>
      <c r="Q32" s="282">
        <f t="shared" ref="Q32:Q35" si="7">IF(O32&lt;0,O32*-1,0)</f>
        <v>0</v>
      </c>
      <c r="R32" s="11"/>
      <c r="S32" s="11"/>
    </row>
    <row r="33" spans="2:19" ht="15" customHeight="1" outlineLevel="1">
      <c r="B33" s="734"/>
      <c r="C33" s="760"/>
      <c r="D33" s="300" t="s">
        <v>354</v>
      </c>
      <c r="E33" s="365">
        <v>0</v>
      </c>
      <c r="F33" s="365">
        <v>0</v>
      </c>
      <c r="H33" s="305"/>
      <c r="J33" s="305"/>
      <c r="L33" s="305"/>
      <c r="N33" s="305"/>
      <c r="O33" s="274">
        <f>SUM(E33:F33)-SUM(G33:N33)</f>
        <v>0</v>
      </c>
      <c r="P33" s="274" t="str">
        <f t="shared" ref="P33:P40" si="8">D33</f>
        <v>Holiday</v>
      </c>
      <c r="Q33" s="282">
        <f t="shared" si="7"/>
        <v>0</v>
      </c>
      <c r="R33" s="11"/>
      <c r="S33" s="11"/>
    </row>
    <row r="34" spans="2:19" ht="15" customHeight="1" outlineLevel="1">
      <c r="B34" s="734"/>
      <c r="C34" s="760"/>
      <c r="D34" s="300" t="s">
        <v>170</v>
      </c>
      <c r="E34" s="365">
        <v>666.82999999999993</v>
      </c>
      <c r="F34" s="365">
        <f>250-75</f>
        <v>175</v>
      </c>
      <c r="H34" s="305">
        <f>29.5</f>
        <v>29.5</v>
      </c>
      <c r="I34">
        <f>13.98</f>
        <v>13.98</v>
      </c>
      <c r="J34" s="305"/>
      <c r="L34" s="305"/>
      <c r="N34" s="305"/>
      <c r="O34" s="274">
        <f t="shared" si="6"/>
        <v>798.34999999999991</v>
      </c>
      <c r="P34" s="274" t="str">
        <f t="shared" si="8"/>
        <v>Gift Fund</v>
      </c>
      <c r="Q34" s="282">
        <f t="shared" si="7"/>
        <v>0</v>
      </c>
      <c r="R34" s="11"/>
      <c r="S34" s="11"/>
    </row>
    <row r="35" spans="2:19" ht="15" customHeight="1" outlineLevel="1">
      <c r="B35" s="734"/>
      <c r="C35" s="760"/>
      <c r="D35" s="300" t="s">
        <v>812</v>
      </c>
      <c r="E35" s="365">
        <f>7752.74+90-1000</f>
        <v>6842.74</v>
      </c>
      <c r="F35" s="365">
        <f>650+75+50+29.09+150-80-20-22.31</f>
        <v>831.78000000000009</v>
      </c>
      <c r="H35" s="305"/>
      <c r="J35" s="305"/>
      <c r="L35" s="305"/>
      <c r="M35">
        <f>6+24</f>
        <v>30</v>
      </c>
      <c r="N35" s="305"/>
      <c r="O35" s="274">
        <f>SUM(E35:F35)-SUM(G35:N35)-O39</f>
        <v>7644.5199999999995</v>
      </c>
      <c r="P35" s="274" t="str">
        <f t="shared" si="8"/>
        <v>Wedding</v>
      </c>
      <c r="Q35" s="282">
        <f t="shared" si="7"/>
        <v>0</v>
      </c>
      <c r="R35" s="11"/>
      <c r="S35" s="349"/>
    </row>
    <row r="36" spans="2:19" ht="15" customHeight="1" outlineLevel="1">
      <c r="B36" s="734"/>
      <c r="C36" s="760"/>
      <c r="D36" s="300" t="s">
        <v>772</v>
      </c>
      <c r="E36" s="365">
        <v>1000</v>
      </c>
      <c r="F36" s="365">
        <f>8.78</f>
        <v>8.7799999999999994</v>
      </c>
      <c r="H36" s="305"/>
      <c r="I36">
        <f>9+22</f>
        <v>31</v>
      </c>
      <c r="J36" s="305"/>
      <c r="L36" s="305">
        <f>98.97+24.08</f>
        <v>123.05</v>
      </c>
      <c r="N36" s="305">
        <f>271.98+26.34+88.5</f>
        <v>386.82</v>
      </c>
      <c r="O36" s="274">
        <f>SUM(E36:F36)-SUM(G36:N36)-O40</f>
        <v>467.90999999999997</v>
      </c>
      <c r="P36" s="274" t="str">
        <f t="shared" si="8"/>
        <v>Home</v>
      </c>
      <c r="Q36" s="282"/>
      <c r="R36" s="11"/>
      <c r="S36" s="349"/>
    </row>
    <row r="37" spans="2:19" ht="15.75" customHeight="1" outlineLevel="1">
      <c r="B37" s="734"/>
      <c r="C37" s="760"/>
      <c r="D37" s="13" t="s">
        <v>781</v>
      </c>
      <c r="E37" s="365">
        <v>0</v>
      </c>
      <c r="F37" s="365">
        <f>13+2+10+5.99+5.99+7.99+10.99</f>
        <v>55.960000000000008</v>
      </c>
      <c r="G37">
        <f>13+2+10.99</f>
        <v>25.990000000000002</v>
      </c>
      <c r="H37" s="305"/>
      <c r="I37">
        <f>7.99+10</f>
        <v>17.990000000000002</v>
      </c>
      <c r="J37" s="305"/>
      <c r="K37">
        <f>5.99</f>
        <v>5.99</v>
      </c>
      <c r="L37" s="305"/>
      <c r="M37">
        <f>7.99</f>
        <v>7.99</v>
      </c>
      <c r="N37" s="305"/>
      <c r="O37" s="274">
        <f t="shared" ref="O37:O40" si="9">SUM(E37:F37)-SUM(G37:N37)</f>
        <v>-2</v>
      </c>
      <c r="P37" s="274" t="str">
        <f t="shared" si="8"/>
        <v>Subscriptions</v>
      </c>
      <c r="Q37" s="282">
        <f>IF(O37&lt;0,O37*-1,0)</f>
        <v>2</v>
      </c>
      <c r="S37" s="349"/>
    </row>
    <row r="38" spans="2:19" ht="18" outlineLevel="1">
      <c r="B38" s="734"/>
      <c r="C38" s="760"/>
      <c r="D38" s="13" t="s">
        <v>922</v>
      </c>
      <c r="E38" s="365">
        <f>6.69000000000074+8.76</f>
        <v>15.45000000000074</v>
      </c>
      <c r="F38" s="365">
        <f>(D31-SUM(F32:F37))-F40</f>
        <v>391.02999999999884</v>
      </c>
      <c r="G38">
        <f>9.5+20+3.1+67.66+12.95</f>
        <v>113.21</v>
      </c>
      <c r="H38" s="305">
        <f>69.7+3.4+7.99+12.1</f>
        <v>93.19</v>
      </c>
      <c r="I38">
        <f>7.05+13.55</f>
        <v>20.6</v>
      </c>
      <c r="J38" s="305">
        <f>22.31+9.47+4.75</f>
        <v>36.53</v>
      </c>
      <c r="K38">
        <f>8.5</f>
        <v>8.5</v>
      </c>
      <c r="L38" s="305">
        <f>4.75+7.14+6.6+18.99+2.4-3.75</f>
        <v>36.130000000000003</v>
      </c>
      <c r="M38">
        <f>14+2+10.1+11.25+29.2+4.99+8.3+8</f>
        <v>87.839999999999989</v>
      </c>
      <c r="N38" s="305">
        <f>8.75+5.7</f>
        <v>14.45</v>
      </c>
      <c r="O38" s="274">
        <f>SUM(E38:F38)-SUM(G38:N38)</f>
        <v>-3.9700000000003683</v>
      </c>
      <c r="P38" s="274" t="str">
        <f t="shared" si="8"/>
        <v>Matt Fun</v>
      </c>
      <c r="Q38" s="282">
        <f>IF(SUM(E38:F38)-SUM(G38:N38)&lt;=0,(SUM(E38:F38)-SUM(G38:N38))*-1,0)</f>
        <v>3.9700000000003683</v>
      </c>
    </row>
    <row r="39" spans="2:19" ht="18" outlineLevel="1">
      <c r="B39" s="7"/>
      <c r="C39" s="284"/>
      <c r="D39" s="13" t="s">
        <v>1025</v>
      </c>
      <c r="E39" s="365">
        <v>0</v>
      </c>
      <c r="F39" s="365">
        <v>0</v>
      </c>
      <c r="H39" s="305"/>
      <c r="J39" s="305"/>
      <c r="L39" s="305"/>
      <c r="N39" s="305"/>
      <c r="O39" s="274">
        <f>SUM(G39:N39)</f>
        <v>0</v>
      </c>
      <c r="P39" s="274" t="str">
        <f t="shared" si="8"/>
        <v>Work Expenses</v>
      </c>
      <c r="Q39" s="333"/>
      <c r="S39" s="11"/>
    </row>
    <row r="40" spans="2:19" ht="18" outlineLevel="1">
      <c r="B40" s="7"/>
      <c r="C40" s="284"/>
      <c r="D40" s="13" t="s">
        <v>152</v>
      </c>
      <c r="E40" s="365">
        <v>0</v>
      </c>
      <c r="F40" s="365">
        <v>0</v>
      </c>
      <c r="H40" s="305"/>
      <c r="J40" s="305"/>
      <c r="L40" s="305"/>
      <c r="N40" s="305"/>
      <c r="O40" s="274">
        <f t="shared" si="9"/>
        <v>0</v>
      </c>
      <c r="P40" s="274" t="str">
        <f t="shared" si="8"/>
        <v>Kris</v>
      </c>
      <c r="Q40" s="271">
        <f>IF(F40-SUM(G40:N40)&lt;=0,(F40-SUM(G40:N40))*-1,0)</f>
        <v>0</v>
      </c>
    </row>
    <row r="41" spans="2:19">
      <c r="B41" s="118"/>
      <c r="C41" s="118"/>
      <c r="E41" s="365">
        <f>SUM(E32:E40)+SUM(E24:E28)+SUM(E6:E20)</f>
        <v>11521.900000000001</v>
      </c>
      <c r="F41" s="365"/>
      <c r="H41" s="7"/>
      <c r="J41" s="7"/>
      <c r="L41" s="7"/>
      <c r="N41" s="7"/>
      <c r="O41" s="273"/>
      <c r="P41" s="273"/>
      <c r="Q41" s="282"/>
    </row>
    <row r="42" spans="2:19" ht="18">
      <c r="B42" s="728" t="s">
        <v>817</v>
      </c>
      <c r="C42" s="728"/>
      <c r="D42" s="728"/>
      <c r="E42" s="375">
        <f>G42+I42+K42+M42+N42+E41</f>
        <v>15961.04</v>
      </c>
      <c r="F42" s="379"/>
      <c r="G42" s="271">
        <f>2870.36+1130+200+220</f>
        <v>4420.3600000000006</v>
      </c>
      <c r="H42" s="271"/>
      <c r="I42" s="271">
        <f>10</f>
        <v>10</v>
      </c>
      <c r="J42" s="271"/>
      <c r="K42" s="271">
        <f>8.78</f>
        <v>8.7799999999999994</v>
      </c>
      <c r="L42" s="271"/>
      <c r="M42" s="271"/>
      <c r="N42" s="271"/>
      <c r="O42" s="314" t="str">
        <f>"£" &amp; ROUND(O5+O31+O23+IF(O38&lt;0,0,O38)+O40+O4,2) &amp; " / " &amp; "£" &amp; E42</f>
        <v>£10444.57 / £15961.04</v>
      </c>
      <c r="P42" s="274"/>
      <c r="Q42" s="282">
        <f>SUM(Q31,Q23,Q5)</f>
        <v>125.31000000000034</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991</v>
      </c>
      <c r="O45" s="316">
        <v>44483</v>
      </c>
      <c r="P45" s="7">
        <f ca="1">DATEDIF(O45,NOW(),"d")</f>
        <v>1768</v>
      </c>
      <c r="Q45">
        <v>8.5</v>
      </c>
      <c r="R45" t="s">
        <v>1073</v>
      </c>
    </row>
    <row r="46" spans="2:19">
      <c r="B46" s="365"/>
      <c r="C46" s="38"/>
      <c r="E46" s="11"/>
      <c r="F46" s="11"/>
      <c r="G46" s="243" t="s">
        <v>917</v>
      </c>
      <c r="H46" s="243">
        <v>80</v>
      </c>
      <c r="I46" t="s">
        <v>1074</v>
      </c>
      <c r="K46" s="214"/>
      <c r="L46" s="214"/>
      <c r="N46" s="322" t="s">
        <v>992</v>
      </c>
      <c r="O46" s="42">
        <v>44483</v>
      </c>
      <c r="P46" s="7">
        <f ca="1">DATEDIF(O46,NOW(),"d")</f>
        <v>1768</v>
      </c>
      <c r="Q46">
        <v>2.4</v>
      </c>
      <c r="R46" t="s">
        <v>1075</v>
      </c>
    </row>
    <row r="47" spans="2:19">
      <c r="E47" s="365"/>
      <c r="F47" s="365"/>
      <c r="G47" s="11"/>
      <c r="H47" s="11"/>
      <c r="L47" s="347"/>
      <c r="O47"/>
      <c r="P47"/>
    </row>
    <row r="48" spans="2:19" ht="16.2" customHeight="1">
      <c r="E48" s="365"/>
      <c r="F48" s="365"/>
      <c r="G48" s="11"/>
      <c r="J48" s="332"/>
      <c r="K48" s="332"/>
      <c r="L48" s="332"/>
      <c r="M48" s="332"/>
      <c r="N48" s="212"/>
      <c r="O48" s="212"/>
      <c r="P48" s="212"/>
    </row>
    <row r="49" spans="2:17">
      <c r="B49" s="378"/>
      <c r="E49"/>
      <c r="F49" s="38"/>
      <c r="G49" s="11">
        <f>530</f>
        <v>530</v>
      </c>
      <c r="H49" s="11"/>
      <c r="J49" s="11"/>
      <c r="K49" s="56"/>
      <c r="L49" s="56"/>
      <c r="M49" s="365"/>
      <c r="N49" s="56"/>
      <c r="O49" s="243"/>
      <c r="P49" s="56"/>
    </row>
    <row r="50" spans="2:17">
      <c r="E50"/>
      <c r="F50" s="38"/>
      <c r="G50" s="11">
        <f>G49-H50</f>
        <v>380</v>
      </c>
      <c r="H50" s="11">
        <v>150</v>
      </c>
      <c r="I50" t="s">
        <v>1076</v>
      </c>
      <c r="J50" s="11"/>
      <c r="K50" s="56"/>
      <c r="L50" s="243"/>
      <c r="M50" s="365"/>
      <c r="N50" s="56"/>
      <c r="O50" s="11"/>
      <c r="P50"/>
    </row>
    <row r="51" spans="2:17">
      <c r="E51" s="365"/>
      <c r="F51" s="365"/>
      <c r="G51" s="38">
        <f>G50-H51</f>
        <v>230</v>
      </c>
      <c r="H51" s="38">
        <f>150</f>
        <v>150</v>
      </c>
      <c r="I51" t="s">
        <v>1077</v>
      </c>
      <c r="J51" s="11"/>
      <c r="M51" s="365"/>
      <c r="N51" s="56"/>
      <c r="O51" s="284"/>
      <c r="P51" s="212"/>
      <c r="Q51" s="212"/>
    </row>
    <row r="52" spans="2:17">
      <c r="E52" s="11"/>
      <c r="F52" s="11"/>
      <c r="G52" s="11">
        <f>G51-H52</f>
        <v>0</v>
      </c>
      <c r="H52" s="38">
        <v>230</v>
      </c>
      <c r="I52" t="s">
        <v>1078</v>
      </c>
      <c r="J52" s="11"/>
      <c r="M52" s="365"/>
      <c r="N52" s="56"/>
      <c r="O52" s="56"/>
      <c r="P52" s="56"/>
      <c r="Q52" s="38"/>
    </row>
    <row r="53" spans="2:17">
      <c r="E53" s="365"/>
      <c r="F53" s="214"/>
      <c r="J53" s="11"/>
      <c r="N53" s="56"/>
    </row>
    <row r="54" spans="2:17">
      <c r="E54" s="214"/>
      <c r="F54" s="214"/>
      <c r="G54" s="11"/>
      <c r="H54" s="38"/>
      <c r="I54" s="11"/>
      <c r="J54" s="11"/>
      <c r="M54" s="365"/>
      <c r="N54" s="764"/>
    </row>
    <row r="55" spans="2:17">
      <c r="E55" s="365"/>
      <c r="F55" s="365"/>
      <c r="G55" s="11"/>
      <c r="H55" s="38"/>
      <c r="I55" s="11"/>
      <c r="J55" s="11"/>
      <c r="N55" s="765"/>
      <c r="O55" s="275"/>
      <c r="P55" s="275"/>
    </row>
    <row r="56" spans="2:17">
      <c r="B56" s="11"/>
      <c r="E56" s="365"/>
      <c r="F56" s="365"/>
      <c r="G56" s="11"/>
      <c r="H56" s="38"/>
      <c r="I56" s="11"/>
      <c r="J56" s="11"/>
      <c r="N56" s="765"/>
    </row>
    <row r="57" spans="2:17" ht="14.4">
      <c r="B57" s="11"/>
      <c r="E57" s="351"/>
      <c r="F57"/>
      <c r="G57" s="11"/>
      <c r="H57" s="38"/>
      <c r="I57" s="11"/>
      <c r="J57" s="11"/>
      <c r="L57" s="79"/>
      <c r="M57" s="726"/>
      <c r="N57" s="726"/>
      <c r="O57" s="726"/>
      <c r="P57" s="726"/>
    </row>
    <row r="58" spans="2:17">
      <c r="E58"/>
      <c r="F58"/>
      <c r="G58" s="11"/>
      <c r="H58" s="38"/>
      <c r="I58" s="11"/>
      <c r="N58" s="278"/>
      <c r="O58" s="212"/>
      <c r="P58" s="212"/>
    </row>
    <row r="59" spans="2:17">
      <c r="B59" s="212"/>
      <c r="C59" s="212"/>
      <c r="E59" s="243"/>
      <c r="F59"/>
      <c r="G59" s="11"/>
      <c r="H59" s="38"/>
      <c r="I59" s="11"/>
      <c r="J59" s="349"/>
      <c r="N59" s="376"/>
      <c r="O59" s="214"/>
      <c r="P59" s="214"/>
    </row>
    <row r="60" spans="2:17">
      <c r="C60" s="56"/>
      <c r="D60" s="243"/>
      <c r="E60"/>
      <c r="F60"/>
      <c r="G60" s="11"/>
      <c r="H60" s="38"/>
      <c r="I60" s="11"/>
      <c r="N60" s="365"/>
      <c r="O60"/>
      <c r="P60"/>
    </row>
    <row r="61" spans="2:17">
      <c r="C61" s="56"/>
      <c r="E61"/>
      <c r="F61"/>
      <c r="H61" s="38"/>
      <c r="I61" s="11"/>
      <c r="J61" s="349"/>
      <c r="N61" s="278"/>
      <c r="O61" s="212"/>
      <c r="P61" s="212"/>
    </row>
    <row r="62" spans="2:17">
      <c r="C62" s="56"/>
      <c r="D62" s="56"/>
      <c r="E62"/>
      <c r="F62"/>
      <c r="H62" s="38"/>
      <c r="I62" s="11"/>
      <c r="N62" s="365"/>
      <c r="O62" s="56"/>
      <c r="P62" s="56"/>
    </row>
    <row r="63" spans="2:17">
      <c r="C63" s="56"/>
      <c r="E63"/>
      <c r="F63"/>
      <c r="H63" s="38"/>
      <c r="I63" s="11"/>
      <c r="N63" s="365"/>
      <c r="O63"/>
      <c r="P63"/>
    </row>
    <row r="64" spans="2:17">
      <c r="C64" s="56"/>
      <c r="E64"/>
      <c r="F64"/>
      <c r="H64" s="38"/>
      <c r="I64" s="11"/>
      <c r="N64" s="278"/>
      <c r="O64" s="212"/>
      <c r="P64" s="212"/>
    </row>
    <row r="65" spans="2:16">
      <c r="C65" s="56"/>
      <c r="E65"/>
      <c r="F65"/>
      <c r="H65" s="38"/>
      <c r="I65" s="11"/>
      <c r="N65" s="365"/>
      <c r="O65" s="38"/>
      <c r="P65" s="56"/>
    </row>
    <row r="66" spans="2:16" ht="14.4">
      <c r="C66" s="56"/>
      <c r="E66"/>
      <c r="F66"/>
      <c r="H66" s="38"/>
      <c r="I66" s="11"/>
      <c r="O66"/>
    </row>
    <row r="67" spans="2:16" ht="14.4">
      <c r="C67" s="56"/>
      <c r="E67"/>
      <c r="F67"/>
      <c r="H67" s="38"/>
      <c r="I67" s="11"/>
    </row>
    <row r="68" spans="2:16" ht="14.4">
      <c r="C68" s="56"/>
      <c r="E68"/>
      <c r="F68"/>
    </row>
    <row r="69" spans="2:16" ht="14.4">
      <c r="C69" s="56"/>
      <c r="E69"/>
      <c r="F69"/>
    </row>
    <row r="70" spans="2:16" ht="14.4">
      <c r="C70" s="56"/>
      <c r="E70"/>
      <c r="F70"/>
    </row>
    <row r="71" spans="2:16">
      <c r="E71" s="365"/>
      <c r="F71" s="365"/>
    </row>
    <row r="72" spans="2:16" ht="14.4">
      <c r="B72" s="212"/>
      <c r="C72" s="294"/>
      <c r="D72" s="212"/>
      <c r="E72" s="212"/>
      <c r="F72" s="212"/>
      <c r="G72" s="212"/>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5">
    <mergeCell ref="M57:P57"/>
    <mergeCell ref="B30:E30"/>
    <mergeCell ref="B31:C31"/>
    <mergeCell ref="D31:E31"/>
    <mergeCell ref="B32:B38"/>
    <mergeCell ref="C32:C38"/>
    <mergeCell ref="B42:D42"/>
    <mergeCell ref="B44:G44"/>
    <mergeCell ref="K44:O44"/>
    <mergeCell ref="B45:C45"/>
    <mergeCell ref="D45:E45"/>
    <mergeCell ref="N54:N56"/>
    <mergeCell ref="B23:C23"/>
    <mergeCell ref="D23:E23"/>
    <mergeCell ref="B1:O1"/>
    <mergeCell ref="G3:H3"/>
    <mergeCell ref="I3:J3"/>
    <mergeCell ref="K3:L3"/>
    <mergeCell ref="M3:N3"/>
    <mergeCell ref="B4:E4"/>
    <mergeCell ref="B5:C5"/>
    <mergeCell ref="D5:E5"/>
    <mergeCell ref="B6:B20"/>
    <mergeCell ref="C6:C20"/>
    <mergeCell ref="B22:E22"/>
  </mergeCells>
  <pageMargins left="0.7" right="0.7" top="0.75" bottom="0.75" header="0.3" footer="0.3"/>
  <pageSetup orientation="portrait" r:id="rId1"/>
  <legacy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D4083-8CC1-41C2-B154-C61BFA443874}">
  <dimension ref="A1:T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SEP-OCT 2021</v>
      </c>
      <c r="B1" s="730" t="str">
        <f ca="1">MID(CELL("filename",B1),FIND("]",CELL("filename",B1))+1,255)</f>
        <v>OCT-NOV 2021</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E3" s="365"/>
      <c r="F3" s="365"/>
      <c r="G3" s="732">
        <v>44494</v>
      </c>
      <c r="H3" s="732"/>
      <c r="I3" s="732">
        <f>G3+7</f>
        <v>44501</v>
      </c>
      <c r="J3" s="732"/>
      <c r="K3" s="732">
        <f>I3+7</f>
        <v>44508</v>
      </c>
      <c r="L3" s="732"/>
      <c r="M3" s="732">
        <f>K3+7</f>
        <v>44515</v>
      </c>
      <c r="N3" s="732"/>
      <c r="O3" s="325" t="str">
        <f>0 &amp; " / " &amp; ROUND(0-O4,2)</f>
        <v>0 / 0</v>
      </c>
      <c r="P3" s="325" t="s">
        <v>994</v>
      </c>
      <c r="Q3" s="282"/>
    </row>
    <row r="4" spans="1:20" ht="15" customHeight="1">
      <c r="B4" s="727" t="str">
        <f>_xlfn.CONCAT("Expenses - 50 - ",G42*0.5," / Actual = ",D5," (",ROUND((D5/G42)*100,2),")")</f>
        <v>Expenses - 50 - 2358.14 / Actual = 1560.63 (33.09)</v>
      </c>
      <c r="C4" s="727"/>
      <c r="D4" s="727"/>
      <c r="E4" s="727"/>
      <c r="F4" s="318"/>
      <c r="H4" s="243">
        <f>SUM(H5:H40)</f>
        <v>264.7</v>
      </c>
      <c r="J4" s="243">
        <f>SUM(J5:J40)</f>
        <v>600.81000000000006</v>
      </c>
      <c r="L4" s="243">
        <f>SUM(L5:L40)</f>
        <v>548.98</v>
      </c>
      <c r="N4" s="243">
        <f>SUM(N5:N40)</f>
        <v>213.56</v>
      </c>
      <c r="O4" s="308">
        <f>IF(H41&lt;&gt;"PAID",H4,0)+IF(J41&lt;&gt;"PAID",J4,0)+IF(L41&lt;&gt;"PAID",L4,0)+IF(N41&lt;&gt;"PAID",N4,0)</f>
        <v>0</v>
      </c>
      <c r="P4" s="309" t="s">
        <v>973</v>
      </c>
      <c r="Q4" s="282"/>
      <c r="R4" s="243"/>
      <c r="S4" s="243"/>
    </row>
    <row r="5" spans="1:20" ht="15" customHeight="1">
      <c r="B5" s="733" t="str">
        <f>IF(D5&gt;E$42*0.5,ROUND(D5-E$42*0.5,2) &amp; " Over",ROUND(E$42*0.5-D5,2) &amp; " Under")</f>
        <v>6196.29 Under</v>
      </c>
      <c r="C5" s="733"/>
      <c r="D5" s="761">
        <f>SUM(F6:F21)</f>
        <v>1560.6299999999999</v>
      </c>
      <c r="E5" s="761"/>
      <c r="F5" s="321"/>
      <c r="G5" s="284"/>
      <c r="H5" s="306"/>
      <c r="I5" s="79"/>
      <c r="J5" s="306"/>
      <c r="K5" s="79"/>
      <c r="L5" s="306"/>
      <c r="M5" s="79"/>
      <c r="N5" s="305"/>
      <c r="O5" s="285">
        <f>SUMIF(O6:O21,"&gt;0")</f>
        <v>28.240000000000009</v>
      </c>
      <c r="P5" s="285" t="s">
        <v>892</v>
      </c>
      <c r="Q5" s="282">
        <f>SUM(Q6:Q21)</f>
        <v>114.26999999999998</v>
      </c>
      <c r="R5" s="243"/>
    </row>
    <row r="6" spans="1:20" ht="15" customHeight="1">
      <c r="B6" s="734" t="str">
        <f>"50%: " &amp; E$42*0.5</f>
        <v>50%: 7756.92</v>
      </c>
      <c r="C6" s="734" t="str">
        <f>ROUND((D5/E$42)*100,2) &amp; "%: " &amp;D5</f>
        <v>10.06%: 1560.63</v>
      </c>
      <c r="D6" s="13" t="s">
        <v>805</v>
      </c>
      <c r="E6" s="365">
        <v>0</v>
      </c>
      <c r="F6" s="374">
        <v>250</v>
      </c>
      <c r="H6" s="305">
        <f>27.41+66.03+63.86</f>
        <v>157.30000000000001</v>
      </c>
      <c r="J6" s="305"/>
      <c r="L6" s="305">
        <f>35.14+28.21</f>
        <v>63.35</v>
      </c>
      <c r="N6" s="305">
        <f>30.25</f>
        <v>30.25</v>
      </c>
      <c r="O6" s="274">
        <f>SUM(E6:F6)-SUM(G6:N6)</f>
        <v>-0.90000000000000568</v>
      </c>
      <c r="P6" s="274" t="str">
        <f t="shared" ref="P6:P21" si="0">D6</f>
        <v>Car Petrol / commuting</v>
      </c>
      <c r="Q6" s="282">
        <f t="shared" ref="Q6:Q21" si="1">IF(O6&lt;0,O6*-1,0)</f>
        <v>0.90000000000000568</v>
      </c>
      <c r="R6" s="243"/>
    </row>
    <row r="7" spans="1:20" ht="15" customHeight="1">
      <c r="B7" s="734"/>
      <c r="C7" s="734"/>
      <c r="D7" s="13" t="s">
        <v>169</v>
      </c>
      <c r="E7" s="365">
        <v>0</v>
      </c>
      <c r="F7" s="365">
        <f>300-45-50</f>
        <v>205</v>
      </c>
      <c r="G7">
        <f>4.18+6.8+4+1+5.6+2+4.45</f>
        <v>28.029999999999998</v>
      </c>
      <c r="H7" s="305"/>
      <c r="J7" s="305">
        <f>15.31+5.5+2.5</f>
        <v>23.310000000000002</v>
      </c>
      <c r="L7" s="305">
        <f>29.54+49.5+12.52</f>
        <v>91.559999999999988</v>
      </c>
      <c r="M7">
        <f>50.77</f>
        <v>50.77</v>
      </c>
      <c r="N7" s="305">
        <f>66.85</f>
        <v>66.849999999999994</v>
      </c>
      <c r="O7" s="274">
        <f>SUM(E7:F7)-SUM(G7:N7)</f>
        <v>-55.519999999999982</v>
      </c>
      <c r="P7" s="274" t="str">
        <f t="shared" si="0"/>
        <v>Food</v>
      </c>
      <c r="Q7" s="282">
        <f t="shared" si="1"/>
        <v>55.519999999999982</v>
      </c>
      <c r="R7" s="243"/>
    </row>
    <row r="8" spans="1:20" ht="15" customHeight="1">
      <c r="B8" s="734"/>
      <c r="C8" s="734"/>
      <c r="D8" s="13" t="s">
        <v>153</v>
      </c>
      <c r="E8" s="365">
        <v>0</v>
      </c>
      <c r="F8" s="365">
        <f>130+0.53</f>
        <v>130.53</v>
      </c>
      <c r="G8">
        <f>4.35+18.9+20</f>
        <v>43.25</v>
      </c>
      <c r="H8" s="305"/>
      <c r="I8">
        <f>31.7+25.9</f>
        <v>57.599999999999994</v>
      </c>
      <c r="J8" s="362"/>
      <c r="L8" s="305">
        <f>12</f>
        <v>12</v>
      </c>
      <c r="M8">
        <f>43.38+9.45+22.7</f>
        <v>75.53</v>
      </c>
      <c r="N8" s="305"/>
      <c r="O8" s="274">
        <f>SUM(E8:F8)-SUM(G8:N8)</f>
        <v>-57.849999999999994</v>
      </c>
      <c r="P8" s="274" t="str">
        <f t="shared" si="0"/>
        <v>Luna</v>
      </c>
      <c r="Q8" s="282">
        <f t="shared" si="1"/>
        <v>57.849999999999994</v>
      </c>
    </row>
    <row r="9" spans="1:20" ht="15" customHeight="1">
      <c r="B9" s="734"/>
      <c r="C9" s="734"/>
      <c r="D9" s="13" t="s">
        <v>1079</v>
      </c>
      <c r="E9" s="365">
        <v>0</v>
      </c>
      <c r="F9" s="365">
        <f>10-0.53</f>
        <v>9.4700000000000006</v>
      </c>
      <c r="H9" s="305"/>
      <c r="J9" s="305">
        <f>9.47</f>
        <v>9.4700000000000006</v>
      </c>
      <c r="L9" s="305"/>
      <c r="N9" s="305"/>
      <c r="O9" s="274">
        <f>SUM(E9:F9)-SUM(G9:N9)</f>
        <v>0</v>
      </c>
      <c r="P9" s="274" t="str">
        <f t="shared" si="0"/>
        <v>Creamy</v>
      </c>
      <c r="Q9" s="282">
        <f t="shared" si="1"/>
        <v>0</v>
      </c>
    </row>
    <row r="10" spans="1:20" ht="15" customHeight="1" outlineLevel="1">
      <c r="B10" s="734"/>
      <c r="C10" s="734"/>
      <c r="D10" s="201" t="s">
        <v>595</v>
      </c>
      <c r="E10" s="365">
        <v>0</v>
      </c>
      <c r="F10" s="365">
        <f>452.64</f>
        <v>452.64</v>
      </c>
      <c r="H10" s="305"/>
      <c r="J10" s="305"/>
      <c r="L10" s="305"/>
      <c r="M10">
        <f>452.64</f>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135</v>
      </c>
      <c r="H11" s="305"/>
      <c r="J11" s="305"/>
      <c r="L11" s="305"/>
      <c r="M11">
        <f>135</f>
        <v>135</v>
      </c>
      <c r="N11" s="305"/>
      <c r="O11" s="274">
        <f t="shared" si="2"/>
        <v>0</v>
      </c>
      <c r="P11" s="274" t="str">
        <f t="shared" si="0"/>
        <v>Council tax</v>
      </c>
      <c r="Q11" s="282">
        <f t="shared" si="1"/>
        <v>0</v>
      </c>
    </row>
    <row r="12" spans="1:20" ht="15" customHeight="1" outlineLevel="1">
      <c r="B12" s="734"/>
      <c r="C12" s="734"/>
      <c r="D12" s="201" t="s">
        <v>1002</v>
      </c>
      <c r="E12" s="365">
        <v>0</v>
      </c>
      <c r="F12" s="365">
        <f>29+55+1</f>
        <v>85</v>
      </c>
      <c r="H12" s="305"/>
      <c r="I12">
        <f>1+55</f>
        <v>56</v>
      </c>
      <c r="J12" s="305"/>
      <c r="L12" s="305"/>
      <c r="M12">
        <f>29</f>
        <v>29</v>
      </c>
      <c r="N12" s="305"/>
      <c r="O12" s="274">
        <f>SUM(E12:F12)-SUM(G12:N12)</f>
        <v>0</v>
      </c>
      <c r="P12" s="274" t="str">
        <f t="shared" si="0"/>
        <v>Utilities (G,W,E,HTB)</v>
      </c>
      <c r="Q12" s="282">
        <f t="shared" si="1"/>
        <v>0</v>
      </c>
    </row>
    <row r="13" spans="1:20" ht="15" customHeight="1" outlineLevel="1">
      <c r="B13" s="734"/>
      <c r="C13" s="734"/>
      <c r="D13" s="201" t="s">
        <v>996</v>
      </c>
      <c r="E13" s="365">
        <v>13.07</v>
      </c>
      <c r="F13" s="365">
        <f>13.07</f>
        <v>13.07</v>
      </c>
      <c r="G13">
        <f>13.07</f>
        <v>13.07</v>
      </c>
      <c r="H13" s="305"/>
      <c r="J13" s="305"/>
      <c r="L13" s="305"/>
      <c r="M13">
        <v>13.07</v>
      </c>
      <c r="N13" s="305"/>
      <c r="O13" s="274">
        <f>SUM(E13:F13)-SUM(G13:N13)</f>
        <v>0</v>
      </c>
      <c r="P13" s="274" t="str">
        <f t="shared" si="0"/>
        <v>Home Insurance</v>
      </c>
      <c r="Q13" s="282">
        <f t="shared" si="1"/>
        <v>0</v>
      </c>
    </row>
    <row r="14" spans="1:20" ht="15" customHeight="1" outlineLevel="1">
      <c r="B14" s="734"/>
      <c r="C14" s="734"/>
      <c r="D14" s="201" t="s">
        <v>359</v>
      </c>
      <c r="E14" s="365">
        <v>30</v>
      </c>
      <c r="F14" s="365">
        <f>15-4</f>
        <v>11</v>
      </c>
      <c r="H14" s="305"/>
      <c r="J14" s="305"/>
      <c r="L14" s="305"/>
      <c r="M14">
        <f>41</f>
        <v>41</v>
      </c>
      <c r="N14" s="305"/>
      <c r="O14" s="274">
        <f t="shared" si="2"/>
        <v>0</v>
      </c>
      <c r="P14" s="274" t="str">
        <f t="shared" si="0"/>
        <v>TV License</v>
      </c>
      <c r="Q14" s="282">
        <f t="shared" si="1"/>
        <v>0</v>
      </c>
    </row>
    <row r="15" spans="1:20" ht="15" customHeight="1" outlineLevel="1">
      <c r="B15" s="734"/>
      <c r="C15" s="734"/>
      <c r="D15" s="201" t="s">
        <v>1056</v>
      </c>
      <c r="E15" s="365">
        <v>0</v>
      </c>
      <c r="F15" s="365">
        <f>8+36.79+16.6</f>
        <v>61.39</v>
      </c>
      <c r="H15" s="305"/>
      <c r="I15">
        <f>16.6</f>
        <v>16.600000000000001</v>
      </c>
      <c r="J15" s="305"/>
      <c r="L15" s="305"/>
      <c r="M15">
        <f>8+36.79</f>
        <v>44.79</v>
      </c>
      <c r="N15" s="305"/>
      <c r="O15" s="274">
        <f>SUM(E15:F15)-SUM(G15:N15)</f>
        <v>0</v>
      </c>
      <c r="P15" s="274" t="str">
        <f t="shared" si="0"/>
        <v>Pet Health / Insurance</v>
      </c>
      <c r="Q15" s="282">
        <f t="shared" si="1"/>
        <v>0</v>
      </c>
    </row>
    <row r="16" spans="1:20" ht="15" customHeight="1" outlineLevel="1">
      <c r="B16" s="734"/>
      <c r="C16" s="734"/>
      <c r="D16" s="201" t="s">
        <v>1057</v>
      </c>
      <c r="E16" s="365">
        <v>0</v>
      </c>
      <c r="F16" s="365">
        <f>4.52+15.97+8.56</f>
        <v>29.050000000000004</v>
      </c>
      <c r="H16" s="305"/>
      <c r="I16" s="11">
        <f>29.05</f>
        <v>29.05</v>
      </c>
      <c r="J16" s="305"/>
      <c r="L16" s="305"/>
      <c r="N16" s="305"/>
      <c r="O16" s="274">
        <f t="shared" si="2"/>
        <v>0</v>
      </c>
      <c r="P16" s="274" t="str">
        <f t="shared" si="0"/>
        <v>Life / Income Insurance</v>
      </c>
      <c r="Q16" s="282">
        <f t="shared" si="1"/>
        <v>0</v>
      </c>
    </row>
    <row r="17" spans="2:17" ht="15" customHeight="1" outlineLevel="1">
      <c r="B17" s="734"/>
      <c r="C17" s="734"/>
      <c r="D17" s="201" t="s">
        <v>602</v>
      </c>
      <c r="E17" s="365">
        <v>26</v>
      </c>
      <c r="F17" s="365">
        <v>26</v>
      </c>
      <c r="G17">
        <f>26</f>
        <v>26</v>
      </c>
      <c r="H17" s="305"/>
      <c r="J17" s="305"/>
      <c r="L17" s="305"/>
      <c r="M17">
        <f>26</f>
        <v>26</v>
      </c>
      <c r="N17" s="305"/>
      <c r="O17" s="274">
        <f>SUM(E17:F17)-SUM(G17:N17)</f>
        <v>0</v>
      </c>
      <c r="P17" s="274" t="str">
        <f t="shared" si="0"/>
        <v>Broadband / TV</v>
      </c>
      <c r="Q17" s="282">
        <f t="shared" si="1"/>
        <v>0</v>
      </c>
    </row>
    <row r="18" spans="2:17" ht="15" customHeight="1" outlineLevel="1">
      <c r="B18" s="734"/>
      <c r="C18" s="734"/>
      <c r="D18" s="201" t="s">
        <v>582</v>
      </c>
      <c r="E18" s="365">
        <v>0</v>
      </c>
      <c r="F18" s="365">
        <v>7.99</v>
      </c>
      <c r="H18" s="305"/>
      <c r="I18">
        <f>7.99</f>
        <v>7.99</v>
      </c>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v>10.56</v>
      </c>
      <c r="G19">
        <f>10.56</f>
        <v>10.56</v>
      </c>
      <c r="H19" s="305"/>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28.87+34+42.5+13.56</f>
        <v>118.93</v>
      </c>
      <c r="G20">
        <f>13.56</f>
        <v>13.56</v>
      </c>
      <c r="H20" s="305"/>
      <c r="I20">
        <f>42.5</f>
        <v>42.5</v>
      </c>
      <c r="J20" s="305"/>
      <c r="K20">
        <f>34.63</f>
        <v>34.630000000000003</v>
      </c>
      <c r="L20" s="305"/>
      <c r="N20" s="305"/>
      <c r="O20" s="274">
        <f>SUM(E20:F20)-SUM(G20:N20)</f>
        <v>28.240000000000009</v>
      </c>
      <c r="P20" s="274" t="str">
        <f t="shared" si="0"/>
        <v>Car Tax / Insurance</v>
      </c>
      <c r="Q20" s="282">
        <f t="shared" si="1"/>
        <v>0</v>
      </c>
    </row>
    <row r="21" spans="2:17" ht="15" customHeight="1" outlineLevel="1">
      <c r="B21" s="734"/>
      <c r="C21" s="734"/>
      <c r="D21" s="201" t="s">
        <v>944</v>
      </c>
      <c r="E21" s="365">
        <v>0</v>
      </c>
      <c r="F21" s="365">
        <v>15</v>
      </c>
      <c r="H21" s="305"/>
      <c r="I21">
        <f>15</f>
        <v>15</v>
      </c>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",G42*0.2," / Actual = ",D24," (",ROUND((D24/G42)*100,2),")")</f>
        <v>Savings - 20 - 943.256 / Actual = 899.59 (19.07)</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899.59</v>
      </c>
      <c r="E24" s="759"/>
      <c r="F24" s="319"/>
      <c r="H24" s="305"/>
      <c r="J24" s="305"/>
      <c r="L24" s="305"/>
      <c r="N24" s="305"/>
      <c r="O24" s="285">
        <f>SUMIF(O25:O29,"&gt;0")</f>
        <v>84.050000000001546</v>
      </c>
      <c r="P24" s="285" t="s">
        <v>895</v>
      </c>
      <c r="Q24" s="282">
        <f>SUM(Q25:Q29)</f>
        <v>0</v>
      </c>
    </row>
    <row r="25" spans="2:17" ht="15" customHeight="1" outlineLevel="1">
      <c r="B25" s="7" t="str">
        <f>"20% : " &amp; E$42*0.2</f>
        <v>20% : 3102.768</v>
      </c>
      <c r="C25" s="7" t="str">
        <f>"20% : " &amp; E$42*0.2</f>
        <v>20% : 3102.768</v>
      </c>
      <c r="D25" s="300" t="s">
        <v>590</v>
      </c>
      <c r="E25" s="365">
        <v>79.800000000000523</v>
      </c>
      <c r="F25" s="365">
        <f>50+14.99+70+300+5+200</f>
        <v>639.99</v>
      </c>
      <c r="G25">
        <f>24.64</f>
        <v>24.64</v>
      </c>
      <c r="H25" s="305"/>
      <c r="I25">
        <f>494</f>
        <v>494</v>
      </c>
      <c r="J25" s="305"/>
      <c r="L25" s="315"/>
      <c r="N25" s="305"/>
      <c r="O25" s="274">
        <f>SUM(E25:F25)-SUM(G25:N25)-Q42</f>
        <v>84.050000000001546</v>
      </c>
      <c r="P25" s="274" t="str">
        <f t="shared" ref="P25:P29" si="3">D25</f>
        <v>Contingency</v>
      </c>
      <c r="Q25" s="282">
        <v>0</v>
      </c>
    </row>
    <row r="26" spans="2:17" ht="15" customHeight="1" outlineLevel="1">
      <c r="B26" s="7"/>
      <c r="C26" s="7"/>
      <c r="D26" s="300" t="s">
        <v>998</v>
      </c>
      <c r="E26" s="365">
        <v>0</v>
      </c>
      <c r="F26" s="365">
        <v>259.60000000000002</v>
      </c>
      <c r="G26" s="11"/>
      <c r="H26" s="306"/>
      <c r="I26">
        <f>259.6</f>
        <v>259.60000000000002</v>
      </c>
      <c r="J26" s="305"/>
      <c r="L26" s="305"/>
      <c r="N26" s="305"/>
      <c r="O26" s="274">
        <f>SUM(E26:F26)-SUM(G26:N26)</f>
        <v>0</v>
      </c>
      <c r="P26" s="274" t="str">
        <f t="shared" si="3"/>
        <v>Cars (Service / MOT)</v>
      </c>
      <c r="Q26" s="282">
        <f t="shared" ref="Q26:Q29" si="4">IF(O26&lt;0,O26*-1,0)</f>
        <v>0</v>
      </c>
    </row>
    <row r="27" spans="2:17" ht="15" customHeight="1" outlineLevel="1">
      <c r="B27" s="7"/>
      <c r="C27" s="7"/>
      <c r="D27" s="300" t="s">
        <v>999</v>
      </c>
      <c r="E27" s="365">
        <v>0</v>
      </c>
      <c r="F27" s="365">
        <v>0</v>
      </c>
      <c r="G27" s="11"/>
      <c r="H27" s="306"/>
      <c r="J27" s="305"/>
      <c r="L27" s="305"/>
      <c r="N27" s="305"/>
      <c r="O27" s="274">
        <f t="shared" ref="O27:O29" si="5">SUM(E27:F27)-SUM(G27:N27)</f>
        <v>0</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v>1384.92</v>
      </c>
      <c r="F29" s="365">
        <v>0</v>
      </c>
      <c r="G29" s="11">
        <v>1384.92</v>
      </c>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",G42*0.3," / Actual = ",D32," (",ROUND((D32/G42)*100,2),")")</f>
        <v>Wants - 30 - 1414.884 / Actual = 2609.05 (55.32)</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(E$42-D5-D24-E41)</f>
        <v>2609.0500000000011</v>
      </c>
      <c r="E32" s="727"/>
      <c r="F32" s="319">
        <f>SUM(F33:F38)</f>
        <v>2375.0500000000011</v>
      </c>
      <c r="H32" s="305"/>
      <c r="J32" s="305"/>
      <c r="L32" s="305"/>
      <c r="N32" s="305"/>
      <c r="O32" s="285">
        <f>SUMIF(O33:O37,"&gt;0")-O35</f>
        <v>566.28999999999905</v>
      </c>
      <c r="P32" s="285" t="s">
        <v>899</v>
      </c>
      <c r="Q32" s="282">
        <f>SUM(Q33:Q38)</f>
        <v>2.8299999999990106</v>
      </c>
    </row>
    <row r="33" spans="2:19" ht="15" customHeight="1" outlineLevel="1">
      <c r="B33" s="734"/>
      <c r="C33" s="760"/>
      <c r="D33" s="300" t="s">
        <v>354</v>
      </c>
      <c r="E33" s="365">
        <v>0</v>
      </c>
      <c r="F33" s="365">
        <v>700</v>
      </c>
      <c r="G33">
        <f>200</f>
        <v>200</v>
      </c>
      <c r="H33" s="305"/>
      <c r="J33" s="305">
        <v>500</v>
      </c>
      <c r="L33" s="305"/>
      <c r="N33" s="305"/>
      <c r="O33" s="274">
        <f>SUM(E33:F33)-SUM(G33:N33)</f>
        <v>0</v>
      </c>
      <c r="P33" s="274" t="str">
        <f t="shared" ref="P33:P40" si="6">D33</f>
        <v>Holiday</v>
      </c>
      <c r="Q33" s="282">
        <f t="shared" ref="Q33:Q35" si="7">IF(O33&lt;0,O33*-1,0)</f>
        <v>0</v>
      </c>
      <c r="R33" s="11"/>
      <c r="S33" s="11"/>
    </row>
    <row r="34" spans="2:19" ht="15" customHeight="1" outlineLevel="1">
      <c r="B34" s="734"/>
      <c r="C34" s="760"/>
      <c r="D34" s="300" t="s">
        <v>170</v>
      </c>
      <c r="E34" s="365">
        <v>798.34999999999991</v>
      </c>
      <c r="F34" s="365">
        <f>250+40</f>
        <v>290</v>
      </c>
      <c r="H34" s="305"/>
      <c r="J34" s="305">
        <f>29.39+20.98</f>
        <v>50.370000000000005</v>
      </c>
      <c r="L34" s="305">
        <f>18.95+15.96+2.59+31.99+80.51+154.75+34.99</f>
        <v>339.74</v>
      </c>
      <c r="M34">
        <f>74</f>
        <v>74</v>
      </c>
      <c r="N34" s="305">
        <f>89.1</f>
        <v>89.1</v>
      </c>
      <c r="O34" s="274">
        <f>SUM(E34:F34)-SUM(G34:N34)</f>
        <v>535.13999999999987</v>
      </c>
      <c r="P34" s="274" t="str">
        <f t="shared" si="6"/>
        <v>Gift Fund</v>
      </c>
      <c r="Q34" s="282">
        <f t="shared" si="7"/>
        <v>0</v>
      </c>
      <c r="R34" s="11"/>
      <c r="S34" s="11"/>
    </row>
    <row r="35" spans="2:19" ht="15" customHeight="1" outlineLevel="1">
      <c r="B35" s="734"/>
      <c r="C35" s="760"/>
      <c r="D35" s="300" t="s">
        <v>812</v>
      </c>
      <c r="E35" s="365">
        <v>7644.5199999999995</v>
      </c>
      <c r="F35" s="365">
        <f>980+600+150+30+80-200-259.6-500</f>
        <v>880.40000000000009</v>
      </c>
      <c r="H35" s="305"/>
      <c r="J35" s="305"/>
      <c r="L35" s="305"/>
      <c r="N35" s="305"/>
      <c r="O35" s="274">
        <f>SUM(E35:F35)-SUM(G35:N35)-O39</f>
        <v>8524.92</v>
      </c>
      <c r="P35" s="274" t="str">
        <f t="shared" si="6"/>
        <v>Wedding</v>
      </c>
      <c r="Q35" s="282">
        <f t="shared" si="7"/>
        <v>0</v>
      </c>
      <c r="R35" s="11"/>
      <c r="S35" s="349"/>
    </row>
    <row r="36" spans="2:19" ht="15" customHeight="1" outlineLevel="1">
      <c r="B36" s="734"/>
      <c r="C36" s="760"/>
      <c r="D36" s="300" t="s">
        <v>772</v>
      </c>
      <c r="E36" s="365">
        <v>467.90999999999997</v>
      </c>
      <c r="F36" s="365">
        <f>-80+88-200</f>
        <v>-192</v>
      </c>
      <c r="G36">
        <f>4+4.8+45+39.59</f>
        <v>93.39</v>
      </c>
      <c r="H36" s="305">
        <f>50+22.99+7.99+10.98</f>
        <v>91.96</v>
      </c>
      <c r="I36">
        <f>8</f>
        <v>8</v>
      </c>
      <c r="J36" s="305">
        <f>9.08</f>
        <v>9.08</v>
      </c>
      <c r="L36" s="305">
        <f>7.58+13.3+21.45</f>
        <v>42.33</v>
      </c>
      <c r="N36" s="305"/>
      <c r="O36" s="274">
        <f>SUM(E36:F36)-SUM(G36:N36)</f>
        <v>31.149999999999977</v>
      </c>
      <c r="P36" s="274" t="str">
        <f t="shared" si="6"/>
        <v>Home</v>
      </c>
      <c r="Q36" s="282"/>
      <c r="R36" s="11"/>
      <c r="S36" s="349"/>
    </row>
    <row r="37" spans="2:19" ht="15.75" customHeight="1" outlineLevel="1">
      <c r="B37" s="734"/>
      <c r="C37" s="760"/>
      <c r="D37" s="13" t="s">
        <v>781</v>
      </c>
      <c r="E37" s="365">
        <v>0</v>
      </c>
      <c r="F37" s="365">
        <f>13+2+10+5.99+5.99+7.99+10.99+1.99</f>
        <v>57.95000000000001</v>
      </c>
      <c r="G37">
        <f>13</f>
        <v>13</v>
      </c>
      <c r="H37" s="305"/>
      <c r="I37">
        <f>2+10.99+7.99+1.99+10</f>
        <v>32.97</v>
      </c>
      <c r="J37" s="305"/>
      <c r="L37" s="305"/>
      <c r="M37">
        <f>5.99+7.99</f>
        <v>13.98</v>
      </c>
      <c r="N37" s="305"/>
      <c r="O37" s="274">
        <f t="shared" ref="O37:O40" si="8">SUM(E37:F37)-SUM(G37:N37)</f>
        <v>-1.9999999999999929</v>
      </c>
      <c r="P37" s="274" t="str">
        <f t="shared" si="6"/>
        <v>Subscriptions</v>
      </c>
      <c r="Q37" s="282">
        <f>IF(O37&lt;0,O37*-1,0)</f>
        <v>1.9999999999999929</v>
      </c>
      <c r="S37" s="349"/>
    </row>
    <row r="38" spans="2:19" ht="18" outlineLevel="1">
      <c r="B38" s="734"/>
      <c r="C38" s="760"/>
      <c r="D38" s="13" t="s">
        <v>922</v>
      </c>
      <c r="E38" s="365">
        <v>0</v>
      </c>
      <c r="F38" s="365">
        <f>(D32-SUM(F33:F37))-F40</f>
        <v>638.70000000000095</v>
      </c>
      <c r="G38">
        <f>40+30.5+5.35+8+4.5+15+31+40+7+18+8.3+11.87+24+10</f>
        <v>253.52</v>
      </c>
      <c r="H38" s="305">
        <f>5.95+6.15+3.34</f>
        <v>15.440000000000001</v>
      </c>
      <c r="I38">
        <f>3.99+10+11.98+85.95+36+11.8+5.68+3.5+5.95+1.39+4.2+4.19+10+5</f>
        <v>199.63</v>
      </c>
      <c r="J38" s="305">
        <f>2.79+5.79</f>
        <v>8.58</v>
      </c>
      <c r="K38">
        <f>39.65+5.95</f>
        <v>45.6</v>
      </c>
      <c r="L38" s="305"/>
      <c r="M38">
        <f>4.15+20+11.35+13.5+14.95+21+4.45</f>
        <v>89.4</v>
      </c>
      <c r="N38" s="305">
        <f>6.6+10.58+3.98+6.2</f>
        <v>27.36</v>
      </c>
      <c r="O38" s="274">
        <f>SUM(E38:F38)-SUM(G38:N38)</f>
        <v>-0.82999999999901775</v>
      </c>
      <c r="P38" s="274" t="str">
        <f t="shared" si="6"/>
        <v>Matt Fun</v>
      </c>
      <c r="Q38" s="282">
        <f>IF(SUM(E38:F38)-SUM(G38:N38)&lt;=0,(SUM(E38:F38)-SUM(G38:N38))*-1,0)</f>
        <v>0.82999999999901775</v>
      </c>
    </row>
    <row r="39" spans="2:19" ht="18" outlineLevel="1">
      <c r="B39" s="7"/>
      <c r="C39" s="284"/>
      <c r="D39" s="13" t="s">
        <v>1025</v>
      </c>
      <c r="E39" s="365">
        <v>0</v>
      </c>
      <c r="F39" s="365">
        <v>0</v>
      </c>
      <c r="H39" s="305"/>
      <c r="J39" s="305"/>
      <c r="L39" s="305"/>
      <c r="N39" s="305"/>
      <c r="O39" s="274">
        <f>SUM(G39:N39)</f>
        <v>0</v>
      </c>
      <c r="P39" s="274" t="str">
        <f t="shared" si="6"/>
        <v>Work Expenses</v>
      </c>
      <c r="Q39" s="333"/>
      <c r="S39" s="11"/>
    </row>
    <row r="40" spans="2:19" ht="18" outlineLevel="1">
      <c r="B40" s="7"/>
      <c r="C40" s="284"/>
      <c r="D40" s="13" t="s">
        <v>152</v>
      </c>
      <c r="E40" s="365">
        <v>0</v>
      </c>
      <c r="F40" s="365">
        <f>84+100+50</f>
        <v>234</v>
      </c>
      <c r="G40">
        <f>84.15</f>
        <v>84.15</v>
      </c>
      <c r="H40" s="305"/>
      <c r="I40">
        <f>100+50</f>
        <v>150</v>
      </c>
      <c r="J40" s="305"/>
      <c r="L40" s="305"/>
      <c r="N40" s="305"/>
      <c r="O40" s="274">
        <f t="shared" si="8"/>
        <v>-0.15000000000000568</v>
      </c>
      <c r="P40" s="274" t="str">
        <f t="shared" si="6"/>
        <v>Kris</v>
      </c>
      <c r="Q40" s="271">
        <f>IF(F40-SUM(G40:N40)&lt;=0,(F40-SUM(G40:N40))*-1,0)</f>
        <v>0.15000000000000568</v>
      </c>
    </row>
    <row r="41" spans="2:19">
      <c r="B41" s="118"/>
      <c r="C41" s="118"/>
      <c r="E41" s="365">
        <f>SUM(E33:E40)+SUM(E25:E29)+SUM(E6:E21)</f>
        <v>10444.57</v>
      </c>
      <c r="F41" s="365"/>
      <c r="H41" s="7" t="s">
        <v>986</v>
      </c>
      <c r="J41" s="7" t="s">
        <v>986</v>
      </c>
      <c r="L41" s="7" t="s">
        <v>986</v>
      </c>
      <c r="N41" s="7" t="s">
        <v>986</v>
      </c>
      <c r="O41" s="273"/>
      <c r="P41" s="273"/>
      <c r="Q41" s="282"/>
    </row>
    <row r="42" spans="2:19" ht="18">
      <c r="B42" s="728" t="s">
        <v>817</v>
      </c>
      <c r="C42" s="728"/>
      <c r="D42" s="728"/>
      <c r="E42" s="375">
        <f>G42+I42+K42+M42+N42+E41</f>
        <v>15513.84</v>
      </c>
      <c r="F42" s="379"/>
      <c r="G42" s="271">
        <f>3348.28+1160+84+36+88</f>
        <v>4716.2800000000007</v>
      </c>
      <c r="H42" s="271"/>
      <c r="I42" s="271">
        <f>100+100+2.99</f>
        <v>202.99</v>
      </c>
      <c r="J42" s="271"/>
      <c r="K42" s="271"/>
      <c r="L42" s="271"/>
      <c r="M42" s="271">
        <f>110+40</f>
        <v>150</v>
      </c>
      <c r="N42" s="271"/>
      <c r="O42" s="314" t="str">
        <f>"£" &amp; ROUND(O5+O32+O24+IF(O38&lt;0,0,O38)+O40+O4,2) &amp; " / " &amp; "£" &amp; E42</f>
        <v>£678.43 / £15513.84</v>
      </c>
      <c r="P42" s="274"/>
      <c r="Q42" s="282">
        <f>SUM(Q32,Q24,Q5)</f>
        <v>117.099999999999</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991</v>
      </c>
      <c r="O45" s="316">
        <v>44523</v>
      </c>
      <c r="P45" s="7">
        <f ca="1">DATEDIF(O45,NOW(),"d")</f>
        <v>1728</v>
      </c>
      <c r="Q45">
        <v>74</v>
      </c>
      <c r="R45" t="s">
        <v>1080</v>
      </c>
    </row>
    <row r="46" spans="2:19">
      <c r="B46" s="365"/>
      <c r="C46" s="38"/>
      <c r="E46" s="11"/>
      <c r="F46" s="11"/>
      <c r="G46" s="243"/>
      <c r="H46" s="243"/>
      <c r="K46" s="214"/>
      <c r="L46" s="214"/>
      <c r="N46" s="322" t="s">
        <v>992</v>
      </c>
      <c r="O46" s="42">
        <v>44523</v>
      </c>
      <c r="P46" s="7">
        <f ca="1">DATEDIF(O46,NOW(),"d")</f>
        <v>1728</v>
      </c>
      <c r="Q46">
        <v>6.2</v>
      </c>
      <c r="R46" t="s">
        <v>1075</v>
      </c>
    </row>
    <row r="47" spans="2:19">
      <c r="E47" s="365"/>
      <c r="F47" s="365"/>
      <c r="G47" s="11"/>
      <c r="H47" s="11"/>
      <c r="J47">
        <f>77+100</f>
        <v>177</v>
      </c>
      <c r="L47" s="243"/>
      <c r="O47"/>
      <c r="P47"/>
    </row>
    <row r="48" spans="2:19" ht="16.2" customHeight="1">
      <c r="D48" s="212"/>
      <c r="E48" s="278"/>
      <c r="F48" s="278"/>
      <c r="G48" s="213"/>
      <c r="H48" s="212"/>
      <c r="I48" s="212"/>
      <c r="J48" s="332"/>
      <c r="K48" s="332"/>
      <c r="O48" s="212"/>
      <c r="P48" s="212"/>
    </row>
    <row r="49" spans="2:17">
      <c r="B49" s="378"/>
      <c r="E49" s="230"/>
      <c r="F49" s="361"/>
      <c r="G49" s="11"/>
      <c r="H49" s="89"/>
      <c r="I49" s="230"/>
      <c r="J49" s="11"/>
      <c r="K49" s="56"/>
      <c r="L49" s="56"/>
      <c r="M49" s="365"/>
      <c r="N49" s="56"/>
      <c r="O49" s="243"/>
      <c r="P49" s="56"/>
    </row>
    <row r="50" spans="2:17">
      <c r="E50" s="230"/>
      <c r="F50" s="361"/>
      <c r="G50" s="11"/>
      <c r="H50" s="89"/>
      <c r="I50" s="230"/>
      <c r="J50" s="11"/>
      <c r="K50" s="56"/>
      <c r="L50" s="243"/>
      <c r="M50" s="365"/>
      <c r="N50" s="56"/>
      <c r="O50" s="11"/>
      <c r="P50"/>
    </row>
    <row r="51" spans="2:17">
      <c r="E51" s="380"/>
      <c r="F51" s="381"/>
      <c r="G51" s="38"/>
      <c r="H51" s="361"/>
      <c r="I51" s="230"/>
      <c r="J51" s="11"/>
      <c r="M51" s="365"/>
      <c r="N51" s="56"/>
      <c r="O51" s="284"/>
      <c r="P51" s="212"/>
      <c r="Q51" s="212"/>
    </row>
    <row r="52" spans="2:17">
      <c r="E52" s="89"/>
      <c r="F52" s="89"/>
      <c r="G52" s="11"/>
      <c r="H52" s="361"/>
      <c r="I52" s="230"/>
      <c r="J52" s="11"/>
      <c r="M52" s="365"/>
      <c r="N52" s="56"/>
      <c r="O52" s="56"/>
      <c r="P52" s="56"/>
      <c r="Q52" s="38"/>
    </row>
    <row r="53" spans="2:17">
      <c r="E53" s="380"/>
      <c r="F53" s="360"/>
      <c r="G53" s="11"/>
      <c r="H53" s="230"/>
      <c r="I53" s="230"/>
      <c r="J53" s="11"/>
      <c r="N53" s="56"/>
    </row>
    <row r="54" spans="2:17">
      <c r="E54" s="360"/>
      <c r="F54" s="360"/>
      <c r="G54" s="11"/>
      <c r="H54" s="361"/>
      <c r="I54" s="89"/>
      <c r="J54" s="11"/>
      <c r="L54" s="243"/>
      <c r="M54" s="382"/>
      <c r="N54" s="363"/>
    </row>
    <row r="55" spans="2:17">
      <c r="E55" s="365"/>
      <c r="F55" s="381"/>
      <c r="G55" s="11"/>
      <c r="H55" s="38"/>
      <c r="I55" s="89"/>
      <c r="J55" s="11"/>
      <c r="L55" s="243"/>
      <c r="N55" s="364"/>
      <c r="O55" s="275"/>
      <c r="P55" s="275"/>
    </row>
    <row r="56" spans="2:17">
      <c r="B56" s="11"/>
      <c r="E56" s="365"/>
      <c r="F56" s="365"/>
      <c r="G56" s="11"/>
      <c r="H56" s="38"/>
      <c r="I56" s="11"/>
      <c r="J56" s="11"/>
      <c r="L56" s="243"/>
      <c r="N56" s="364"/>
    </row>
    <row r="57" spans="2:17" ht="14.4">
      <c r="B57" s="11"/>
      <c r="E57"/>
      <c r="F57"/>
      <c r="G57" s="11"/>
      <c r="H57" s="38"/>
      <c r="I57" s="11"/>
      <c r="J57" s="11"/>
      <c r="K57" s="11"/>
      <c r="L57" s="79"/>
      <c r="O57"/>
      <c r="P57"/>
    </row>
    <row r="58" spans="2:17">
      <c r="E58"/>
      <c r="F58"/>
      <c r="G58" s="11"/>
      <c r="H58" s="38"/>
      <c r="I58" s="11"/>
      <c r="L58" s="243"/>
      <c r="N58" s="278"/>
      <c r="O58" s="212"/>
      <c r="P58" s="212"/>
    </row>
    <row r="59" spans="2:17">
      <c r="B59" s="212"/>
      <c r="C59" s="212"/>
      <c r="E59" s="243"/>
      <c r="F59"/>
      <c r="G59" s="11"/>
      <c r="H59" s="38"/>
      <c r="I59" s="11"/>
      <c r="J59" s="349"/>
      <c r="N59" s="376"/>
      <c r="O59" s="214"/>
      <c r="P59" s="214"/>
    </row>
    <row r="60" spans="2:17">
      <c r="C60" s="56"/>
      <c r="D60" s="243"/>
      <c r="E60"/>
      <c r="F60"/>
      <c r="G60" s="11"/>
      <c r="H60" s="38"/>
      <c r="I60" s="11"/>
      <c r="J60" s="349"/>
      <c r="N60" s="365"/>
      <c r="O60"/>
      <c r="P60"/>
    </row>
    <row r="61" spans="2:17">
      <c r="C61" s="56"/>
      <c r="E61"/>
      <c r="F61"/>
      <c r="H61" s="38"/>
      <c r="I61" s="11"/>
      <c r="J61" s="349"/>
      <c r="N61" s="278"/>
      <c r="O61" s="212"/>
      <c r="P61" s="212"/>
    </row>
    <row r="62" spans="2:17">
      <c r="C62" s="56"/>
      <c r="E62"/>
      <c r="F62"/>
      <c r="G62" s="11"/>
      <c r="H62" s="38"/>
      <c r="I62" s="11"/>
      <c r="J62" s="11"/>
      <c r="K62" s="11"/>
      <c r="N62" s="365"/>
      <c r="O62" s="56"/>
      <c r="P62" s="56"/>
    </row>
    <row r="63" spans="2:17">
      <c r="C63" s="56"/>
      <c r="E63"/>
      <c r="F63"/>
      <c r="G63" s="11"/>
      <c r="H63" s="38"/>
      <c r="I63" s="11"/>
      <c r="N63" s="365"/>
      <c r="O63"/>
      <c r="P63"/>
    </row>
    <row r="64" spans="2:17">
      <c r="C64" s="56"/>
      <c r="E64" s="243"/>
      <c r="F64"/>
      <c r="G64" s="11"/>
      <c r="H64" s="38"/>
      <c r="I64" s="11"/>
      <c r="J64" s="349"/>
      <c r="N64" s="278"/>
      <c r="O64" s="212"/>
      <c r="P64" s="212"/>
    </row>
    <row r="65" spans="2:16">
      <c r="C65" s="56"/>
      <c r="D65" s="243"/>
      <c r="E65"/>
      <c r="F65"/>
      <c r="G65" s="11"/>
      <c r="H65" s="38"/>
      <c r="I65" s="11"/>
      <c r="J65" s="349"/>
      <c r="N65" s="365"/>
      <c r="O65" s="38"/>
      <c r="P65" s="56"/>
    </row>
    <row r="66" spans="2:16" ht="14.4">
      <c r="C66" s="56"/>
      <c r="E66"/>
      <c r="F66"/>
      <c r="H66" s="38"/>
      <c r="I66" s="11"/>
      <c r="O66"/>
    </row>
    <row r="67" spans="2:16" ht="14.4">
      <c r="C67" s="56"/>
      <c r="E67" s="347"/>
      <c r="F67"/>
      <c r="H67" s="38"/>
      <c r="I67" s="11"/>
    </row>
    <row r="68" spans="2:16" ht="14.4">
      <c r="C68" s="56"/>
      <c r="E68" s="332"/>
      <c r="F68" s="332"/>
      <c r="G68" s="212"/>
    </row>
    <row r="69" spans="2:16" ht="14.4">
      <c r="C69" s="56"/>
      <c r="E69"/>
      <c r="F69"/>
      <c r="G69" s="243"/>
    </row>
    <row r="70" spans="2:16" ht="14.4">
      <c r="C70" s="56"/>
      <c r="E70"/>
      <c r="F70"/>
      <c r="G70" s="243"/>
    </row>
    <row r="71" spans="2:16">
      <c r="E71" s="365"/>
      <c r="F71" s="365"/>
      <c r="G71" s="243"/>
    </row>
    <row r="72" spans="2:16" ht="14.4">
      <c r="B72" s="212"/>
      <c r="C72" s="294"/>
      <c r="D72" s="212"/>
      <c r="E72" s="212"/>
      <c r="F72" s="212"/>
      <c r="G72" s="243"/>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3">
    <mergeCell ref="B24:C24"/>
    <mergeCell ref="D24:E24"/>
    <mergeCell ref="B1:O1"/>
    <mergeCell ref="G3:H3"/>
    <mergeCell ref="I3:J3"/>
    <mergeCell ref="K3:L3"/>
    <mergeCell ref="M3:N3"/>
    <mergeCell ref="B4:E4"/>
    <mergeCell ref="B5:C5"/>
    <mergeCell ref="D5:E5"/>
    <mergeCell ref="B6:B21"/>
    <mergeCell ref="C6:C21"/>
    <mergeCell ref="B23:E23"/>
    <mergeCell ref="B31:E31"/>
    <mergeCell ref="B32:C32"/>
    <mergeCell ref="D32:E32"/>
    <mergeCell ref="B33:B38"/>
    <mergeCell ref="C33:C38"/>
    <mergeCell ref="B42:D42"/>
    <mergeCell ref="B44:G44"/>
    <mergeCell ref="K44:O44"/>
    <mergeCell ref="B45:C45"/>
    <mergeCell ref="D45:E45"/>
  </mergeCells>
  <pageMargins left="0.7" right="0.7" top="0.75" bottom="0.75" header="0.3" footer="0.3"/>
  <pageSetup orientation="portrait" r:id="rId1"/>
  <legacy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D932B-2AA4-42EA-955D-E82495DC37A3}">
  <dimension ref="A1:T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OCT-NOV 2021</v>
      </c>
      <c r="B1" s="730" t="str">
        <f ca="1">MID(CELL("filename",B1),FIND("]",CELL("filename",B1))+1,255)</f>
        <v>NOV-DEC 2021</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E3" s="365"/>
      <c r="F3" s="365"/>
      <c r="G3" s="732">
        <v>44525</v>
      </c>
      <c r="H3" s="732"/>
      <c r="I3" s="732">
        <f>G3+7</f>
        <v>44532</v>
      </c>
      <c r="J3" s="732"/>
      <c r="K3" s="732">
        <f>I3+7</f>
        <v>44539</v>
      </c>
      <c r="L3" s="732"/>
      <c r="M3" s="732">
        <f>K3+7</f>
        <v>44546</v>
      </c>
      <c r="N3" s="732"/>
      <c r="O3" s="325" t="str">
        <f>0 &amp; " / " &amp; ROUND(0-O4,2)</f>
        <v>0 / 0</v>
      </c>
      <c r="P3" s="325" t="s">
        <v>994</v>
      </c>
      <c r="Q3" s="282"/>
    </row>
    <row r="4" spans="1:20" ht="15" customHeight="1">
      <c r="B4" s="727" t="str">
        <f>_xlfn.CONCAT("Expenses - 50 - ",G42*0.5," / Actual = ",D5," (",ROUND((D5/G42)*100,2),")")</f>
        <v>Expenses - 50 - 2025.09 / Actual = 1704.57 (42.09)</v>
      </c>
      <c r="C4" s="727"/>
      <c r="D4" s="727"/>
      <c r="E4" s="727"/>
      <c r="F4" s="318"/>
      <c r="H4" s="243">
        <f>SUM(H5:H40)</f>
        <v>615.05999999999995</v>
      </c>
      <c r="J4" s="243">
        <f>SUM(J5:J40)</f>
        <v>282.63</v>
      </c>
      <c r="L4" s="243">
        <f>SUM(L5:L40)</f>
        <v>761.37000000000012</v>
      </c>
      <c r="N4" s="243">
        <f>SUM(N5:N40)</f>
        <v>191.37</v>
      </c>
      <c r="O4" s="308">
        <f>IF(H41&lt;&gt;"PAID",H4,0)+IF(J41&lt;&gt;"PAID",J4,0)+IF(L41&lt;&gt;"PAID",L4,0)+IF(N41&lt;&gt;"PAID",N4,0)</f>
        <v>0</v>
      </c>
      <c r="P4" s="309" t="s">
        <v>973</v>
      </c>
      <c r="Q4" s="282"/>
      <c r="R4" s="243"/>
      <c r="S4" s="243"/>
    </row>
    <row r="5" spans="1:20" ht="15" customHeight="1">
      <c r="B5" s="733" t="str">
        <f>IF(D5&gt;E$42*0.5,ROUND(D5-E$42*0.5,2) &amp; " Over",ROUND(E$42*0.5-D5,2) &amp; " Under")</f>
        <v>714.24 Under</v>
      </c>
      <c r="C5" s="733"/>
      <c r="D5" s="761">
        <f>SUM(F6:F21)</f>
        <v>1704.57</v>
      </c>
      <c r="E5" s="761"/>
      <c r="F5" s="321"/>
      <c r="G5" s="284"/>
      <c r="H5" s="306"/>
      <c r="I5" s="79"/>
      <c r="J5" s="306"/>
      <c r="K5" s="79"/>
      <c r="L5" s="306"/>
      <c r="M5" s="79"/>
      <c r="N5" s="305"/>
      <c r="O5" s="285">
        <f>SUMIF(O6:O21,"&gt;0")</f>
        <v>72.109999999999985</v>
      </c>
      <c r="P5" s="285" t="s">
        <v>892</v>
      </c>
      <c r="Q5" s="282">
        <f>SUM(Q6:Q21)</f>
        <v>22.019999999999982</v>
      </c>
      <c r="R5" s="243"/>
    </row>
    <row r="6" spans="1:20" ht="15" customHeight="1">
      <c r="B6" s="734" t="str">
        <f>"50%: " &amp; E$42*0.5</f>
        <v>50%: 2418.805</v>
      </c>
      <c r="C6" s="734" t="str">
        <f>ROUND((D5/E$42)*100,2) &amp; "%: " &amp;D5</f>
        <v>35.24%: 1704.57</v>
      </c>
      <c r="D6" s="13" t="s">
        <v>805</v>
      </c>
      <c r="E6" s="365">
        <v>0</v>
      </c>
      <c r="F6" s="374">
        <f>200-9.21</f>
        <v>190.79</v>
      </c>
      <c r="H6" s="305">
        <f>25+25.06+28.81</f>
        <v>78.87</v>
      </c>
      <c r="J6" s="305">
        <f>32.58</f>
        <v>32.58</v>
      </c>
      <c r="L6" s="305">
        <f>29.21+30.11</f>
        <v>59.32</v>
      </c>
      <c r="M6">
        <f>20.02</f>
        <v>20.02</v>
      </c>
      <c r="N6" s="305"/>
      <c r="O6" s="274">
        <f>SUM(E6:F6)-SUM(G6:N6)</f>
        <v>0</v>
      </c>
      <c r="P6" s="274" t="str">
        <f t="shared" ref="P6:P21" si="0">D6</f>
        <v>Car Petrol / commuting</v>
      </c>
      <c r="Q6" s="282">
        <f t="shared" ref="Q6:Q21" si="1">IF(O6&lt;0,O6*-1,0)</f>
        <v>0</v>
      </c>
      <c r="R6" s="243"/>
    </row>
    <row r="7" spans="1:20" ht="15" customHeight="1">
      <c r="B7" s="734"/>
      <c r="C7" s="734"/>
      <c r="D7" s="13" t="s">
        <v>169</v>
      </c>
      <c r="E7" s="365">
        <v>0</v>
      </c>
      <c r="F7" s="365">
        <f>400</f>
        <v>400</v>
      </c>
      <c r="H7" s="305">
        <f>52.13+34.98+2.2+3+9.4+3.5+2</f>
        <v>107.21000000000001</v>
      </c>
      <c r="J7" s="305">
        <f>29.6+3+48.64+29.05+6-0.54</f>
        <v>115.75</v>
      </c>
      <c r="L7" s="305">
        <f>86.85+17.1+20</f>
        <v>123.94999999999999</v>
      </c>
      <c r="M7">
        <f>17.23+57.88</f>
        <v>75.11</v>
      </c>
      <c r="N7" s="305"/>
      <c r="O7" s="274">
        <f>SUM(E7:F7)-SUM(G7:N7)</f>
        <v>-22.019999999999982</v>
      </c>
      <c r="P7" s="274" t="str">
        <f t="shared" si="0"/>
        <v>Food</v>
      </c>
      <c r="Q7" s="282">
        <f t="shared" si="1"/>
        <v>22.019999999999982</v>
      </c>
      <c r="R7" s="243"/>
    </row>
    <row r="8" spans="1:20" ht="15" customHeight="1">
      <c r="B8" s="734"/>
      <c r="C8" s="734"/>
      <c r="D8" s="13" t="s">
        <v>153</v>
      </c>
      <c r="E8" s="365">
        <v>0</v>
      </c>
      <c r="F8" s="365">
        <f>150-45.56</f>
        <v>104.44</v>
      </c>
      <c r="H8" s="305"/>
      <c r="I8">
        <f>21.35+9.2</f>
        <v>30.55</v>
      </c>
      <c r="J8" s="362"/>
      <c r="K8">
        <f>45.4</f>
        <v>45.4</v>
      </c>
      <c r="L8" s="305">
        <f>28.49</f>
        <v>28.49</v>
      </c>
      <c r="N8" s="305"/>
      <c r="O8" s="274">
        <f>SUM(E8:F8)-SUM(G8:N8)</f>
        <v>0</v>
      </c>
      <c r="P8" s="274" t="str">
        <f t="shared" si="0"/>
        <v>Luna</v>
      </c>
      <c r="Q8" s="282">
        <f t="shared" si="1"/>
        <v>0</v>
      </c>
    </row>
    <row r="9" spans="1:20" ht="15" customHeight="1">
      <c r="B9" s="734"/>
      <c r="C9" s="734"/>
      <c r="D9" s="13" t="s">
        <v>1079</v>
      </c>
      <c r="E9" s="365">
        <v>0</v>
      </c>
      <c r="F9" s="365">
        <f>40-0.97</f>
        <v>39.03</v>
      </c>
      <c r="H9" s="305">
        <f>(60.03-45)</f>
        <v>15.030000000000001</v>
      </c>
      <c r="J9" s="305"/>
      <c r="L9" s="305">
        <f>24</f>
        <v>24</v>
      </c>
      <c r="N9" s="305"/>
      <c r="O9" s="274">
        <f>SUM(E9:F9)-SUM(G9:N9)</f>
        <v>0</v>
      </c>
      <c r="P9" s="274" t="str">
        <f t="shared" si="0"/>
        <v>Creamy</v>
      </c>
      <c r="Q9" s="282">
        <f t="shared" si="1"/>
        <v>0</v>
      </c>
    </row>
    <row r="10" spans="1:20" ht="15" customHeight="1" outlineLevel="1">
      <c r="B10" s="734"/>
      <c r="C10" s="734"/>
      <c r="D10" s="201" t="s">
        <v>595</v>
      </c>
      <c r="E10" s="365">
        <v>0</v>
      </c>
      <c r="F10" s="365">
        <f>452.64</f>
        <v>452.64</v>
      </c>
      <c r="H10" s="305"/>
      <c r="J10" s="305"/>
      <c r="L10" s="305"/>
      <c r="M10">
        <f>452.64</f>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135</v>
      </c>
      <c r="H11" s="305"/>
      <c r="J11" s="305"/>
      <c r="K11">
        <f>135</f>
        <v>135</v>
      </c>
      <c r="L11" s="305"/>
      <c r="N11" s="305"/>
      <c r="O11" s="274">
        <f t="shared" si="2"/>
        <v>0</v>
      </c>
      <c r="P11" s="274" t="str">
        <f t="shared" si="0"/>
        <v>Council tax</v>
      </c>
      <c r="Q11" s="282">
        <f t="shared" si="1"/>
        <v>0</v>
      </c>
    </row>
    <row r="12" spans="1:20" ht="15" customHeight="1" outlineLevel="1">
      <c r="B12" s="734"/>
      <c r="C12" s="734"/>
      <c r="D12" s="201" t="s">
        <v>1002</v>
      </c>
      <c r="E12" s="365">
        <v>0</v>
      </c>
      <c r="F12" s="365">
        <f>29+55+1</f>
        <v>85</v>
      </c>
      <c r="G12">
        <f>1+55</f>
        <v>56</v>
      </c>
      <c r="H12" s="305"/>
      <c r="J12" s="305"/>
      <c r="L12" s="305"/>
      <c r="M12">
        <f>29</f>
        <v>29</v>
      </c>
      <c r="N12" s="305"/>
      <c r="O12" s="274">
        <f>SUM(E12:F12)-SUM(G12:N12)</f>
        <v>0</v>
      </c>
      <c r="P12" s="274" t="str">
        <f t="shared" si="0"/>
        <v>Utilities (G,W,E,HTB)</v>
      </c>
      <c r="Q12" s="282">
        <f t="shared" si="1"/>
        <v>0</v>
      </c>
    </row>
    <row r="13" spans="1:20" ht="15" customHeight="1" outlineLevel="1">
      <c r="B13" s="734"/>
      <c r="C13" s="734"/>
      <c r="D13" s="201" t="s">
        <v>996</v>
      </c>
      <c r="E13" s="365">
        <v>0</v>
      </c>
      <c r="F13" s="365">
        <f>13.07</f>
        <v>13.07</v>
      </c>
      <c r="H13" s="305"/>
      <c r="J13" s="305"/>
      <c r="L13" s="305"/>
      <c r="M13">
        <f>13.07</f>
        <v>13.07</v>
      </c>
      <c r="N13" s="305"/>
      <c r="O13" s="274">
        <f>SUM(E13:F13)-SUM(G13:N13)</f>
        <v>0</v>
      </c>
      <c r="P13" s="274" t="str">
        <f t="shared" si="0"/>
        <v>Home Insurance</v>
      </c>
      <c r="Q13" s="282">
        <f t="shared" si="1"/>
        <v>0</v>
      </c>
    </row>
    <row r="14" spans="1:20" ht="15" customHeight="1" outlineLevel="1">
      <c r="B14" s="734"/>
      <c r="C14" s="734"/>
      <c r="D14" s="201" t="s">
        <v>359</v>
      </c>
      <c r="E14" s="365">
        <v>0</v>
      </c>
      <c r="F14" s="365">
        <f>15</f>
        <v>15</v>
      </c>
      <c r="H14" s="305"/>
      <c r="J14" s="305"/>
      <c r="L14" s="305"/>
      <c r="N14" s="305"/>
      <c r="O14" s="274">
        <f t="shared" si="2"/>
        <v>15</v>
      </c>
      <c r="P14" s="274" t="str">
        <f t="shared" si="0"/>
        <v>TV License</v>
      </c>
      <c r="Q14" s="282">
        <f t="shared" si="1"/>
        <v>0</v>
      </c>
    </row>
    <row r="15" spans="1:20" ht="15" customHeight="1" outlineLevel="1">
      <c r="B15" s="734"/>
      <c r="C15" s="734"/>
      <c r="D15" s="201" t="s">
        <v>1056</v>
      </c>
      <c r="E15" s="365">
        <v>0</v>
      </c>
      <c r="F15" s="365">
        <f>8+36.79+16.6</f>
        <v>61.39</v>
      </c>
      <c r="G15">
        <f>16.6</f>
        <v>16.600000000000001</v>
      </c>
      <c r="H15" s="305"/>
      <c r="J15" s="305"/>
      <c r="K15">
        <f>8+36.79</f>
        <v>44.79</v>
      </c>
      <c r="L15" s="305"/>
      <c r="N15" s="305"/>
      <c r="O15" s="274">
        <f>SUM(E15:F15)-SUM(G15:N15)</f>
        <v>0</v>
      </c>
      <c r="P15" s="274" t="str">
        <f t="shared" si="0"/>
        <v>Pet Health / Insurance</v>
      </c>
      <c r="Q15" s="282">
        <f t="shared" si="1"/>
        <v>0</v>
      </c>
    </row>
    <row r="16" spans="1:20" ht="15" customHeight="1" outlineLevel="1">
      <c r="B16" s="734"/>
      <c r="C16" s="734"/>
      <c r="D16" s="201" t="s">
        <v>1057</v>
      </c>
      <c r="E16" s="365">
        <v>0</v>
      </c>
      <c r="F16" s="365">
        <f>4.52+15.97+8.56</f>
        <v>29.050000000000004</v>
      </c>
      <c r="G16">
        <f>29.05</f>
        <v>29.05</v>
      </c>
      <c r="H16" s="305"/>
      <c r="I16" s="11"/>
      <c r="J16" s="305"/>
      <c r="L16" s="305"/>
      <c r="N16" s="305"/>
      <c r="O16" s="274">
        <f t="shared" si="2"/>
        <v>0</v>
      </c>
      <c r="P16" s="274" t="str">
        <f t="shared" si="0"/>
        <v>Life / Income Insurance</v>
      </c>
      <c r="Q16" s="282">
        <f t="shared" si="1"/>
        <v>0</v>
      </c>
    </row>
    <row r="17" spans="2:17" ht="15" customHeight="1" outlineLevel="1">
      <c r="B17" s="734"/>
      <c r="C17" s="734"/>
      <c r="D17" s="201" t="s">
        <v>602</v>
      </c>
      <c r="E17" s="365">
        <v>0</v>
      </c>
      <c r="F17" s="365">
        <v>26</v>
      </c>
      <c r="H17" s="305"/>
      <c r="J17" s="305"/>
      <c r="L17" s="305"/>
      <c r="M17">
        <f>26</f>
        <v>26</v>
      </c>
      <c r="N17" s="305"/>
      <c r="O17" s="274">
        <f>SUM(E17:F17)-SUM(G17:N17)</f>
        <v>0</v>
      </c>
      <c r="P17" s="274" t="str">
        <f t="shared" si="0"/>
        <v>Broadband / TV</v>
      </c>
      <c r="Q17" s="282">
        <f t="shared" si="1"/>
        <v>0</v>
      </c>
    </row>
    <row r="18" spans="2:17" ht="15" customHeight="1" outlineLevel="1">
      <c r="B18" s="734"/>
      <c r="C18" s="734"/>
      <c r="D18" s="201" t="s">
        <v>582</v>
      </c>
      <c r="E18" s="365">
        <v>0</v>
      </c>
      <c r="F18" s="365">
        <v>7.99</v>
      </c>
      <c r="H18" s="305"/>
      <c r="I18">
        <v>7.99</v>
      </c>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v>10.56</v>
      </c>
      <c r="G19">
        <v>10.56</v>
      </c>
      <c r="H19" s="305"/>
      <c r="J19" s="305"/>
      <c r="L19" s="305"/>
      <c r="N19" s="305"/>
      <c r="O19" s="274">
        <f>SUM(E19:F19)-SUM(G19:N19)</f>
        <v>0</v>
      </c>
      <c r="P19" s="274" t="str">
        <f t="shared" si="0"/>
        <v>Matt Phone</v>
      </c>
      <c r="Q19" s="282">
        <f t="shared" si="1"/>
        <v>0</v>
      </c>
    </row>
    <row r="20" spans="2:17" ht="15" customHeight="1" outlineLevel="1">
      <c r="B20" s="734"/>
      <c r="C20" s="734"/>
      <c r="D20" s="201" t="s">
        <v>985</v>
      </c>
      <c r="E20" s="365">
        <v>28.24</v>
      </c>
      <c r="F20" s="365">
        <f>28.87+34.68+42.5+13.56</f>
        <v>119.61</v>
      </c>
      <c r="G20">
        <f>13.56+34.68+42.5</f>
        <v>90.740000000000009</v>
      </c>
      <c r="H20" s="305"/>
      <c r="J20" s="305"/>
      <c r="L20" s="305"/>
      <c r="N20" s="305"/>
      <c r="O20" s="274">
        <f>SUM(E20:F20)-SUM(G20:N20)</f>
        <v>57.109999999999985</v>
      </c>
      <c r="P20" s="274" t="str">
        <f t="shared" si="0"/>
        <v>Car Tax / Insurance</v>
      </c>
      <c r="Q20" s="282">
        <f t="shared" si="1"/>
        <v>0</v>
      </c>
    </row>
    <row r="21" spans="2:17" ht="15" customHeight="1" outlineLevel="1">
      <c r="B21" s="734"/>
      <c r="C21" s="734"/>
      <c r="D21" s="201" t="s">
        <v>944</v>
      </c>
      <c r="E21" s="365">
        <v>0</v>
      </c>
      <c r="F21" s="365">
        <v>15</v>
      </c>
      <c r="G21">
        <v>15</v>
      </c>
      <c r="H21" s="305"/>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",G42*0.2," / Actual = ",D24," (",ROUND((D24/G42)*100,2),")")</f>
        <v>Savings - 20 - 810.036 / Actual = 150 (3.7)</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150</v>
      </c>
      <c r="E24" s="759"/>
      <c r="F24" s="319"/>
      <c r="H24" s="305"/>
      <c r="J24" s="305"/>
      <c r="L24" s="305"/>
      <c r="N24" s="305"/>
      <c r="O24" s="285">
        <f>SUMIF(O25:O29,"&gt;0")</f>
        <v>114.40000000000002</v>
      </c>
      <c r="P24" s="285" t="s">
        <v>895</v>
      </c>
      <c r="Q24" s="282">
        <f>SUM(Q25:Q29)</f>
        <v>0</v>
      </c>
    </row>
    <row r="25" spans="2:17" ht="15" customHeight="1" outlineLevel="1">
      <c r="B25" s="7" t="str">
        <f>"20% : " &amp; E$42*0.2</f>
        <v>20% : 967.522</v>
      </c>
      <c r="C25" s="7" t="str">
        <f>"20% : " &amp; E$42*0.2</f>
        <v>20% : 967.522</v>
      </c>
      <c r="D25" s="300" t="s">
        <v>590</v>
      </c>
      <c r="E25" s="365">
        <v>0</v>
      </c>
      <c r="F25" s="365">
        <v>75</v>
      </c>
      <c r="H25" s="305"/>
      <c r="J25" s="305"/>
      <c r="L25" s="315">
        <f>7.58</f>
        <v>7.58</v>
      </c>
      <c r="N25" s="305"/>
      <c r="O25" s="274">
        <f>SUM(E25:F25)-SUM(G25:N25)-Q42</f>
        <v>39.40000000000002</v>
      </c>
      <c r="P25" s="274" t="str">
        <f t="shared" ref="P25:P29" si="3">D25</f>
        <v>Contingency</v>
      </c>
      <c r="Q25" s="282">
        <v>0</v>
      </c>
    </row>
    <row r="26" spans="2:17" ht="15" customHeight="1" outlineLevel="1">
      <c r="B26" s="7"/>
      <c r="C26" s="7"/>
      <c r="D26" s="300" t="s">
        <v>998</v>
      </c>
      <c r="E26" s="365">
        <v>0</v>
      </c>
      <c r="F26" s="365">
        <v>75</v>
      </c>
      <c r="G26" s="11"/>
      <c r="H26" s="306"/>
      <c r="J26" s="305"/>
      <c r="L26" s="305"/>
      <c r="N26" s="305"/>
      <c r="O26" s="274">
        <f>SUM(E26:F26)-SUM(G26:N26)</f>
        <v>75</v>
      </c>
      <c r="P26" s="274" t="str">
        <f t="shared" si="3"/>
        <v>Cars (Service / MOT)</v>
      </c>
      <c r="Q26" s="282">
        <f t="shared" ref="Q26:Q29" si="4">IF(O26&lt;0,O26*-1,0)</f>
        <v>0</v>
      </c>
    </row>
    <row r="27" spans="2:17" ht="15" customHeight="1" outlineLevel="1">
      <c r="B27" s="7"/>
      <c r="C27" s="7"/>
      <c r="D27" s="300" t="s">
        <v>999</v>
      </c>
      <c r="E27" s="365">
        <v>0</v>
      </c>
      <c r="F27" s="365">
        <f>300-259.6-40.4</f>
        <v>0</v>
      </c>
      <c r="G27" s="11"/>
      <c r="H27" s="306"/>
      <c r="J27" s="305"/>
      <c r="L27" s="305"/>
      <c r="N27" s="305"/>
      <c r="O27" s="274">
        <f t="shared" ref="O27:O29" si="5">SUM(E27:F27)-SUM(G27:N27)</f>
        <v>0</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",G42*0.3," / Actual = ",D32," (",ROUND((D32/G42)*100,2),")")</f>
        <v>Wants - 30 - 1215.054 / Actual = 2304.61 (56.9)</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(E$42-D5-D24-E41)</f>
        <v>2304.6100000000006</v>
      </c>
      <c r="E32" s="727"/>
      <c r="F32" s="319">
        <f>SUM(F33:F38)</f>
        <v>2304.6100000000006</v>
      </c>
      <c r="H32" s="305"/>
      <c r="J32" s="305"/>
      <c r="L32" s="305"/>
      <c r="N32" s="305"/>
      <c r="O32" s="285">
        <f>SUMIF(O33:O37,"&gt;0")-O35</f>
        <v>109.51000000000022</v>
      </c>
      <c r="P32" s="285" t="s">
        <v>899</v>
      </c>
      <c r="Q32" s="282">
        <f>SUM(Q33:Q38)</f>
        <v>6</v>
      </c>
    </row>
    <row r="33" spans="2:19" ht="15" customHeight="1" outlineLevel="1">
      <c r="B33" s="734"/>
      <c r="C33" s="760"/>
      <c r="D33" s="300" t="s">
        <v>354</v>
      </c>
      <c r="E33" s="365">
        <v>0</v>
      </c>
      <c r="F33" s="365">
        <f>500-200-100</f>
        <v>200</v>
      </c>
      <c r="G33">
        <v>200</v>
      </c>
      <c r="H33" s="305"/>
      <c r="J33" s="305"/>
      <c r="L33" s="305"/>
      <c r="N33" s="305"/>
      <c r="O33" s="274">
        <f>SUM(E33:F33)-SUM(G33:N33)</f>
        <v>0</v>
      </c>
      <c r="P33" s="274" t="str">
        <f t="shared" ref="P33:P40" si="6">D33</f>
        <v>Holiday</v>
      </c>
      <c r="Q33" s="282">
        <f t="shared" ref="Q33:Q35" si="7">IF(O33&lt;0,O33*-1,0)</f>
        <v>0</v>
      </c>
      <c r="R33" s="11"/>
      <c r="S33" s="11"/>
    </row>
    <row r="34" spans="2:19" ht="15" customHeight="1" outlineLevel="1">
      <c r="B34" s="734"/>
      <c r="C34" s="760"/>
      <c r="D34" s="300" t="s">
        <v>170</v>
      </c>
      <c r="E34" s="365">
        <v>535.13999999999987</v>
      </c>
      <c r="F34" s="365">
        <f>250+77+40+25</f>
        <v>392</v>
      </c>
      <c r="G34">
        <f>19</f>
        <v>19</v>
      </c>
      <c r="H34" s="305">
        <f>33+5.99+45+63.82+70.57</f>
        <v>218.38</v>
      </c>
      <c r="I34">
        <f>120</f>
        <v>120</v>
      </c>
      <c r="J34" s="305">
        <f>-9.6+90.68+16.99</f>
        <v>98.070000000000007</v>
      </c>
      <c r="K34">
        <f>19+30+20+4.34+20</f>
        <v>93.34</v>
      </c>
      <c r="L34" s="305">
        <f>15.95+56.52+15+(143.55-20)+10.8+33.94+56.69+(-89.1)+34.99</f>
        <v>258.34000000000003</v>
      </c>
      <c r="M34">
        <f>10.5</f>
        <v>10.5</v>
      </c>
      <c r="N34" s="305"/>
      <c r="O34" s="274">
        <f>SUM(E34:F34)-SUM(G34:N34)</f>
        <v>109.50999999999988</v>
      </c>
      <c r="P34" s="274" t="str">
        <f t="shared" si="6"/>
        <v>Gift Fund</v>
      </c>
      <c r="Q34" s="282">
        <f t="shared" si="7"/>
        <v>0</v>
      </c>
      <c r="R34" s="11"/>
      <c r="S34" s="11"/>
    </row>
    <row r="35" spans="2:19" ht="15" customHeight="1" outlineLevel="1">
      <c r="B35" s="734"/>
      <c r="C35" s="760"/>
      <c r="D35" s="300" t="s">
        <v>812</v>
      </c>
      <c r="E35" s="365">
        <v>8524.92</v>
      </c>
      <c r="F35" s="365">
        <f>500+259.6+200-100</f>
        <v>859.6</v>
      </c>
      <c r="H35" s="305"/>
      <c r="J35" s="305"/>
      <c r="K35">
        <f>6+47.49</f>
        <v>53.49</v>
      </c>
      <c r="L35" s="305">
        <f>22.39</f>
        <v>22.39</v>
      </c>
      <c r="N35" s="305"/>
      <c r="O35" s="274">
        <f>SUM(E35:F35)-SUM(G35:N35)-O39</f>
        <v>9308.6400000000012</v>
      </c>
      <c r="P35" s="274" t="str">
        <f t="shared" si="6"/>
        <v>Wedding</v>
      </c>
      <c r="Q35" s="282">
        <f t="shared" si="7"/>
        <v>0</v>
      </c>
      <c r="R35" s="11"/>
      <c r="S35" s="349"/>
    </row>
    <row r="36" spans="2:19" ht="15" customHeight="1" outlineLevel="1">
      <c r="B36" s="734"/>
      <c r="C36" s="760"/>
      <c r="D36" s="300" t="s">
        <v>772</v>
      </c>
      <c r="E36" s="365">
        <f>31.15+83.9-4.26</f>
        <v>110.79</v>
      </c>
      <c r="F36" s="365">
        <v>0</v>
      </c>
      <c r="H36" s="305">
        <f>11.81+18+80.98</f>
        <v>110.79</v>
      </c>
      <c r="J36" s="305"/>
      <c r="L36" s="305"/>
      <c r="N36" s="305"/>
      <c r="O36" s="274">
        <f>SUM(E36:F36)-SUM(G36:N36)</f>
        <v>0</v>
      </c>
      <c r="P36" s="274" t="str">
        <f t="shared" si="6"/>
        <v>Home</v>
      </c>
      <c r="Q36" s="282"/>
      <c r="R36" s="11"/>
      <c r="S36" s="349"/>
    </row>
    <row r="37" spans="2:19" ht="15.75" customHeight="1" outlineLevel="1">
      <c r="B37" s="734"/>
      <c r="C37" s="760"/>
      <c r="D37" s="13" t="s">
        <v>781</v>
      </c>
      <c r="E37" s="365">
        <v>0</v>
      </c>
      <c r="F37" s="365">
        <f>13+2+10+5.99+5.99+7.99+10.99+1.99</f>
        <v>57.95000000000001</v>
      </c>
      <c r="G37">
        <f>13+2+10.99+7.99</f>
        <v>33.980000000000004</v>
      </c>
      <c r="H37" s="305"/>
      <c r="I37">
        <f>1.99+9.99+10</f>
        <v>21.98</v>
      </c>
      <c r="J37" s="305"/>
      <c r="L37" s="305"/>
      <c r="M37">
        <f>7.99</f>
        <v>7.99</v>
      </c>
      <c r="N37" s="305"/>
      <c r="O37" s="274">
        <f t="shared" ref="O37:O40" si="8">SUM(E37:F37)-SUM(G37:N37)</f>
        <v>-6</v>
      </c>
      <c r="P37" s="274" t="str">
        <f t="shared" si="6"/>
        <v>Subscriptions</v>
      </c>
      <c r="Q37" s="282">
        <f>IF(O37&lt;0,O37*-1,0)</f>
        <v>6</v>
      </c>
      <c r="S37" s="349"/>
    </row>
    <row r="38" spans="2:19" ht="18" outlineLevel="1">
      <c r="B38" s="734"/>
      <c r="C38" s="760"/>
      <c r="D38" s="13" t="s">
        <v>922</v>
      </c>
      <c r="E38" s="365">
        <v>4.26</v>
      </c>
      <c r="F38" s="365">
        <f>(D32-SUM(F33:F37))-F40</f>
        <v>795.06000000000063</v>
      </c>
      <c r="G38">
        <f>6+11.5+15.75+11.3+27+5+15+10</f>
        <v>101.55</v>
      </c>
      <c r="H38" s="305">
        <f>5.49+7.99+52+19.3</f>
        <v>84.78</v>
      </c>
      <c r="I38">
        <f>3.2</f>
        <v>3.2</v>
      </c>
      <c r="J38" s="305">
        <f>7.43+6.8+22</f>
        <v>36.230000000000004</v>
      </c>
      <c r="K38">
        <f>2+8.2+2.58+8.7+15+17.98+7.99+5+3.15+5.99</f>
        <v>76.589999999999989</v>
      </c>
      <c r="L38" s="305">
        <f>17.95+6.25+18.45+(61.04+68.06+31.95+12-15)+9+13.5+8.8+2+3.3</f>
        <v>237.3</v>
      </c>
      <c r="M38">
        <f>21.55+18.2+3.1+10</f>
        <v>52.85</v>
      </c>
      <c r="N38" s="305">
        <f>70.91+7.7+5+41.94+5.45+11.25+9.25+30+6.29+3.58</f>
        <v>191.37</v>
      </c>
      <c r="O38" s="274">
        <f>SUM(E38:F38)-SUM(G38:N38)</f>
        <v>15.450000000000614</v>
      </c>
      <c r="P38" s="274" t="str">
        <f t="shared" si="6"/>
        <v>Matt Fun</v>
      </c>
      <c r="Q38" s="282">
        <f>IF(SUM(E38:F38)-SUM(G38:N38)&lt;=0,(SUM(E38:F38)-SUM(G38:N38))*-1,0)</f>
        <v>0</v>
      </c>
    </row>
    <row r="39" spans="2:19" ht="18" outlineLevel="1">
      <c r="B39" s="7"/>
      <c r="C39" s="284"/>
      <c r="D39" s="13" t="s">
        <v>1025</v>
      </c>
      <c r="E39" s="365">
        <v>0</v>
      </c>
      <c r="F39" s="365">
        <v>0</v>
      </c>
      <c r="H39" s="305"/>
      <c r="J39" s="305"/>
      <c r="L39" s="305"/>
      <c r="N39" s="305"/>
      <c r="O39" s="274">
        <f>SUM(G39:N39)</f>
        <v>0</v>
      </c>
      <c r="P39" s="274" t="str">
        <f t="shared" si="6"/>
        <v>Work Expenses</v>
      </c>
      <c r="Q39" s="333"/>
      <c r="S39" s="11"/>
    </row>
    <row r="40" spans="2:19" ht="18" outlineLevel="1">
      <c r="B40" s="7"/>
      <c r="C40" s="284"/>
      <c r="D40" s="13" t="s">
        <v>152</v>
      </c>
      <c r="E40" s="365">
        <v>0</v>
      </c>
      <c r="F40" s="365">
        <v>0</v>
      </c>
      <c r="H40" s="305"/>
      <c r="J40" s="305"/>
      <c r="L40" s="305"/>
      <c r="N40" s="305"/>
      <c r="O40" s="274">
        <f t="shared" si="8"/>
        <v>0</v>
      </c>
      <c r="P40" s="274" t="str">
        <f t="shared" si="6"/>
        <v>Kris</v>
      </c>
      <c r="Q40" s="271">
        <f>IF(F40-SUM(G40:N40)&lt;=0,(F40-SUM(G40:N40))*-1,0)</f>
        <v>0</v>
      </c>
    </row>
    <row r="41" spans="2:19">
      <c r="B41" s="118"/>
      <c r="C41" s="118"/>
      <c r="E41" s="365">
        <f>SUM(E33:E40)+SUM(E25:E29)+SUM(E6:E21)-E35</f>
        <v>678.43000000000029</v>
      </c>
      <c r="F41" s="365"/>
      <c r="H41" s="7" t="s">
        <v>986</v>
      </c>
      <c r="J41" s="7" t="s">
        <v>986</v>
      </c>
      <c r="L41" s="7" t="s">
        <v>986</v>
      </c>
      <c r="N41" s="7" t="s">
        <v>986</v>
      </c>
      <c r="O41" s="273"/>
      <c r="P41" s="273"/>
      <c r="Q41" s="282"/>
    </row>
    <row r="42" spans="2:19" ht="18">
      <c r="B42" s="728" t="s">
        <v>817</v>
      </c>
      <c r="C42" s="728"/>
      <c r="D42" s="728"/>
      <c r="E42" s="375">
        <f>G42+I42+K42+M42+N42+E41</f>
        <v>4837.6100000000006</v>
      </c>
      <c r="F42" s="379"/>
      <c r="G42" s="271">
        <f>2863.18+1160+27</f>
        <v>4050.18</v>
      </c>
      <c r="H42" s="271"/>
      <c r="I42" s="271"/>
      <c r="J42" s="271"/>
      <c r="K42" s="271">
        <f>43+25</f>
        <v>68</v>
      </c>
      <c r="L42" s="271"/>
      <c r="M42" s="271">
        <f>16+15+10</f>
        <v>41</v>
      </c>
      <c r="N42" s="271"/>
      <c r="O42" s="314" t="str">
        <f>"£" &amp; ROUND(O5+O32+O24+IF(O38&lt;0,0,O38)+O40+O4,2) &amp; " / " &amp; "£" &amp; E42</f>
        <v>£311.47 / £4837.61</v>
      </c>
      <c r="P42" s="274"/>
      <c r="Q42" s="282">
        <f>SUM(Q32,Q24,Q5)</f>
        <v>28.019999999999982</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991</v>
      </c>
      <c r="O45" s="316">
        <v>44549</v>
      </c>
      <c r="P45" s="7">
        <f ca="1">DATEDIF(O45,NOW(),"d")</f>
        <v>1702</v>
      </c>
      <c r="Q45">
        <v>22.39</v>
      </c>
      <c r="R45" t="s">
        <v>1081</v>
      </c>
    </row>
    <row r="46" spans="2:19">
      <c r="B46" s="365"/>
      <c r="C46" s="38"/>
      <c r="E46" s="11"/>
      <c r="F46" s="11"/>
      <c r="G46" s="243"/>
      <c r="H46" s="243"/>
      <c r="K46" s="214"/>
      <c r="L46" s="214"/>
      <c r="N46" s="322" t="s">
        <v>992</v>
      </c>
      <c r="O46" s="42">
        <v>44549</v>
      </c>
      <c r="P46" s="7">
        <f ca="1">DATEDIF(O46,NOW(),"d")</f>
        <v>1702</v>
      </c>
      <c r="Q46">
        <v>29.21</v>
      </c>
      <c r="R46" t="s">
        <v>1082</v>
      </c>
    </row>
    <row r="47" spans="2:19">
      <c r="E47" s="365"/>
      <c r="F47" s="365"/>
      <c r="G47" s="11"/>
      <c r="H47" s="11"/>
      <c r="L47" s="243"/>
      <c r="O47"/>
      <c r="P47"/>
    </row>
    <row r="48" spans="2:19" ht="16.2" customHeight="1">
      <c r="D48" s="212"/>
      <c r="E48" s="278"/>
      <c r="F48" s="278"/>
      <c r="G48" s="213"/>
      <c r="H48" s="212"/>
      <c r="I48" s="212"/>
      <c r="J48" s="332"/>
      <c r="K48" s="332"/>
      <c r="O48" s="212"/>
      <c r="P48" s="212"/>
    </row>
    <row r="49" spans="2:17">
      <c r="B49" s="378"/>
      <c r="E49" s="230"/>
      <c r="F49" s="361"/>
      <c r="G49" s="11"/>
      <c r="H49" s="89"/>
      <c r="I49" s="230"/>
      <c r="J49" s="11"/>
      <c r="K49" s="56"/>
      <c r="L49" s="56"/>
      <c r="M49" s="365"/>
      <c r="N49" s="243">
        <f>311.47-39.1-16.48-20.36</f>
        <v>235.53000000000003</v>
      </c>
      <c r="O49" s="243"/>
      <c r="P49" s="56"/>
    </row>
    <row r="50" spans="2:17">
      <c r="E50" s="230"/>
      <c r="F50" s="361"/>
      <c r="G50" s="11"/>
      <c r="H50" s="89"/>
      <c r="I50" s="230"/>
      <c r="J50" s="11"/>
      <c r="K50" s="56"/>
      <c r="L50" s="243">
        <f>50</f>
        <v>50</v>
      </c>
      <c r="M50" s="365" t="s">
        <v>1083</v>
      </c>
      <c r="N50" s="56"/>
      <c r="O50" s="11"/>
      <c r="P50"/>
    </row>
    <row r="51" spans="2:17">
      <c r="E51" s="380"/>
      <c r="F51" s="381"/>
      <c r="G51" s="38"/>
      <c r="H51" s="361"/>
      <c r="I51" s="230"/>
      <c r="J51" s="11"/>
      <c r="L51">
        <v>12.34</v>
      </c>
      <c r="M51" s="365" t="s">
        <v>1084</v>
      </c>
      <c r="N51" s="56"/>
      <c r="O51" s="284"/>
      <c r="P51" s="212"/>
      <c r="Q51" s="212"/>
    </row>
    <row r="52" spans="2:17">
      <c r="E52" s="89"/>
      <c r="F52" s="89"/>
      <c r="G52" s="11"/>
      <c r="H52" s="361"/>
      <c r="I52" s="230"/>
      <c r="J52" s="11"/>
      <c r="L52">
        <f>14.5+3.6+6.6</f>
        <v>24.700000000000003</v>
      </c>
      <c r="M52" s="365" t="s">
        <v>1085</v>
      </c>
      <c r="N52" s="56"/>
      <c r="O52" s="56"/>
      <c r="P52" s="56"/>
      <c r="Q52" s="38"/>
    </row>
    <row r="53" spans="2:17">
      <c r="E53" s="380"/>
      <c r="F53" s="360"/>
      <c r="G53" s="11"/>
      <c r="H53" s="230"/>
      <c r="I53" s="230"/>
      <c r="J53" s="11"/>
      <c r="L53">
        <v>7.99</v>
      </c>
      <c r="M53" s="365" t="s">
        <v>1086</v>
      </c>
      <c r="N53" s="56"/>
    </row>
    <row r="54" spans="2:17">
      <c r="E54" s="360"/>
      <c r="F54" s="360"/>
      <c r="G54" s="11"/>
      <c r="H54" s="361"/>
      <c r="I54" s="89"/>
      <c r="J54" s="11"/>
      <c r="L54" s="243">
        <f>1850.43</f>
        <v>1850.43</v>
      </c>
      <c r="M54" s="382"/>
      <c r="N54" s="363"/>
    </row>
    <row r="55" spans="2:17">
      <c r="E55" s="365"/>
      <c r="F55" s="381"/>
      <c r="G55" s="11"/>
      <c r="H55" s="38"/>
      <c r="I55" s="89"/>
      <c r="J55" s="11"/>
      <c r="L55" s="243"/>
      <c r="N55" s="364"/>
      <c r="O55" s="275"/>
      <c r="P55" s="275"/>
    </row>
    <row r="56" spans="2:17">
      <c r="B56" s="11"/>
      <c r="E56" s="365"/>
      <c r="F56" s="365"/>
      <c r="G56" s="11"/>
      <c r="H56" s="38"/>
      <c r="I56" s="11"/>
      <c r="J56" s="11"/>
      <c r="L56" s="243"/>
      <c r="N56" s="364"/>
    </row>
    <row r="57" spans="2:17" ht="14.4">
      <c r="B57" s="11"/>
      <c r="E57"/>
      <c r="F57"/>
      <c r="G57" s="11"/>
      <c r="H57" s="38"/>
      <c r="I57" s="11"/>
      <c r="J57" s="11"/>
      <c r="K57" s="11"/>
      <c r="L57" s="79"/>
      <c r="O57"/>
      <c r="P57"/>
    </row>
    <row r="58" spans="2:17">
      <c r="E58"/>
      <c r="F58"/>
      <c r="G58" s="11"/>
      <c r="H58" s="38"/>
      <c r="I58" s="11"/>
      <c r="L58" s="243"/>
      <c r="N58" s="278"/>
      <c r="O58" s="212"/>
      <c r="P58" s="212"/>
    </row>
    <row r="59" spans="2:17">
      <c r="B59" s="212"/>
      <c r="C59" s="212"/>
      <c r="E59" s="243"/>
      <c r="F59"/>
      <c r="G59" s="11"/>
      <c r="H59" s="38"/>
      <c r="I59" s="11"/>
      <c r="J59" s="349"/>
      <c r="N59" s="376"/>
      <c r="O59" s="214"/>
      <c r="P59" s="214"/>
    </row>
    <row r="60" spans="2:17">
      <c r="C60" s="56"/>
      <c r="D60" s="243"/>
      <c r="E60"/>
      <c r="F60"/>
      <c r="G60" s="11"/>
      <c r="H60" s="38"/>
      <c r="I60" s="11"/>
      <c r="J60" s="349"/>
      <c r="N60" s="365"/>
      <c r="O60"/>
      <c r="P60"/>
    </row>
    <row r="61" spans="2:17">
      <c r="C61" s="56"/>
      <c r="E61"/>
      <c r="F61"/>
      <c r="H61" s="38"/>
      <c r="I61" s="11"/>
      <c r="J61" s="349"/>
      <c r="N61" s="278"/>
      <c r="O61" s="212"/>
      <c r="P61" s="212"/>
    </row>
    <row r="62" spans="2:17">
      <c r="C62" s="56"/>
      <c r="E62"/>
      <c r="F62"/>
      <c r="G62" s="11"/>
      <c r="H62" s="38"/>
      <c r="I62" s="11"/>
      <c r="J62" s="11"/>
      <c r="K62" s="11"/>
      <c r="N62" s="365"/>
      <c r="O62" s="56"/>
      <c r="P62" s="56"/>
    </row>
    <row r="63" spans="2:17">
      <c r="C63" s="56"/>
      <c r="E63"/>
      <c r="F63"/>
      <c r="G63" s="11"/>
      <c r="H63" s="38"/>
      <c r="I63" s="11"/>
      <c r="N63" s="365"/>
      <c r="O63"/>
      <c r="P63"/>
    </row>
    <row r="64" spans="2:17">
      <c r="C64" s="56"/>
      <c r="E64" s="243"/>
      <c r="F64"/>
      <c r="G64" s="11"/>
      <c r="H64" s="38"/>
      <c r="I64" s="11"/>
      <c r="J64" s="349"/>
      <c r="N64" s="278"/>
      <c r="O64" s="212"/>
      <c r="P64" s="212"/>
    </row>
    <row r="65" spans="2:16">
      <c r="C65" s="56"/>
      <c r="D65" s="243"/>
      <c r="E65"/>
      <c r="F65"/>
      <c r="G65" s="11"/>
      <c r="H65" s="38"/>
      <c r="I65" s="11"/>
      <c r="J65" s="349"/>
      <c r="N65" s="365"/>
      <c r="O65" s="38"/>
      <c r="P65" s="56"/>
    </row>
    <row r="66" spans="2:16" ht="14.4">
      <c r="C66" s="56"/>
      <c r="E66"/>
      <c r="F66"/>
      <c r="H66" s="38"/>
      <c r="I66" s="11"/>
      <c r="O66"/>
    </row>
    <row r="67" spans="2:16" ht="14.4">
      <c r="C67" s="56"/>
      <c r="E67" s="347"/>
      <c r="F67"/>
      <c r="H67" s="38"/>
      <c r="I67" s="11"/>
    </row>
    <row r="68" spans="2:16" ht="14.4">
      <c r="C68" s="56"/>
      <c r="E68" s="332"/>
      <c r="F68" s="332"/>
      <c r="G68" s="212"/>
    </row>
    <row r="69" spans="2:16" ht="14.4">
      <c r="C69" s="56"/>
      <c r="E69"/>
      <c r="F69"/>
      <c r="G69" s="243"/>
    </row>
    <row r="70" spans="2:16" ht="14.4">
      <c r="C70" s="56"/>
      <c r="E70"/>
      <c r="F70"/>
      <c r="G70" s="243"/>
    </row>
    <row r="71" spans="2:16">
      <c r="E71" s="365"/>
      <c r="F71" s="365"/>
      <c r="G71" s="243"/>
    </row>
    <row r="72" spans="2:16" ht="14.4">
      <c r="B72" s="212"/>
      <c r="C72" s="294"/>
      <c r="D72" s="212"/>
      <c r="E72" s="212"/>
      <c r="F72" s="212"/>
      <c r="G72" s="243"/>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3">
    <mergeCell ref="B24:C24"/>
    <mergeCell ref="D24:E24"/>
    <mergeCell ref="B1:O1"/>
    <mergeCell ref="G3:H3"/>
    <mergeCell ref="I3:J3"/>
    <mergeCell ref="K3:L3"/>
    <mergeCell ref="M3:N3"/>
    <mergeCell ref="B4:E4"/>
    <mergeCell ref="B5:C5"/>
    <mergeCell ref="D5:E5"/>
    <mergeCell ref="B6:B21"/>
    <mergeCell ref="C6:C21"/>
    <mergeCell ref="B23:E23"/>
    <mergeCell ref="B44:G44"/>
    <mergeCell ref="K44:O44"/>
    <mergeCell ref="B45:C45"/>
    <mergeCell ref="D45:E45"/>
    <mergeCell ref="B31:E31"/>
    <mergeCell ref="B32:C32"/>
    <mergeCell ref="D32:E32"/>
    <mergeCell ref="B33:B38"/>
    <mergeCell ref="C33:C38"/>
    <mergeCell ref="B42:D42"/>
  </mergeCells>
  <pageMargins left="0.7" right="0.7" top="0.75" bottom="0.75" header="0.3" footer="0.3"/>
  <pageSetup orientation="portrait" r:id="rId1"/>
  <legacyDrawing r:id="rId2"/>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D3816-AE32-D640-9504-680DFFE4739E}">
  <dimension ref="A1:T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NOV-DEC 2022</v>
      </c>
      <c r="B1" s="730" t="str">
        <f ca="1">MID(CELL("filename",B1),FIND("]",CELL("filename",B1))+1,255)</f>
        <v>DEC-JAN 2022</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D3" s="7" t="str">
        <f>"£" &amp; ROUND(O5+O32+O24+IF(O38&lt;0,0,O38)+O40+O4,2) &amp; " / " &amp; "£" &amp; E42</f>
        <v>£1462.15 / £4369.5</v>
      </c>
      <c r="E3" s="365">
        <f>2802.81-2787.81</f>
        <v>15</v>
      </c>
      <c r="F3" s="365"/>
      <c r="G3" s="732">
        <v>44554</v>
      </c>
      <c r="H3" s="732"/>
      <c r="I3" s="732">
        <f>G3+7</f>
        <v>44561</v>
      </c>
      <c r="J3" s="732"/>
      <c r="K3" s="732">
        <f>I3+7</f>
        <v>44568</v>
      </c>
      <c r="L3" s="732"/>
      <c r="M3" s="732">
        <f>K3+7</f>
        <v>44575</v>
      </c>
      <c r="N3" s="732"/>
      <c r="O3" s="325"/>
      <c r="P3" s="325"/>
      <c r="Q3" s="282"/>
    </row>
    <row r="4" spans="1:20" ht="15" customHeight="1">
      <c r="B4" s="727" t="str">
        <f>_xlfn.CONCAT("Expenses - 50 - ",G42*0.5," / Actual = ",D5," (",ROUND((D5/G42)*100,2),")")</f>
        <v>Expenses - 50 - 1937.515 / Actual = 1696.36 (43.78)</v>
      </c>
      <c r="C4" s="727"/>
      <c r="D4" s="727"/>
      <c r="E4" s="727"/>
      <c r="F4" s="318"/>
      <c r="H4" s="243">
        <f>SUM(H5:H40)</f>
        <v>654.04</v>
      </c>
      <c r="J4" s="243">
        <f>SUM(J5:J40)</f>
        <v>197.50000000000003</v>
      </c>
      <c r="L4" s="243">
        <f>SUM(L5:L40)</f>
        <v>-235.44999999999996</v>
      </c>
      <c r="N4" s="243">
        <f>SUM(N5:N40)</f>
        <v>379.02</v>
      </c>
      <c r="O4" s="308">
        <f>IF(H41&lt;&gt;"PAID",H4,0)+IF(J41&lt;&gt;"PAID",J4,0)+IF(L41&lt;&gt;"PAID",L4,0)+IF(N41&lt;&gt;"PAID",N4,0)</f>
        <v>995.11</v>
      </c>
      <c r="P4" s="309" t="s">
        <v>973</v>
      </c>
      <c r="Q4" s="282"/>
      <c r="R4" s="243"/>
      <c r="S4" s="243"/>
    </row>
    <row r="5" spans="1:20" ht="15" customHeight="1">
      <c r="B5" s="733" t="str">
        <f>IF(D5&gt;E$42*0.5,ROUND(D5-E$42*0.5,2) &amp; " Over",ROUND(E$42*0.5-D5,2) &amp; " Under")</f>
        <v>488.39 Under</v>
      </c>
      <c r="C5" s="733"/>
      <c r="D5" s="761">
        <f>SUM(F6:F21)</f>
        <v>1696.36</v>
      </c>
      <c r="E5" s="761"/>
      <c r="F5" s="321"/>
      <c r="G5" s="284"/>
      <c r="H5" s="306"/>
      <c r="I5" s="79"/>
      <c r="J5" s="306"/>
      <c r="K5" s="79"/>
      <c r="L5" s="306"/>
      <c r="M5" s="79"/>
      <c r="N5" s="305"/>
      <c r="O5" s="285">
        <f>SUMIF(O6:O21,"&gt;0")</f>
        <v>73.550000000000011</v>
      </c>
      <c r="P5" s="285" t="s">
        <v>892</v>
      </c>
      <c r="Q5" s="282">
        <f>SUM(Q6:Q21)</f>
        <v>16.030000000000086</v>
      </c>
      <c r="R5" s="243"/>
    </row>
    <row r="6" spans="1:20" ht="15" customHeight="1">
      <c r="B6" s="734" t="str">
        <f>"50%: " &amp; E$42*0.5</f>
        <v>50%: 2184.75</v>
      </c>
      <c r="C6" s="734" t="str">
        <f>ROUND((D5/E$42)*100,2) &amp; "%: " &amp;D5</f>
        <v>38.82%: 1696.36</v>
      </c>
      <c r="D6" s="13" t="s">
        <v>805</v>
      </c>
      <c r="E6" s="365">
        <v>0</v>
      </c>
      <c r="F6" s="374">
        <f>200-21.02-20.45</f>
        <v>158.53</v>
      </c>
      <c r="H6" s="305">
        <f>50+28</f>
        <v>78</v>
      </c>
      <c r="I6">
        <f>20.32</f>
        <v>20.32</v>
      </c>
      <c r="J6" s="305">
        <f>20.07</f>
        <v>20.07</v>
      </c>
      <c r="L6" s="305">
        <f>20.05</f>
        <v>20.05</v>
      </c>
      <c r="N6" s="305">
        <f>20.09</f>
        <v>20.09</v>
      </c>
      <c r="O6" s="274">
        <f>SUM(E6:F6)-SUM(G6:N6)</f>
        <v>0</v>
      </c>
      <c r="P6" s="274" t="str">
        <f t="shared" ref="P6:P21" si="0">D6</f>
        <v>Car Petrol / commuting</v>
      </c>
      <c r="Q6" s="282">
        <f t="shared" ref="Q6:Q21" si="1">IF(O6&lt;0,O6*-1,0)</f>
        <v>0</v>
      </c>
      <c r="R6" s="243"/>
    </row>
    <row r="7" spans="1:20" ht="15" customHeight="1">
      <c r="B7" s="734"/>
      <c r="C7" s="734"/>
      <c r="D7" s="13" t="s">
        <v>169</v>
      </c>
      <c r="E7" s="365">
        <v>0</v>
      </c>
      <c r="F7" s="365">
        <f>300+21.01+20.45+25+10.18</f>
        <v>376.64</v>
      </c>
      <c r="G7">
        <f>20.36+6.51+10.25</f>
        <v>37.119999999999997</v>
      </c>
      <c r="H7" s="305">
        <f>24.7+16</f>
        <v>40.700000000000003</v>
      </c>
      <c r="I7">
        <f>48.15</f>
        <v>48.15</v>
      </c>
      <c r="J7" s="305">
        <f>32.15+34.03</f>
        <v>66.180000000000007</v>
      </c>
      <c r="L7" s="305">
        <f>24.73+36.78</f>
        <v>61.510000000000005</v>
      </c>
      <c r="M7">
        <f>2.18</f>
        <v>2.1800000000000002</v>
      </c>
      <c r="N7" s="305">
        <f>45.94+21.01+29.75+8+32.13</f>
        <v>136.83000000000001</v>
      </c>
      <c r="O7" s="274">
        <f>SUM(E7:F7)-SUM(G7:N7)</f>
        <v>-16.030000000000086</v>
      </c>
      <c r="P7" s="274" t="str">
        <f t="shared" si="0"/>
        <v>Food</v>
      </c>
      <c r="Q7" s="282">
        <f t="shared" si="1"/>
        <v>16.030000000000086</v>
      </c>
      <c r="R7" s="243"/>
    </row>
    <row r="8" spans="1:20" ht="15" customHeight="1">
      <c r="B8" s="734"/>
      <c r="C8" s="734"/>
      <c r="D8" s="13" t="s">
        <v>153</v>
      </c>
      <c r="E8" s="365">
        <v>0</v>
      </c>
      <c r="F8" s="365">
        <v>150</v>
      </c>
      <c r="G8">
        <f>30.45</f>
        <v>30.45</v>
      </c>
      <c r="H8" s="305">
        <f>12.34</f>
        <v>12.34</v>
      </c>
      <c r="I8">
        <f>18.9</f>
        <v>18.899999999999999</v>
      </c>
      <c r="J8" s="362">
        <f>11.81</f>
        <v>11.81</v>
      </c>
      <c r="K8">
        <f>9.6+25.78+15.5</f>
        <v>50.88</v>
      </c>
      <c r="L8" s="305"/>
      <c r="M8">
        <f>3.39+18.09</f>
        <v>21.48</v>
      </c>
      <c r="N8" s="305"/>
      <c r="O8" s="274">
        <f>SUM(E8:F8)-SUM(G8:N8)</f>
        <v>4.1400000000000148</v>
      </c>
      <c r="P8" s="274" t="str">
        <f t="shared" si="0"/>
        <v>Luna</v>
      </c>
      <c r="Q8" s="282">
        <f t="shared" si="1"/>
        <v>0</v>
      </c>
    </row>
    <row r="9" spans="1:20" ht="15" customHeight="1">
      <c r="B9" s="734"/>
      <c r="C9" s="734"/>
      <c r="D9" s="13" t="s">
        <v>1079</v>
      </c>
      <c r="E9" s="365">
        <v>0</v>
      </c>
      <c r="F9" s="365">
        <v>40</v>
      </c>
      <c r="H9" s="305"/>
      <c r="J9" s="305"/>
      <c r="L9" s="305"/>
      <c r="N9" s="305">
        <f>39.66</f>
        <v>39.659999999999997</v>
      </c>
      <c r="O9" s="274">
        <f>SUM(E9:F9)-SUM(G9:N9)</f>
        <v>0.34000000000000341</v>
      </c>
      <c r="P9" s="274" t="str">
        <f t="shared" si="0"/>
        <v>Creamy</v>
      </c>
      <c r="Q9" s="282">
        <f t="shared" si="1"/>
        <v>0</v>
      </c>
    </row>
    <row r="10" spans="1:20" ht="15" customHeight="1" outlineLevel="1">
      <c r="B10" s="734"/>
      <c r="C10" s="734"/>
      <c r="D10" s="201" t="s">
        <v>595</v>
      </c>
      <c r="E10" s="365">
        <v>0</v>
      </c>
      <c r="F10" s="365">
        <f>452.64</f>
        <v>452.64</v>
      </c>
      <c r="H10" s="305"/>
      <c r="J10" s="305"/>
      <c r="L10" s="305"/>
      <c r="M10">
        <f>452.64</f>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135</v>
      </c>
      <c r="H11" s="305"/>
      <c r="J11" s="305"/>
      <c r="L11" s="305"/>
      <c r="M11">
        <f>135</f>
        <v>135</v>
      </c>
      <c r="N11" s="305"/>
      <c r="O11" s="274">
        <f t="shared" si="2"/>
        <v>0</v>
      </c>
      <c r="P11" s="274" t="str">
        <f t="shared" si="0"/>
        <v>Council tax</v>
      </c>
      <c r="Q11" s="282">
        <f t="shared" si="1"/>
        <v>0</v>
      </c>
    </row>
    <row r="12" spans="1:20" ht="15" customHeight="1" outlineLevel="1">
      <c r="B12" s="734"/>
      <c r="C12" s="734"/>
      <c r="D12" s="201" t="s">
        <v>1002</v>
      </c>
      <c r="E12" s="365">
        <v>0</v>
      </c>
      <c r="F12" s="365">
        <f>29+55+1</f>
        <v>85</v>
      </c>
      <c r="H12" s="305"/>
      <c r="I12">
        <f>1+55</f>
        <v>56</v>
      </c>
      <c r="J12" s="305"/>
      <c r="L12" s="305"/>
      <c r="M12">
        <f>29</f>
        <v>29</v>
      </c>
      <c r="N12" s="305"/>
      <c r="O12" s="274">
        <f>SUM(E12:F12)-SUM(G12:N12)</f>
        <v>0</v>
      </c>
      <c r="P12" s="274" t="str">
        <f t="shared" si="0"/>
        <v>Utilities (G,W,E,HTB)</v>
      </c>
      <c r="Q12" s="282">
        <f t="shared" si="1"/>
        <v>0</v>
      </c>
    </row>
    <row r="13" spans="1:20" ht="15" customHeight="1" outlineLevel="1">
      <c r="B13" s="734"/>
      <c r="C13" s="734"/>
      <c r="D13" s="201" t="s">
        <v>996</v>
      </c>
      <c r="E13" s="365">
        <v>0</v>
      </c>
      <c r="F13" s="365">
        <f>13.07</f>
        <v>13.07</v>
      </c>
      <c r="H13" s="305"/>
      <c r="J13" s="305"/>
      <c r="L13" s="305"/>
      <c r="N13" s="305"/>
      <c r="O13" s="274">
        <f>SUM(E13:F13)-SUM(G13:N13)</f>
        <v>13.07</v>
      </c>
      <c r="P13" s="274" t="str">
        <f t="shared" si="0"/>
        <v>Home Insurance</v>
      </c>
      <c r="Q13" s="282">
        <f t="shared" si="1"/>
        <v>0</v>
      </c>
    </row>
    <row r="14" spans="1:20" ht="15" customHeight="1" outlineLevel="1">
      <c r="B14" s="734"/>
      <c r="C14" s="734"/>
      <c r="D14" s="201" t="s">
        <v>359</v>
      </c>
      <c r="E14" s="365">
        <v>15</v>
      </c>
      <c r="F14" s="365">
        <f>15</f>
        <v>15</v>
      </c>
      <c r="H14" s="305"/>
      <c r="J14" s="305"/>
      <c r="L14" s="305"/>
      <c r="N14" s="305"/>
      <c r="O14" s="274">
        <f t="shared" si="2"/>
        <v>30</v>
      </c>
      <c r="P14" s="274" t="str">
        <f t="shared" si="0"/>
        <v>TV License</v>
      </c>
      <c r="Q14" s="282">
        <f t="shared" si="1"/>
        <v>0</v>
      </c>
    </row>
    <row r="15" spans="1:20" ht="15" customHeight="1" outlineLevel="1">
      <c r="B15" s="734"/>
      <c r="C15" s="734"/>
      <c r="D15" s="201" t="s">
        <v>1056</v>
      </c>
      <c r="E15" s="365">
        <v>0</v>
      </c>
      <c r="F15" s="365">
        <f>8+36.79+16.6</f>
        <v>61.39</v>
      </c>
      <c r="H15" s="305"/>
      <c r="I15">
        <f>16.6</f>
        <v>16.600000000000001</v>
      </c>
      <c r="J15" s="305"/>
      <c r="L15" s="305"/>
      <c r="M15">
        <f>8+36.79</f>
        <v>44.79</v>
      </c>
      <c r="N15" s="305"/>
      <c r="O15" s="274">
        <f>SUM(E15:F15)-SUM(G15:N15)</f>
        <v>0</v>
      </c>
      <c r="P15" s="274" t="str">
        <f t="shared" si="0"/>
        <v>Pet Health / Insurance</v>
      </c>
      <c r="Q15" s="282">
        <f t="shared" si="1"/>
        <v>0</v>
      </c>
    </row>
    <row r="16" spans="1:20" ht="15" customHeight="1" outlineLevel="1">
      <c r="B16" s="734"/>
      <c r="C16" s="734"/>
      <c r="D16" s="201" t="s">
        <v>1057</v>
      </c>
      <c r="E16" s="365">
        <v>0</v>
      </c>
      <c r="F16" s="365">
        <f>4.52+15.97+8.56</f>
        <v>29.050000000000004</v>
      </c>
      <c r="H16" s="305"/>
      <c r="I16" s="11">
        <f>29.05</f>
        <v>29.05</v>
      </c>
      <c r="J16" s="305"/>
      <c r="L16" s="305"/>
      <c r="N16" s="305"/>
      <c r="O16" s="274">
        <f t="shared" si="2"/>
        <v>0</v>
      </c>
      <c r="P16" s="274" t="str">
        <f t="shared" si="0"/>
        <v>Life / Income Insurance</v>
      </c>
      <c r="Q16" s="282">
        <f t="shared" si="1"/>
        <v>0</v>
      </c>
    </row>
    <row r="17" spans="2:17" ht="15" customHeight="1" outlineLevel="1">
      <c r="B17" s="734"/>
      <c r="C17" s="734"/>
      <c r="D17" s="201" t="s">
        <v>602</v>
      </c>
      <c r="E17" s="365">
        <v>0</v>
      </c>
      <c r="F17" s="365">
        <v>26</v>
      </c>
      <c r="H17" s="305"/>
      <c r="J17" s="305"/>
      <c r="L17" s="305"/>
      <c r="N17" s="305"/>
      <c r="O17" s="274">
        <f>SUM(E17:F17)-SUM(G17:N17)</f>
        <v>26</v>
      </c>
      <c r="P17" s="274" t="str">
        <f t="shared" si="0"/>
        <v>Broadband / TV</v>
      </c>
      <c r="Q17" s="282">
        <f t="shared" si="1"/>
        <v>0</v>
      </c>
    </row>
    <row r="18" spans="2:17" ht="15" customHeight="1" outlineLevel="1">
      <c r="B18" s="734"/>
      <c r="C18" s="734"/>
      <c r="D18" s="201" t="s">
        <v>582</v>
      </c>
      <c r="E18" s="365">
        <v>0</v>
      </c>
      <c r="F18" s="365">
        <v>7.99</v>
      </c>
      <c r="H18" s="305"/>
      <c r="I18">
        <f>7.99</f>
        <v>7.99</v>
      </c>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v>10.56</v>
      </c>
      <c r="H19" s="305"/>
      <c r="I19">
        <f>10.56</f>
        <v>10.56</v>
      </c>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29.75+34.68+42.5+13.56</f>
        <v>120.49000000000001</v>
      </c>
      <c r="H20" s="305"/>
      <c r="I20">
        <f>13.56+34.68+42.5</f>
        <v>90.740000000000009</v>
      </c>
      <c r="J20" s="305"/>
      <c r="L20" s="305"/>
      <c r="M20">
        <f>29.75</f>
        <v>29.75</v>
      </c>
      <c r="N20" s="305"/>
      <c r="O20" s="274">
        <f>SUM(E20:F20)-SUM(G20:N20)</f>
        <v>0</v>
      </c>
      <c r="P20" s="274" t="str">
        <f t="shared" si="0"/>
        <v>Car Tax / Insurance</v>
      </c>
      <c r="Q20" s="282">
        <f t="shared" si="1"/>
        <v>0</v>
      </c>
    </row>
    <row r="21" spans="2:17" ht="15" customHeight="1" outlineLevel="1">
      <c r="B21" s="734"/>
      <c r="C21" s="734"/>
      <c r="D21" s="201" t="s">
        <v>944</v>
      </c>
      <c r="E21" s="365">
        <v>0</v>
      </c>
      <c r="F21" s="365">
        <v>15</v>
      </c>
      <c r="H21" s="305"/>
      <c r="I21">
        <v>15</v>
      </c>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",G42*0.2," / Actual = ",D24," (",ROUND((D24/G42)*100,2),")")</f>
        <v>Savings - 20 - 775.006 / Actual = 450 (11.61)</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450</v>
      </c>
      <c r="E24" s="759"/>
      <c r="F24" s="319"/>
      <c r="H24" s="305"/>
      <c r="J24" s="305"/>
      <c r="L24" s="305"/>
      <c r="N24" s="305"/>
      <c r="O24" s="285">
        <f>SUMIF(O25:O29,"&gt;0")</f>
        <v>308.07999999999993</v>
      </c>
      <c r="P24" s="285" t="s">
        <v>895</v>
      </c>
      <c r="Q24" s="282">
        <f>SUM(Q25:Q29)</f>
        <v>90</v>
      </c>
    </row>
    <row r="25" spans="2:17" ht="15" customHeight="1" outlineLevel="1">
      <c r="B25" s="7" t="str">
        <f>"20% : " &amp; E$42*0.2</f>
        <v>20% : 873.9</v>
      </c>
      <c r="C25" s="7" t="str">
        <f>"20% : " &amp; E$42*0.2</f>
        <v>20% : 873.9</v>
      </c>
      <c r="D25" s="300" t="s">
        <v>590</v>
      </c>
      <c r="E25" s="365">
        <f>39.4+57.11</f>
        <v>96.509999999999991</v>
      </c>
      <c r="F25" s="365">
        <v>75</v>
      </c>
      <c r="H25" s="305"/>
      <c r="I25">
        <f>8.4</f>
        <v>8.4</v>
      </c>
      <c r="J25" s="305"/>
      <c r="K25">
        <f>49</f>
        <v>49</v>
      </c>
      <c r="L25" s="315"/>
      <c r="N25" s="305"/>
      <c r="O25" s="274">
        <f>SUM(E25:F25)-SUM(G25:N25)-Q42</f>
        <v>8.0799999999998988</v>
      </c>
      <c r="P25" s="274" t="str">
        <f t="shared" ref="P25:P29" si="3">D25</f>
        <v>Contingency</v>
      </c>
      <c r="Q25" s="282">
        <v>0</v>
      </c>
    </row>
    <row r="26" spans="2:17" ht="15" customHeight="1" outlineLevel="1">
      <c r="B26" s="7"/>
      <c r="C26" s="7"/>
      <c r="D26" s="300" t="s">
        <v>998</v>
      </c>
      <c r="E26" s="365">
        <v>75</v>
      </c>
      <c r="F26" s="365">
        <v>75</v>
      </c>
      <c r="G26" s="11"/>
      <c r="H26" s="306"/>
      <c r="J26" s="305"/>
      <c r="L26" s="305"/>
      <c r="M26">
        <f>240</f>
        <v>240</v>
      </c>
      <c r="N26" s="305"/>
      <c r="O26" s="274">
        <f>SUM(E26:F26)-SUM(G26:N26)</f>
        <v>-90</v>
      </c>
      <c r="P26" s="274" t="str">
        <f t="shared" si="3"/>
        <v>Cars (Service / MOT)</v>
      </c>
      <c r="Q26" s="282">
        <f t="shared" ref="Q26:Q29" si="4">IF(O26&lt;0,O26*-1,0)</f>
        <v>90</v>
      </c>
    </row>
    <row r="27" spans="2:17" ht="15" customHeight="1" outlineLevel="1">
      <c r="B27" s="7"/>
      <c r="C27" s="7"/>
      <c r="D27" s="300" t="s">
        <v>999</v>
      </c>
      <c r="E27" s="365">
        <v>0</v>
      </c>
      <c r="F27" s="365">
        <v>300</v>
      </c>
      <c r="G27" s="11"/>
      <c r="H27" s="306"/>
      <c r="J27" s="305"/>
      <c r="L27" s="305"/>
      <c r="N27" s="305"/>
      <c r="O27" s="274">
        <f t="shared" ref="O27:O29" si="5">SUM(E27:F27)-SUM(G27:N27)</f>
        <v>300</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",G42*0.3," / Actual = ",D32," (",ROUND((D32/G42)*100,2),")")</f>
        <v>Wants - 30 - 1162.509 / Actual = 1911.67 (49.33)</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(E$42-D5-D24-E41)</f>
        <v>1911.670000000001</v>
      </c>
      <c r="E32" s="727"/>
      <c r="F32" s="319">
        <f>SUM(F33:F38)</f>
        <v>1845.130000000001</v>
      </c>
      <c r="H32" s="305"/>
      <c r="J32" s="305"/>
      <c r="L32" s="305"/>
      <c r="N32" s="305"/>
      <c r="O32" s="285">
        <f>SUMIF(O33:O37,"&gt;0")-O35</f>
        <v>85.409999999999854</v>
      </c>
      <c r="P32" s="285" t="s">
        <v>899</v>
      </c>
      <c r="Q32" s="282">
        <f>SUM(Q33:Q38)</f>
        <v>0</v>
      </c>
    </row>
    <row r="33" spans="2:19" ht="15" customHeight="1" outlineLevel="1">
      <c r="B33" s="734"/>
      <c r="C33" s="760"/>
      <c r="D33" s="300" t="s">
        <v>354</v>
      </c>
      <c r="E33" s="365">
        <v>0</v>
      </c>
      <c r="F33" s="365">
        <v>0</v>
      </c>
      <c r="H33" s="305"/>
      <c r="J33" s="305"/>
      <c r="L33" s="305"/>
      <c r="N33" s="305"/>
      <c r="O33" s="274">
        <f>SUM(E33:F33)-SUM(G33:N33)</f>
        <v>0</v>
      </c>
      <c r="P33" s="274" t="str">
        <f t="shared" ref="P33:P40" si="6">D33</f>
        <v>Holiday</v>
      </c>
      <c r="Q33" s="282">
        <f t="shared" ref="Q33:Q35" si="7">IF(O33&lt;0,O33*-1,0)</f>
        <v>0</v>
      </c>
      <c r="R33" s="11"/>
      <c r="S33" s="11"/>
    </row>
    <row r="34" spans="2:19" ht="15" customHeight="1" outlineLevel="1">
      <c r="B34" s="734"/>
      <c r="C34" s="760"/>
      <c r="D34" s="300" t="s">
        <v>170</v>
      </c>
      <c r="E34" s="365">
        <v>109.50999999999988</v>
      </c>
      <c r="F34" s="365">
        <f>250-80</f>
        <v>170</v>
      </c>
      <c r="G34">
        <f>4.85</f>
        <v>4.8499999999999996</v>
      </c>
      <c r="H34" s="305"/>
      <c r="I34">
        <f>32.24</f>
        <v>32.24</v>
      </c>
      <c r="J34" s="305"/>
      <c r="K34">
        <f>10</f>
        <v>10</v>
      </c>
      <c r="L34" s="305"/>
      <c r="M34">
        <f>150+1</f>
        <v>151</v>
      </c>
      <c r="N34" s="305"/>
      <c r="O34" s="274">
        <f>SUM(E34:F34)-SUM(G34:N34)</f>
        <v>81.419999999999874</v>
      </c>
      <c r="P34" s="274" t="str">
        <f t="shared" si="6"/>
        <v>Gift Fund</v>
      </c>
      <c r="Q34" s="282">
        <f t="shared" si="7"/>
        <v>0</v>
      </c>
      <c r="R34" s="11"/>
      <c r="S34" s="11"/>
    </row>
    <row r="35" spans="2:19" ht="15" customHeight="1" outlineLevel="1">
      <c r="B35" s="734"/>
      <c r="C35" s="760"/>
      <c r="D35" s="300" t="s">
        <v>812</v>
      </c>
      <c r="E35" s="365">
        <v>9308.6400000000012</v>
      </c>
      <c r="F35" s="365">
        <f>500+500+50+66-140</f>
        <v>976</v>
      </c>
      <c r="H35" s="366">
        <f>121.97+125.89+122.9</f>
        <v>370.76</v>
      </c>
      <c r="I35">
        <f>347.89+37.17</f>
        <v>385.06</v>
      </c>
      <c r="J35" s="305"/>
      <c r="L35" s="305">
        <f>-121.97+-55.97+-118.95+-3.95</f>
        <v>-300.83999999999997</v>
      </c>
      <c r="M35">
        <v>-331.34</v>
      </c>
      <c r="N35" s="305"/>
      <c r="O35" s="274">
        <f>SUM(E35:F35)-SUM(G35:N35)-O39</f>
        <v>10161.000000000002</v>
      </c>
      <c r="P35" s="274" t="str">
        <f t="shared" si="6"/>
        <v>Wedding</v>
      </c>
      <c r="Q35" s="282">
        <f t="shared" si="7"/>
        <v>0</v>
      </c>
      <c r="R35" s="11"/>
      <c r="S35" s="349"/>
    </row>
    <row r="36" spans="2:19" ht="15" customHeight="1" outlineLevel="1">
      <c r="B36" s="734"/>
      <c r="C36" s="760"/>
      <c r="D36" s="300" t="s">
        <v>772</v>
      </c>
      <c r="E36" s="365">
        <v>0</v>
      </c>
      <c r="F36" s="365">
        <v>0</v>
      </c>
      <c r="H36" s="305"/>
      <c r="J36" s="305"/>
      <c r="L36" s="305"/>
      <c r="N36" s="305"/>
      <c r="O36" s="274">
        <f>SUM(E36:F36)-SUM(G36:N36)</f>
        <v>0</v>
      </c>
      <c r="P36" s="274" t="str">
        <f t="shared" si="6"/>
        <v>Home</v>
      </c>
      <c r="Q36" s="282"/>
      <c r="R36" s="11"/>
      <c r="S36" s="349"/>
    </row>
    <row r="37" spans="2:19" ht="15.75" customHeight="1" outlineLevel="1">
      <c r="B37" s="734"/>
      <c r="C37" s="760"/>
      <c r="D37" s="13" t="s">
        <v>781</v>
      </c>
      <c r="E37" s="365">
        <v>0</v>
      </c>
      <c r="F37" s="365">
        <f>13+2+10+5.99+5.99+7.99+10.99+1.99</f>
        <v>57.95000000000001</v>
      </c>
      <c r="H37" s="305"/>
      <c r="I37">
        <f>13+10.99+1.99+7.99+2</f>
        <v>35.97</v>
      </c>
      <c r="J37" s="305"/>
      <c r="K37">
        <f>10</f>
        <v>10</v>
      </c>
      <c r="L37" s="305"/>
      <c r="M37">
        <f>7.99</f>
        <v>7.99</v>
      </c>
      <c r="N37" s="305"/>
      <c r="O37" s="274">
        <f t="shared" ref="O37:O40" si="8">SUM(E37:F37)-SUM(G37:N37)</f>
        <v>3.9900000000000091</v>
      </c>
      <c r="P37" s="274" t="str">
        <f t="shared" si="6"/>
        <v>Subscriptions</v>
      </c>
      <c r="Q37" s="282">
        <f>IF(O37&lt;0,O37*-1,0)</f>
        <v>0</v>
      </c>
      <c r="S37" s="349"/>
    </row>
    <row r="38" spans="2:19" ht="18" outlineLevel="1">
      <c r="B38" s="734"/>
      <c r="C38" s="760"/>
      <c r="D38" s="13" t="s">
        <v>922</v>
      </c>
      <c r="E38" s="365">
        <v>15.45</v>
      </c>
      <c r="F38" s="365">
        <f>(D32-SUM(F33:F37))-F40</f>
        <v>641.18000000000097</v>
      </c>
      <c r="G38">
        <f>39.1+16.48</f>
        <v>55.58</v>
      </c>
      <c r="H38" s="305">
        <f>7.99+7.24+8.2+7.3+54.97</f>
        <v>85.7</v>
      </c>
      <c r="I38">
        <f>2.5+13.47+18.14+2.79+9.99+10.2</f>
        <v>57.09</v>
      </c>
      <c r="J38" s="305">
        <f>10.35+53.36+2+4.4+9.48+12.7+7.15</f>
        <v>99.440000000000026</v>
      </c>
      <c r="K38">
        <f>1.79+14.07+9.99+8.05+1.65+1+100</f>
        <v>136.55000000000001</v>
      </c>
      <c r="L38" s="305">
        <f>-19.97+3.8</f>
        <v>-16.169999999999998</v>
      </c>
      <c r="M38">
        <f>20+2+12+11+11</f>
        <v>56</v>
      </c>
      <c r="N38" s="305">
        <f>75+3.25+10+14.25+79.94</f>
        <v>182.44</v>
      </c>
      <c r="O38" s="274">
        <f>SUM(E38:F38)-SUM(G38:N38)</f>
        <v>9.0949470177292824E-13</v>
      </c>
      <c r="P38" s="274" t="str">
        <f t="shared" si="6"/>
        <v>Matt Fun</v>
      </c>
      <c r="Q38" s="282">
        <f>IF(SUM(E38:F38)-SUM(G38:N38)&lt;=0,(SUM(E38:F38)-SUM(G38:N38))*-1,0)</f>
        <v>0</v>
      </c>
    </row>
    <row r="39" spans="2:19" ht="18" outlineLevel="1">
      <c r="B39" s="7"/>
      <c r="C39" s="284"/>
      <c r="D39" s="13" t="s">
        <v>1025</v>
      </c>
      <c r="E39" s="365">
        <v>0</v>
      </c>
      <c r="F39" s="365">
        <v>0</v>
      </c>
      <c r="H39" s="305"/>
      <c r="J39" s="305"/>
      <c r="L39" s="305"/>
      <c r="N39" s="305"/>
      <c r="O39" s="274">
        <f>SUM(G39:N39)</f>
        <v>0</v>
      </c>
      <c r="P39" s="274" t="str">
        <f t="shared" si="6"/>
        <v>Work Expenses</v>
      </c>
      <c r="Q39" s="333"/>
      <c r="S39" s="11"/>
    </row>
    <row r="40" spans="2:19" ht="18" outlineLevel="1">
      <c r="B40" s="7"/>
      <c r="C40" s="284"/>
      <c r="D40" s="13" t="s">
        <v>152</v>
      </c>
      <c r="E40" s="365">
        <v>0</v>
      </c>
      <c r="F40" s="365">
        <f>67-0.46</f>
        <v>66.540000000000006</v>
      </c>
      <c r="H40" s="305">
        <f>23.08+43.46</f>
        <v>66.539999999999992</v>
      </c>
      <c r="J40" s="305"/>
      <c r="L40" s="305"/>
      <c r="N40" s="305"/>
      <c r="O40" s="274">
        <f t="shared" si="8"/>
        <v>0</v>
      </c>
      <c r="P40" s="274" t="str">
        <f t="shared" si="6"/>
        <v>Kris</v>
      </c>
      <c r="Q40" s="271">
        <f>IF(F40-SUM(G40:N40)&lt;=0,(F40-SUM(G40:N40))*-1,0)</f>
        <v>0</v>
      </c>
    </row>
    <row r="41" spans="2:19">
      <c r="B41" s="118"/>
      <c r="C41" s="118"/>
      <c r="E41" s="365">
        <f>SUM(E33:E40)+SUM(E25:E29)+SUM(E6:E21)-E35</f>
        <v>311.47000000000116</v>
      </c>
      <c r="F41" s="365"/>
      <c r="H41" s="7"/>
      <c r="J41" s="7"/>
      <c r="L41" s="7"/>
      <c r="N41" s="7"/>
      <c r="O41" s="273"/>
      <c r="P41" s="273"/>
      <c r="Q41" s="282"/>
    </row>
    <row r="42" spans="2:19" ht="18">
      <c r="B42" s="728" t="s">
        <v>817</v>
      </c>
      <c r="C42" s="728"/>
      <c r="D42" s="728"/>
      <c r="E42" s="375">
        <f>G42+I42+K42+M42+N42+E41</f>
        <v>4369.5000000000018</v>
      </c>
      <c r="F42" s="379"/>
      <c r="G42" s="271">
        <f>2693.03+1080+67+35</f>
        <v>3875.03</v>
      </c>
      <c r="H42" s="271"/>
      <c r="I42" s="271">
        <f>27</f>
        <v>27</v>
      </c>
      <c r="J42" s="271"/>
      <c r="K42" s="271">
        <f>10+66</f>
        <v>76</v>
      </c>
      <c r="L42" s="271"/>
      <c r="M42" s="271">
        <f>25+25+30</f>
        <v>80</v>
      </c>
      <c r="N42" s="271"/>
      <c r="O42" s="314" t="str">
        <f>"£" &amp; ROUND(O5+O32+O24+IF(O38&lt;0,0,O38)+O40+O4,2) &amp; " / " &amp; "£" &amp; E42</f>
        <v>£1462.15 / £4369.5</v>
      </c>
      <c r="P42" s="274"/>
      <c r="Q42" s="282">
        <f>SUM(Q32,Q24,Q5)</f>
        <v>106.03000000000009</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991</v>
      </c>
      <c r="O45" s="316">
        <v>44584</v>
      </c>
      <c r="P45" s="7">
        <f ca="1">DATEDIF(O45,NOW(),"d")</f>
        <v>1667</v>
      </c>
      <c r="Q45">
        <v>240</v>
      </c>
      <c r="R45" t="s">
        <v>1087</v>
      </c>
    </row>
    <row r="46" spans="2:19">
      <c r="B46" s="365"/>
      <c r="C46" s="38"/>
      <c r="E46" s="11"/>
      <c r="F46" s="11"/>
      <c r="G46" s="243"/>
      <c r="H46" s="243"/>
      <c r="K46" s="214"/>
      <c r="L46" s="214"/>
      <c r="N46" s="322" t="s">
        <v>992</v>
      </c>
      <c r="O46" s="42">
        <v>44584</v>
      </c>
      <c r="P46" s="7">
        <f ca="1">DATEDIF(O46,NOW(),"d")</f>
        <v>1667</v>
      </c>
      <c r="Q46">
        <v>32.130000000000003</v>
      </c>
      <c r="R46" t="s">
        <v>1088</v>
      </c>
    </row>
    <row r="47" spans="2:19">
      <c r="E47" s="365"/>
      <c r="F47" s="365"/>
      <c r="G47" s="11"/>
      <c r="H47" s="11"/>
      <c r="L47" s="243">
        <f>2531.98-2231.98</f>
        <v>300</v>
      </c>
      <c r="O47"/>
      <c r="P47"/>
    </row>
    <row r="48" spans="2:19" ht="16.2" customHeight="1">
      <c r="D48" s="212"/>
      <c r="E48" s="278"/>
      <c r="F48" s="278"/>
      <c r="G48" s="740" t="s">
        <v>1089</v>
      </c>
      <c r="H48" s="740"/>
      <c r="I48" s="740"/>
      <c r="J48" s="740"/>
      <c r="K48" s="740"/>
      <c r="O48" s="212"/>
      <c r="P48" s="212"/>
    </row>
    <row r="49" spans="2:17">
      <c r="B49" s="378"/>
      <c r="E49" s="230"/>
      <c r="F49" s="361"/>
      <c r="G49" s="11"/>
      <c r="H49" s="89"/>
      <c r="I49" s="7" t="s">
        <v>1090</v>
      </c>
      <c r="J49" s="284" t="s">
        <v>1091</v>
      </c>
      <c r="K49" s="342" t="s">
        <v>1092</v>
      </c>
      <c r="L49" s="56"/>
      <c r="M49" s="365"/>
      <c r="N49" s="56"/>
      <c r="O49" s="243"/>
      <c r="P49" s="56"/>
    </row>
    <row r="50" spans="2:17">
      <c r="E50" s="230"/>
      <c r="F50" s="361"/>
      <c r="G50" s="11" t="s">
        <v>1093</v>
      </c>
      <c r="H50" s="89">
        <f>1.33</f>
        <v>1.33</v>
      </c>
      <c r="I50" s="230">
        <f>H51*H50</f>
        <v>4.2560000000000002</v>
      </c>
      <c r="J50" s="11">
        <f>20*I50</f>
        <v>85.12</v>
      </c>
      <c r="K50" s="230">
        <f>I50*30</f>
        <v>127.68</v>
      </c>
      <c r="L50" s="243"/>
      <c r="M50" s="365"/>
      <c r="N50" s="243"/>
      <c r="O50" s="11"/>
      <c r="P50"/>
    </row>
    <row r="51" spans="2:17">
      <c r="E51" s="380"/>
      <c r="F51" s="381"/>
      <c r="G51" s="38" t="s">
        <v>1094</v>
      </c>
      <c r="H51" s="361">
        <f>3.2</f>
        <v>3.2</v>
      </c>
      <c r="I51" s="230"/>
      <c r="J51" s="11"/>
      <c r="M51" s="365"/>
      <c r="N51" s="56"/>
      <c r="O51" s="284"/>
      <c r="P51" s="212"/>
      <c r="Q51" s="212"/>
    </row>
    <row r="52" spans="2:17">
      <c r="E52" s="89"/>
      <c r="F52" s="89"/>
      <c r="G52" s="767" t="s">
        <v>1095</v>
      </c>
      <c r="H52" s="767"/>
      <c r="I52" s="767"/>
      <c r="J52" s="767"/>
      <c r="K52" s="767"/>
      <c r="M52" s="365"/>
      <c r="N52" s="56"/>
      <c r="O52" s="56"/>
      <c r="P52" s="56"/>
      <c r="Q52" s="38"/>
    </row>
    <row r="53" spans="2:17">
      <c r="E53" s="380"/>
      <c r="F53" s="360"/>
      <c r="G53" s="11"/>
      <c r="H53" s="230"/>
      <c r="I53" s="230"/>
      <c r="J53" s="11"/>
      <c r="M53" s="365"/>
      <c r="N53" s="56"/>
    </row>
    <row r="54" spans="2:17">
      <c r="E54" s="360"/>
      <c r="F54" s="360"/>
      <c r="G54" s="767" t="s">
        <v>1096</v>
      </c>
      <c r="H54" s="767"/>
      <c r="I54" s="767"/>
      <c r="J54" s="767"/>
      <c r="K54" s="767"/>
      <c r="L54" s="243"/>
      <c r="M54" s="382"/>
      <c r="N54" s="363"/>
    </row>
    <row r="55" spans="2:17">
      <c r="E55" s="365"/>
      <c r="F55" s="381"/>
      <c r="G55" s="11"/>
      <c r="H55" s="38"/>
      <c r="I55" s="89"/>
      <c r="J55" s="11"/>
      <c r="L55" s="243"/>
      <c r="N55" s="364"/>
      <c r="O55" s="275"/>
      <c r="P55" s="275"/>
    </row>
    <row r="56" spans="2:17">
      <c r="B56" s="11"/>
      <c r="E56" s="365"/>
      <c r="F56" s="365"/>
      <c r="G56" s="11"/>
      <c r="H56" s="38"/>
      <c r="I56" s="11"/>
      <c r="J56" s="11"/>
      <c r="L56" s="243"/>
      <c r="N56" s="364"/>
    </row>
    <row r="57" spans="2:17" ht="14.4">
      <c r="B57" s="11"/>
      <c r="E57"/>
      <c r="F57"/>
      <c r="G57" s="11"/>
      <c r="H57" s="38"/>
      <c r="I57" s="11"/>
      <c r="J57" s="11"/>
      <c r="K57" s="11"/>
      <c r="L57" s="79"/>
      <c r="O57"/>
      <c r="P57"/>
    </row>
    <row r="58" spans="2:17">
      <c r="E58"/>
      <c r="F58"/>
      <c r="G58" s="11"/>
      <c r="H58" s="38"/>
      <c r="I58" s="11"/>
      <c r="L58" s="243"/>
      <c r="N58" s="278"/>
      <c r="O58" s="212"/>
      <c r="P58" s="212"/>
    </row>
    <row r="59" spans="2:17">
      <c r="B59" s="212"/>
      <c r="C59" s="212"/>
      <c r="E59" s="243"/>
      <c r="F59"/>
      <c r="G59" s="11"/>
      <c r="H59" s="38">
        <f>13*12</f>
        <v>156</v>
      </c>
      <c r="I59" s="11"/>
      <c r="J59" s="349"/>
      <c r="N59" s="376"/>
      <c r="O59" s="214"/>
      <c r="P59" s="214"/>
    </row>
    <row r="60" spans="2:17">
      <c r="C60" s="56"/>
      <c r="D60" s="243"/>
      <c r="E60"/>
      <c r="F60"/>
      <c r="G60" s="11"/>
      <c r="H60" s="38"/>
      <c r="I60" s="11"/>
      <c r="J60" s="349"/>
      <c r="N60" s="365"/>
      <c r="O60"/>
      <c r="P60"/>
    </row>
    <row r="61" spans="2:17">
      <c r="C61" s="56"/>
      <c r="E61"/>
      <c r="F61"/>
      <c r="H61" s="38"/>
      <c r="I61" s="11"/>
      <c r="J61" s="349"/>
      <c r="N61" s="278"/>
      <c r="O61" s="212"/>
      <c r="P61" s="212"/>
    </row>
    <row r="62" spans="2:17">
      <c r="C62" s="56"/>
      <c r="E62"/>
      <c r="F62"/>
      <c r="G62" s="11"/>
      <c r="H62" s="38"/>
      <c r="I62" s="11"/>
      <c r="J62" s="11"/>
      <c r="K62" s="11"/>
      <c r="N62" s="365"/>
      <c r="O62" s="56"/>
      <c r="P62" s="56"/>
    </row>
    <row r="63" spans="2:17">
      <c r="C63" s="56"/>
      <c r="E63"/>
      <c r="F63"/>
      <c r="G63" s="11"/>
      <c r="H63" s="38"/>
      <c r="I63" s="11"/>
      <c r="N63" s="365"/>
      <c r="O63"/>
      <c r="P63"/>
    </row>
    <row r="64" spans="2:17">
      <c r="C64" s="56"/>
      <c r="E64" s="243"/>
      <c r="F64"/>
      <c r="G64" s="11"/>
      <c r="H64" s="38"/>
      <c r="I64" s="11"/>
      <c r="J64" s="349"/>
      <c r="N64" s="278"/>
      <c r="O64" s="212"/>
      <c r="P64" s="212"/>
    </row>
    <row r="65" spans="2:16">
      <c r="C65" s="56"/>
      <c r="D65" s="243"/>
      <c r="E65"/>
      <c r="F65"/>
      <c r="G65" s="11"/>
      <c r="H65" s="38"/>
      <c r="I65" s="11"/>
      <c r="J65" s="349"/>
      <c r="N65" s="365"/>
      <c r="O65" s="38"/>
      <c r="P65" s="56"/>
    </row>
    <row r="66" spans="2:16" ht="14.4">
      <c r="C66" s="56"/>
      <c r="E66"/>
      <c r="F66"/>
      <c r="H66" s="38"/>
      <c r="I66" s="11"/>
      <c r="O66"/>
    </row>
    <row r="67" spans="2:16" ht="14.4">
      <c r="C67" s="56"/>
      <c r="E67" s="347"/>
      <c r="F67"/>
      <c r="H67" s="38"/>
      <c r="I67" s="11"/>
    </row>
    <row r="68" spans="2:16" ht="14.4">
      <c r="C68" s="56"/>
      <c r="E68" s="332"/>
      <c r="F68" s="332"/>
      <c r="G68" s="212"/>
    </row>
    <row r="69" spans="2:16" ht="14.4">
      <c r="C69" s="56"/>
      <c r="E69"/>
      <c r="F69"/>
      <c r="G69" s="243"/>
    </row>
    <row r="70" spans="2:16" ht="14.4">
      <c r="C70" s="56"/>
      <c r="E70"/>
      <c r="F70"/>
      <c r="G70" s="243"/>
    </row>
    <row r="71" spans="2:16">
      <c r="E71" s="365"/>
      <c r="F71" s="365"/>
      <c r="G71" s="243"/>
    </row>
    <row r="72" spans="2:16" ht="14.4">
      <c r="B72" s="212"/>
      <c r="C72" s="294"/>
      <c r="D72" s="212"/>
      <c r="E72" s="212"/>
      <c r="F72" s="212"/>
      <c r="G72" s="243"/>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6">
    <mergeCell ref="B23:E23"/>
    <mergeCell ref="B44:G44"/>
    <mergeCell ref="K44:O44"/>
    <mergeCell ref="B45:C45"/>
    <mergeCell ref="D45:E45"/>
    <mergeCell ref="B31:E31"/>
    <mergeCell ref="B32:C32"/>
    <mergeCell ref="D32:E32"/>
    <mergeCell ref="B33:B38"/>
    <mergeCell ref="C33:C38"/>
    <mergeCell ref="B42:D42"/>
    <mergeCell ref="B4:E4"/>
    <mergeCell ref="B5:C5"/>
    <mergeCell ref="D5:E5"/>
    <mergeCell ref="B6:B21"/>
    <mergeCell ref="C6:C21"/>
    <mergeCell ref="B1:O1"/>
    <mergeCell ref="G3:H3"/>
    <mergeCell ref="I3:J3"/>
    <mergeCell ref="K3:L3"/>
    <mergeCell ref="M3:N3"/>
    <mergeCell ref="G48:K48"/>
    <mergeCell ref="G52:K52"/>
    <mergeCell ref="G54:K54"/>
    <mergeCell ref="B24:C24"/>
    <mergeCell ref="D24:E24"/>
  </mergeCells>
  <pageMargins left="0.7" right="0.7" top="0.75" bottom="0.75" header="0.3" footer="0.3"/>
  <pageSetup orientation="portrait" r:id="rId1"/>
  <legacyDrawing r:id="rId2"/>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E7FC-809E-4685-B7ED-87A53D0CEB63}">
  <dimension ref="A1:T95"/>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DEC-JAN 2022</v>
      </c>
      <c r="B1" s="730" t="str">
        <f ca="1">MID(CELL("filename",B1),FIND("]",CELL("filename",B1))+1,255)</f>
        <v>JAN-FEB 2022</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ROUND(O5+O32+O24+IF(O38&lt;0,0,O38)+O40+O4,2) &amp; " / " &amp; "£" &amp; E42</f>
        <v>£3169.84 / £7672.73</v>
      </c>
      <c r="E3" s="365">
        <f>2802.81-2787.81</f>
        <v>15</v>
      </c>
      <c r="F3" s="365"/>
      <c r="G3" s="732">
        <v>44586</v>
      </c>
      <c r="H3" s="732"/>
      <c r="I3" s="732">
        <f>G3+7</f>
        <v>44593</v>
      </c>
      <c r="J3" s="732"/>
      <c r="K3" s="732">
        <f>I3+7</f>
        <v>44600</v>
      </c>
      <c r="L3" s="732"/>
      <c r="M3" s="732">
        <f>K3+7</f>
        <v>44607</v>
      </c>
      <c r="N3" s="732"/>
      <c r="O3" s="325"/>
      <c r="P3" s="325"/>
      <c r="Q3" s="282"/>
    </row>
    <row r="4" spans="1:20" ht="15" customHeight="1">
      <c r="B4" s="727" t="str">
        <f>_xlfn.CONCAT("Expenses - 50 - ",G42*0.5," / Actual = ",D5," (",ROUND((D5/G42)*100,2),")")</f>
        <v>Expenses - 50 - 2932.79 / Actual = 1936.19 (33.01)</v>
      </c>
      <c r="C4" s="727"/>
      <c r="D4" s="727"/>
      <c r="E4" s="727"/>
      <c r="F4" s="318"/>
      <c r="H4" s="243">
        <f>SUM(H5:H40)</f>
        <v>313.64</v>
      </c>
      <c r="J4" s="243">
        <f>SUM(J5:J40)</f>
        <v>219.74</v>
      </c>
      <c r="L4" s="243">
        <f>SUM(L5:L40)</f>
        <v>508.17</v>
      </c>
      <c r="N4" s="243">
        <f>SUM(N5:N40)</f>
        <v>1862.62</v>
      </c>
      <c r="O4" s="308">
        <f>IF(H41&lt;&gt;"PAID",H4,0)+IF(J41&lt;&gt;"PAID",J4,0)+IF(L41&lt;&gt;"PAID",L4,0)+IF(N41&lt;&gt;"PAID",N4,0)</f>
        <v>2590.5299999999997</v>
      </c>
      <c r="P4" s="309" t="s">
        <v>973</v>
      </c>
      <c r="Q4" s="282"/>
      <c r="R4" s="243"/>
      <c r="S4" s="243"/>
    </row>
    <row r="5" spans="1:20" ht="15" customHeight="1">
      <c r="B5" s="733" t="str">
        <f>IF(D5&gt;E$42*0.5,ROUND(D5-E$42*0.5,2) &amp; " Over",ROUND(E$42*0.5-D5,2) &amp; " Under")</f>
        <v>1900.18 Under</v>
      </c>
      <c r="C5" s="733"/>
      <c r="D5" s="761">
        <f>SUM(F6:F21)</f>
        <v>1936.1899999999998</v>
      </c>
      <c r="E5" s="761"/>
      <c r="F5" s="321"/>
      <c r="G5" s="284"/>
      <c r="H5" s="306"/>
      <c r="I5" s="79"/>
      <c r="J5" s="306"/>
      <c r="K5" s="79"/>
      <c r="L5" s="306"/>
      <c r="M5" s="79"/>
      <c r="N5" s="305"/>
      <c r="O5" s="285">
        <f>SUMIF(O6:O21,"&gt;0")</f>
        <v>17.870000000000005</v>
      </c>
      <c r="P5" s="285" t="s">
        <v>892</v>
      </c>
      <c r="Q5" s="282">
        <f>SUM(Q6:Q21)</f>
        <v>32.939999999999969</v>
      </c>
      <c r="R5" s="243"/>
    </row>
    <row r="6" spans="1:20" ht="15" customHeight="1">
      <c r="B6" s="734" t="str">
        <f>"50%: " &amp; E$42*0.5</f>
        <v>50%: 3836.365</v>
      </c>
      <c r="C6" s="734" t="str">
        <f>ROUND((D5/E$42)*100,2) &amp; "%: " &amp;D5</f>
        <v>25.23%: 1936.19</v>
      </c>
      <c r="D6" s="13" t="s">
        <v>805</v>
      </c>
      <c r="E6" s="365">
        <v>0</v>
      </c>
      <c r="F6" s="374">
        <f>250-31.14</f>
        <v>218.86</v>
      </c>
      <c r="H6" s="305">
        <f>25+25</f>
        <v>50</v>
      </c>
      <c r="J6" s="305">
        <f>46.61+29.21</f>
        <v>75.819999999999993</v>
      </c>
      <c r="L6" s="305">
        <f>30.05+30+32.99</f>
        <v>93.039999999999992</v>
      </c>
      <c r="N6" s="305"/>
      <c r="O6" s="274">
        <f>SUM(E6:F6)-SUM(G6:N6)</f>
        <v>0</v>
      </c>
      <c r="P6" s="274" t="str">
        <f t="shared" ref="P6:P21" si="0">D6</f>
        <v>Car Petrol / commuting</v>
      </c>
      <c r="Q6" s="282">
        <f t="shared" ref="Q6:Q21" si="1">IF(O6&lt;0,O6*-1,0)</f>
        <v>0</v>
      </c>
      <c r="R6" s="243"/>
    </row>
    <row r="7" spans="1:20" ht="15" customHeight="1">
      <c r="B7" s="734"/>
      <c r="C7" s="734"/>
      <c r="D7" s="13" t="s">
        <v>169</v>
      </c>
      <c r="E7" s="365">
        <v>0</v>
      </c>
      <c r="F7" s="365">
        <f>440+31.14</f>
        <v>471.14</v>
      </c>
      <c r="H7" s="305">
        <f>46.05+19.05+51.31+31.3</f>
        <v>147.71</v>
      </c>
      <c r="J7" s="305">
        <f>6+38.8+13.5+41.19</f>
        <v>99.49</v>
      </c>
      <c r="K7">
        <f>2.5</f>
        <v>2.5</v>
      </c>
      <c r="L7" s="305">
        <f>6.3+3.49+46.3+60.1+16.4+2.35</f>
        <v>134.94</v>
      </c>
      <c r="N7" s="305">
        <f>16.76+52.58+21.78</f>
        <v>91.12</v>
      </c>
      <c r="O7" s="274">
        <f>SUM(E7:F7)-SUM(G7:N7)</f>
        <v>-4.6200000000000045</v>
      </c>
      <c r="P7" s="274" t="str">
        <f t="shared" si="0"/>
        <v>Food</v>
      </c>
      <c r="Q7" s="282">
        <f t="shared" si="1"/>
        <v>4.6200000000000045</v>
      </c>
      <c r="R7" s="243"/>
    </row>
    <row r="8" spans="1:20" ht="15" customHeight="1">
      <c r="B8" s="734"/>
      <c r="C8" s="734"/>
      <c r="D8" s="13" t="s">
        <v>153</v>
      </c>
      <c r="E8" s="365">
        <v>4.1400000000000148</v>
      </c>
      <c r="F8" s="365">
        <f>150+60+25</f>
        <v>235</v>
      </c>
      <c r="G8">
        <f>13.09+12.9+47.17+15.84</f>
        <v>89</v>
      </c>
      <c r="H8" s="305"/>
      <c r="I8">
        <f>13.1+64</f>
        <v>77.099999999999994</v>
      </c>
      <c r="J8" s="362"/>
      <c r="K8">
        <f>13+48.83+30.63</f>
        <v>92.46</v>
      </c>
      <c r="L8" s="305"/>
      <c r="M8">
        <f>8.9</f>
        <v>8.9</v>
      </c>
      <c r="N8" s="305"/>
      <c r="O8" s="274">
        <f>SUM(E8:F8)-SUM(G8:N8)</f>
        <v>-28.319999999999965</v>
      </c>
      <c r="P8" s="274" t="str">
        <f t="shared" si="0"/>
        <v>Luna</v>
      </c>
      <c r="Q8" s="282">
        <f t="shared" si="1"/>
        <v>28.319999999999965</v>
      </c>
    </row>
    <row r="9" spans="1:20" ht="15" customHeight="1">
      <c r="B9" s="734"/>
      <c r="C9" s="734"/>
      <c r="D9" s="13" t="s">
        <v>1079</v>
      </c>
      <c r="E9" s="365">
        <v>0.34000000000000341</v>
      </c>
      <c r="F9" s="365">
        <v>40</v>
      </c>
      <c r="H9" s="305"/>
      <c r="J9" s="305">
        <f>11.47</f>
        <v>11.47</v>
      </c>
      <c r="L9" s="305"/>
      <c r="N9" s="305">
        <f>28.07</f>
        <v>28.07</v>
      </c>
      <c r="O9" s="274">
        <f>SUM(E9:F9)-SUM(G9:N9)</f>
        <v>0.80000000000000426</v>
      </c>
      <c r="P9" s="274" t="str">
        <f t="shared" si="0"/>
        <v>Creamy</v>
      </c>
      <c r="Q9" s="282">
        <f t="shared" si="1"/>
        <v>0</v>
      </c>
    </row>
    <row r="10" spans="1:20" ht="15" customHeight="1" outlineLevel="1">
      <c r="B10" s="734"/>
      <c r="C10" s="734"/>
      <c r="D10" s="201" t="s">
        <v>595</v>
      </c>
      <c r="E10" s="365">
        <v>0</v>
      </c>
      <c r="F10" s="365">
        <f>452.64</f>
        <v>452.64</v>
      </c>
      <c r="H10" s="305"/>
      <c r="J10" s="305"/>
      <c r="L10" s="305"/>
      <c r="M10">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135</v>
      </c>
      <c r="H11" s="305"/>
      <c r="J11" s="305"/>
      <c r="L11" s="305"/>
      <c r="M11">
        <f>135</f>
        <v>135</v>
      </c>
      <c r="N11" s="305"/>
      <c r="O11" s="274">
        <f t="shared" si="2"/>
        <v>0</v>
      </c>
      <c r="P11" s="274" t="str">
        <f t="shared" si="0"/>
        <v>Council tax</v>
      </c>
      <c r="Q11" s="282">
        <f t="shared" si="1"/>
        <v>0</v>
      </c>
    </row>
    <row r="12" spans="1:20" ht="15" customHeight="1" outlineLevel="1">
      <c r="B12" s="734"/>
      <c r="C12" s="734"/>
      <c r="D12" s="201" t="s">
        <v>1002</v>
      </c>
      <c r="E12" s="365">
        <v>0</v>
      </c>
      <c r="F12" s="365">
        <f>29+55+1</f>
        <v>85</v>
      </c>
      <c r="H12" s="305"/>
      <c r="I12">
        <f>1+55</f>
        <v>56</v>
      </c>
      <c r="J12" s="305"/>
      <c r="L12" s="305"/>
      <c r="M12">
        <v>29</v>
      </c>
      <c r="N12" s="305"/>
      <c r="O12" s="274">
        <f>SUM(E12:F12)-SUM(G12:N12)</f>
        <v>0</v>
      </c>
      <c r="P12" s="274" t="str">
        <f t="shared" si="0"/>
        <v>Utilities (G,W,E,HTB)</v>
      </c>
      <c r="Q12" s="282">
        <f t="shared" si="1"/>
        <v>0</v>
      </c>
    </row>
    <row r="13" spans="1:20" ht="15" customHeight="1" outlineLevel="1">
      <c r="B13" s="734"/>
      <c r="C13" s="734"/>
      <c r="D13" s="201" t="s">
        <v>996</v>
      </c>
      <c r="E13" s="365">
        <v>13.07</v>
      </c>
      <c r="F13" s="365">
        <f>13.07</f>
        <v>13.07</v>
      </c>
      <c r="G13">
        <v>13.07</v>
      </c>
      <c r="H13" s="305"/>
      <c r="J13" s="305"/>
      <c r="L13" s="305"/>
      <c r="N13" s="305"/>
      <c r="O13" s="274">
        <f>SUM(E13:F13)-SUM(G13:N13)</f>
        <v>13.07</v>
      </c>
      <c r="P13" s="274" t="str">
        <f t="shared" si="0"/>
        <v>Home Insurance</v>
      </c>
      <c r="Q13" s="282">
        <f t="shared" si="1"/>
        <v>0</v>
      </c>
    </row>
    <row r="14" spans="1:20" ht="15" customHeight="1" outlineLevel="1">
      <c r="B14" s="734"/>
      <c r="C14" s="734"/>
      <c r="D14" s="201" t="s">
        <v>359</v>
      </c>
      <c r="E14" s="365">
        <v>30</v>
      </c>
      <c r="F14" s="365">
        <f>15</f>
        <v>15</v>
      </c>
      <c r="H14" s="305"/>
      <c r="J14" s="305"/>
      <c r="L14" s="305"/>
      <c r="M14">
        <f>41</f>
        <v>41</v>
      </c>
      <c r="N14" s="305"/>
      <c r="O14" s="274">
        <f t="shared" si="2"/>
        <v>4</v>
      </c>
      <c r="P14" s="274" t="str">
        <f t="shared" si="0"/>
        <v>TV License</v>
      </c>
      <c r="Q14" s="282">
        <f t="shared" si="1"/>
        <v>0</v>
      </c>
    </row>
    <row r="15" spans="1:20" ht="15" customHeight="1" outlineLevel="1">
      <c r="B15" s="734"/>
      <c r="C15" s="734"/>
      <c r="D15" s="201" t="s">
        <v>1056</v>
      </c>
      <c r="E15" s="365">
        <v>0</v>
      </c>
      <c r="F15" s="365">
        <f>8+36.79+16.6</f>
        <v>61.39</v>
      </c>
      <c r="H15" s="305"/>
      <c r="I15">
        <f>16.6</f>
        <v>16.600000000000001</v>
      </c>
      <c r="J15" s="305"/>
      <c r="L15" s="305"/>
      <c r="M15">
        <f>8+36.79</f>
        <v>44.79</v>
      </c>
      <c r="N15" s="305"/>
      <c r="O15" s="274">
        <f>SUM(E15:F15)-SUM(G15:N15)</f>
        <v>0</v>
      </c>
      <c r="P15" s="274" t="str">
        <f t="shared" si="0"/>
        <v>Pet Health / Insurance</v>
      </c>
      <c r="Q15" s="282">
        <f t="shared" si="1"/>
        <v>0</v>
      </c>
    </row>
    <row r="16" spans="1:20" ht="15" customHeight="1" outlineLevel="1">
      <c r="B16" s="734"/>
      <c r="C16" s="734"/>
      <c r="D16" s="201" t="s">
        <v>1057</v>
      </c>
      <c r="E16" s="365">
        <v>0</v>
      </c>
      <c r="F16" s="365">
        <f>4.52+15.97+8.56</f>
        <v>29.050000000000004</v>
      </c>
      <c r="H16" s="305"/>
      <c r="I16" s="11">
        <f>29.05</f>
        <v>29.05</v>
      </c>
      <c r="J16" s="305"/>
      <c r="L16" s="305"/>
      <c r="N16" s="305"/>
      <c r="O16" s="274">
        <f t="shared" si="2"/>
        <v>0</v>
      </c>
      <c r="P16" s="274" t="str">
        <f t="shared" si="0"/>
        <v>Life / Income Insurance</v>
      </c>
      <c r="Q16" s="282">
        <f t="shared" si="1"/>
        <v>0</v>
      </c>
    </row>
    <row r="17" spans="2:17" ht="15" customHeight="1" outlineLevel="1">
      <c r="B17" s="734"/>
      <c r="C17" s="734"/>
      <c r="D17" s="201" t="s">
        <v>602</v>
      </c>
      <c r="E17" s="365">
        <v>26</v>
      </c>
      <c r="F17" s="365">
        <v>26</v>
      </c>
      <c r="G17">
        <v>26</v>
      </c>
      <c r="H17" s="305"/>
      <c r="J17" s="305"/>
      <c r="L17" s="305"/>
      <c r="M17">
        <v>26</v>
      </c>
      <c r="N17" s="305"/>
      <c r="O17" s="274">
        <f>SUM(E17:F17)-SUM(G17:N17)</f>
        <v>0</v>
      </c>
      <c r="P17" s="274" t="str">
        <f t="shared" si="0"/>
        <v>Broadband / TV</v>
      </c>
      <c r="Q17" s="282">
        <f t="shared" si="1"/>
        <v>0</v>
      </c>
    </row>
    <row r="18" spans="2:17" ht="15" customHeight="1" outlineLevel="1">
      <c r="B18" s="734"/>
      <c r="C18" s="734"/>
      <c r="D18" s="201" t="s">
        <v>582</v>
      </c>
      <c r="E18" s="365">
        <v>0</v>
      </c>
      <c r="F18" s="365">
        <v>7.99</v>
      </c>
      <c r="H18" s="305"/>
      <c r="I18">
        <f>7.99</f>
        <v>7.99</v>
      </c>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v>10.56</v>
      </c>
      <c r="G19">
        <v>10.56</v>
      </c>
      <c r="H19" s="305"/>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29.75+34.68+42.5+13.56</f>
        <v>120.49000000000001</v>
      </c>
      <c r="H20" s="305"/>
      <c r="I20">
        <f>13.56+29.75+42.5+34.68</f>
        <v>120.49000000000001</v>
      </c>
      <c r="J20" s="305"/>
      <c r="L20" s="305"/>
      <c r="N20" s="305"/>
      <c r="O20" s="274">
        <f>SUM(E20:F20)-SUM(G20:N20)</f>
        <v>0</v>
      </c>
      <c r="P20" s="274" t="str">
        <f t="shared" si="0"/>
        <v>Car Tax / Insurance</v>
      </c>
      <c r="Q20" s="282">
        <f t="shared" si="1"/>
        <v>0</v>
      </c>
    </row>
    <row r="21" spans="2:17" ht="15" customHeight="1" outlineLevel="1">
      <c r="B21" s="734"/>
      <c r="C21" s="734"/>
      <c r="D21" s="201" t="s">
        <v>944</v>
      </c>
      <c r="E21" s="365">
        <v>0</v>
      </c>
      <c r="F21" s="365">
        <v>15</v>
      </c>
      <c r="H21" s="305"/>
      <c r="I21">
        <v>15</v>
      </c>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",G42*0.2," / Actual = ",D24," (",ROUND((D24/G42)*100,2),")")</f>
        <v>Savings - 20 - 1173.116 / Actual = -1145.11 (-19.52)</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-1145.1100000000001</v>
      </c>
      <c r="E24" s="759"/>
      <c r="F24" s="319"/>
      <c r="H24" s="305"/>
      <c r="J24" s="305"/>
      <c r="L24" s="305"/>
      <c r="N24" s="305"/>
      <c r="O24" s="285">
        <f>SUMIF(O25:O29,"&gt;0")</f>
        <v>21.780000000000058</v>
      </c>
      <c r="P24" s="285" t="s">
        <v>895</v>
      </c>
      <c r="Q24" s="282">
        <f>SUM(Q25:Q29)</f>
        <v>0</v>
      </c>
    </row>
    <row r="25" spans="2:17" ht="15" customHeight="1" outlineLevel="1">
      <c r="B25" s="7" t="str">
        <f>"20% : " &amp; E$42*0.2</f>
        <v>20% : 1534.546</v>
      </c>
      <c r="C25" s="7" t="str">
        <f>"20% : " &amp; E$42*0.2</f>
        <v>20% : 1534.546</v>
      </c>
      <c r="D25" s="300" t="s">
        <v>590</v>
      </c>
      <c r="E25" s="365">
        <f>8.08</f>
        <v>8.08</v>
      </c>
      <c r="F25" s="365">
        <f>75+75</f>
        <v>150</v>
      </c>
      <c r="H25" s="305"/>
      <c r="J25" s="305"/>
      <c r="L25" s="315"/>
      <c r="M25">
        <f>101.35</f>
        <v>101.35</v>
      </c>
      <c r="N25" s="305"/>
      <c r="O25" s="274">
        <f>SUM(E25:F25)-SUM(G25:N25)-Q42</f>
        <v>21.780000000000058</v>
      </c>
      <c r="P25" s="274" t="str">
        <f t="shared" ref="P25:P29" si="3">D25</f>
        <v>Contingency</v>
      </c>
      <c r="Q25" s="282">
        <v>0</v>
      </c>
    </row>
    <row r="26" spans="2:17" ht="15" customHeight="1" outlineLevel="1">
      <c r="B26" s="7"/>
      <c r="C26" s="7"/>
      <c r="D26" s="300" t="s">
        <v>998</v>
      </c>
      <c r="E26" s="365">
        <v>0</v>
      </c>
      <c r="F26" s="365">
        <v>0</v>
      </c>
      <c r="G26" s="11"/>
      <c r="H26" s="306"/>
      <c r="J26" s="305"/>
      <c r="L26" s="305"/>
      <c r="N26" s="305"/>
      <c r="O26" s="274">
        <f>SUM(E26:F26)-SUM(G26:N26)</f>
        <v>0</v>
      </c>
      <c r="P26" s="274" t="str">
        <f t="shared" si="3"/>
        <v>Cars (Service / MOT)</v>
      </c>
      <c r="Q26" s="282">
        <f t="shared" ref="Q26:Q29" si="4">IF(O26&lt;0,O26*-1,0)</f>
        <v>0</v>
      </c>
    </row>
    <row r="27" spans="2:17" ht="15" customHeight="1" outlineLevel="1">
      <c r="B27" s="7"/>
      <c r="C27" s="7"/>
      <c r="D27" s="300" t="s">
        <v>999</v>
      </c>
      <c r="E27" s="365">
        <v>300</v>
      </c>
      <c r="F27" s="365">
        <v>-300</v>
      </c>
      <c r="G27" s="11"/>
      <c r="H27" s="306"/>
      <c r="J27" s="305"/>
      <c r="L27" s="305"/>
      <c r="N27" s="305"/>
      <c r="O27" s="274">
        <f t="shared" ref="O27:O29" si="5">SUM(E27:F27)-SUM(G27:N27)</f>
        <v>0</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f>995.11</f>
        <v>995.11</v>
      </c>
      <c r="F29" s="365">
        <v>-995.11</v>
      </c>
      <c r="G29" s="11"/>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",G42*0.3," / Actual = ",D32," (",ROUND((D32/G42)*100,2),")")</f>
        <v>Wants - 30 - 1759.674 / Actual = 5419.5 (92.39)</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(E$42-D5-D24-E41)</f>
        <v>5419.5000000000009</v>
      </c>
      <c r="E32" s="727"/>
      <c r="F32" s="319">
        <f>SUM(F33:F38)</f>
        <v>5419.5000000000009</v>
      </c>
      <c r="H32" s="305"/>
      <c r="J32" s="305"/>
      <c r="L32" s="305"/>
      <c r="N32" s="305"/>
      <c r="O32" s="285">
        <f>SUMIF(O33:O37,"&gt;0")-O35</f>
        <v>526.18000000000029</v>
      </c>
      <c r="P32" s="285" t="s">
        <v>899</v>
      </c>
      <c r="Q32" s="282">
        <f>SUM(Q33:Q38)</f>
        <v>2.0099999999999909</v>
      </c>
    </row>
    <row r="33" spans="2:19" ht="15" customHeight="1" outlineLevel="1">
      <c r="B33" s="734"/>
      <c r="C33" s="760"/>
      <c r="D33" s="300" t="s">
        <v>354</v>
      </c>
      <c r="E33" s="365">
        <v>0</v>
      </c>
      <c r="F33" s="365">
        <v>500</v>
      </c>
      <c r="H33" s="305"/>
      <c r="J33" s="305"/>
      <c r="L33" s="305"/>
      <c r="N33" s="305"/>
      <c r="O33" s="274">
        <f>SUM(E33:F33)-SUM(G33:N33)</f>
        <v>500</v>
      </c>
      <c r="P33" s="274" t="str">
        <f t="shared" ref="P33:P40" si="6">D33</f>
        <v>Holiday</v>
      </c>
      <c r="Q33" s="282">
        <f t="shared" ref="Q33:Q35" si="7">IF(O33&lt;0,O33*-1,0)</f>
        <v>0</v>
      </c>
      <c r="R33" s="11"/>
      <c r="S33" s="11"/>
    </row>
    <row r="34" spans="2:19" ht="15" customHeight="1" outlineLevel="1">
      <c r="B34" s="734"/>
      <c r="C34" s="760"/>
      <c r="D34" s="300" t="s">
        <v>170</v>
      </c>
      <c r="E34" s="365">
        <v>81.419999999999874</v>
      </c>
      <c r="F34" s="365">
        <f>250+50</f>
        <v>300</v>
      </c>
      <c r="H34" s="305"/>
      <c r="I34">
        <f>30</f>
        <v>30</v>
      </c>
      <c r="J34" s="305">
        <f>25.99</f>
        <v>25.99</v>
      </c>
      <c r="L34" s="305">
        <f>299.25</f>
        <v>299.25</v>
      </c>
      <c r="N34" s="305"/>
      <c r="O34" s="274">
        <f>SUM(E34:F34)-SUM(G34:N34)</f>
        <v>26.179999999999836</v>
      </c>
      <c r="P34" s="274" t="str">
        <f t="shared" si="6"/>
        <v>Gift Fund</v>
      </c>
      <c r="Q34" s="282">
        <f t="shared" si="7"/>
        <v>0</v>
      </c>
      <c r="R34" s="11"/>
      <c r="S34" s="11"/>
    </row>
    <row r="35" spans="2:19" ht="15" customHeight="1" outlineLevel="1">
      <c r="B35" s="734"/>
      <c r="C35" s="760"/>
      <c r="D35" s="300" t="s">
        <v>812</v>
      </c>
      <c r="E35" s="365">
        <f>10161-4166.23</f>
        <v>5994.77</v>
      </c>
      <c r="F35" s="365">
        <f>2800+300+995.11-40+20+150</f>
        <v>4225.1100000000006</v>
      </c>
      <c r="H35" s="366"/>
      <c r="J35" s="305"/>
      <c r="L35" s="305"/>
      <c r="N35" s="305">
        <f>949+60.81+107.75+82.01+525</f>
        <v>1724.57</v>
      </c>
      <c r="O35" s="274">
        <f>SUM(E35:F35)-SUM(G35:N35)-O39</f>
        <v>8495.3100000000013</v>
      </c>
      <c r="P35" s="274" t="str">
        <f t="shared" si="6"/>
        <v>Wedding</v>
      </c>
      <c r="Q35" s="282">
        <f t="shared" si="7"/>
        <v>0</v>
      </c>
      <c r="R35" s="11"/>
      <c r="S35" s="349"/>
    </row>
    <row r="36" spans="2:19" ht="15" customHeight="1" outlineLevel="1">
      <c r="B36" s="734"/>
      <c r="C36" s="760"/>
      <c r="D36" s="300" t="s">
        <v>772</v>
      </c>
      <c r="E36" s="365">
        <v>0</v>
      </c>
      <c r="F36" s="365">
        <v>0</v>
      </c>
      <c r="H36" s="305"/>
      <c r="J36" s="305"/>
      <c r="L36" s="305"/>
      <c r="N36" s="305"/>
      <c r="O36" s="274">
        <f>SUM(E36:F36)-SUM(G36:N36)</f>
        <v>0</v>
      </c>
      <c r="P36" s="274" t="str">
        <f t="shared" si="6"/>
        <v>Home</v>
      </c>
      <c r="Q36" s="282"/>
      <c r="R36" s="11"/>
      <c r="S36" s="349"/>
    </row>
    <row r="37" spans="2:19" ht="15.75" customHeight="1" outlineLevel="1">
      <c r="B37" s="734"/>
      <c r="C37" s="760"/>
      <c r="D37" s="13" t="s">
        <v>781</v>
      </c>
      <c r="E37" s="365">
        <v>3.9900000000000091</v>
      </c>
      <c r="F37" s="365">
        <f>13+2+10+5.99+5.99+7.99+9.99+10.99+1.99+25</f>
        <v>92.94</v>
      </c>
      <c r="G37">
        <f>13</f>
        <v>13</v>
      </c>
      <c r="H37" s="305"/>
      <c r="I37">
        <f>2+10.99+9.99+7.99+1.99</f>
        <v>32.96</v>
      </c>
      <c r="J37" s="305"/>
      <c r="K37">
        <f>10+25+9.99</f>
        <v>44.99</v>
      </c>
      <c r="L37" s="305"/>
      <c r="M37">
        <f>7.99</f>
        <v>7.99</v>
      </c>
      <c r="N37" s="305"/>
      <c r="O37" s="274">
        <f t="shared" ref="O37:O40" si="8">SUM(E37:F37)-SUM(G37:N37)</f>
        <v>-2.0099999999999909</v>
      </c>
      <c r="P37" s="274" t="str">
        <f t="shared" si="6"/>
        <v>Subscriptions</v>
      </c>
      <c r="Q37" s="282">
        <f>IF(O37&lt;0,O37*-1,0)</f>
        <v>2.0099999999999909</v>
      </c>
      <c r="S37" s="349"/>
    </row>
    <row r="38" spans="2:19" ht="18" outlineLevel="1">
      <c r="B38" s="734"/>
      <c r="C38" s="760"/>
      <c r="D38" s="13" t="s">
        <v>922</v>
      </c>
      <c r="E38" s="365">
        <v>0</v>
      </c>
      <c r="F38" s="365">
        <f>(D32-SUM(F33:F37))-F40</f>
        <v>301.45000000000073</v>
      </c>
      <c r="G38">
        <f>14.99+15+21.8</f>
        <v>51.790000000000006</v>
      </c>
      <c r="H38" s="305">
        <f>65.88+25+25.05</f>
        <v>115.92999999999999</v>
      </c>
      <c r="J38" s="305">
        <f>6.97</f>
        <v>6.97</v>
      </c>
      <c r="K38">
        <f>2+2.5+3.3+6.39+11</f>
        <v>25.189999999999998</v>
      </c>
      <c r="L38" s="305">
        <f>-31.96+12.9</f>
        <v>-19.060000000000002</v>
      </c>
      <c r="M38">
        <f>8.3+4.99+75</f>
        <v>88.29</v>
      </c>
      <c r="N38" s="305">
        <f>4.56+3.4+2.3+8.6</f>
        <v>18.86</v>
      </c>
      <c r="O38" s="274">
        <f>SUM(E38:F38)-SUM(G38:N38)</f>
        <v>13.4800000000007</v>
      </c>
      <c r="P38" s="274" t="str">
        <f t="shared" si="6"/>
        <v>Matt Fun</v>
      </c>
      <c r="Q38" s="282">
        <f>IF(SUM(E38:F38)-SUM(G38:N38)&lt;=0,(SUM(E38:F38)-SUM(G38:N38))*-1,0)</f>
        <v>0</v>
      </c>
    </row>
    <row r="39" spans="2:19" ht="18" outlineLevel="1">
      <c r="B39" s="7"/>
      <c r="C39" s="284"/>
      <c r="D39" s="13" t="s">
        <v>1025</v>
      </c>
      <c r="E39" s="365">
        <v>0</v>
      </c>
      <c r="F39" s="365">
        <v>0</v>
      </c>
      <c r="H39" s="305"/>
      <c r="J39" s="305"/>
      <c r="L39" s="305"/>
      <c r="N39" s="305"/>
      <c r="O39" s="274">
        <f>SUM(G39:N39)</f>
        <v>0</v>
      </c>
      <c r="P39" s="274" t="str">
        <f t="shared" si="6"/>
        <v>Work Expenses</v>
      </c>
      <c r="Q39" s="333"/>
      <c r="S39" s="11"/>
    </row>
    <row r="40" spans="2:19" ht="18" outlineLevel="1">
      <c r="B40" s="7"/>
      <c r="C40" s="284"/>
      <c r="D40" s="13" t="s">
        <v>152</v>
      </c>
      <c r="E40" s="365">
        <v>0</v>
      </c>
      <c r="F40" s="365">
        <v>0</v>
      </c>
      <c r="H40" s="305"/>
      <c r="J40" s="305"/>
      <c r="L40" s="305"/>
      <c r="N40" s="305"/>
      <c r="O40" s="274">
        <f t="shared" si="8"/>
        <v>0</v>
      </c>
      <c r="P40" s="274" t="str">
        <f t="shared" si="6"/>
        <v>Kris</v>
      </c>
      <c r="Q40" s="271">
        <f>IF(F40-SUM(G40:N40)&lt;=0,(F40-SUM(G40:N40))*-1,0)</f>
        <v>0</v>
      </c>
    </row>
    <row r="41" spans="2:19">
      <c r="B41" s="118"/>
      <c r="C41" s="118"/>
      <c r="E41" s="365">
        <f>SUM(E33:E40)+SUM(E25:E29)+SUM(E6:E21)-E35</f>
        <v>1462.1500000000005</v>
      </c>
      <c r="F41" s="365"/>
      <c r="H41" s="7" t="s">
        <v>986</v>
      </c>
      <c r="J41" s="7"/>
      <c r="L41" s="7"/>
      <c r="N41" s="7"/>
      <c r="O41" s="273"/>
      <c r="P41" s="273"/>
      <c r="Q41" s="282"/>
    </row>
    <row r="42" spans="2:19" ht="18">
      <c r="B42" s="728" t="s">
        <v>817</v>
      </c>
      <c r="C42" s="728"/>
      <c r="D42" s="728"/>
      <c r="E42" s="375">
        <f>G42+I42+K42+M42+N42+E41</f>
        <v>7672.7300000000005</v>
      </c>
      <c r="F42" s="379"/>
      <c r="G42" s="271">
        <f>4655.58+1130+80</f>
        <v>5865.58</v>
      </c>
      <c r="H42" s="271"/>
      <c r="I42" s="271">
        <f>175</f>
        <v>175</v>
      </c>
      <c r="J42" s="271"/>
      <c r="K42" s="271"/>
      <c r="L42" s="271"/>
      <c r="M42" s="271">
        <f>20+150</f>
        <v>170</v>
      </c>
      <c r="N42" s="271"/>
      <c r="O42" s="314" t="str">
        <f>"£" &amp; ROUND(O5+O32+O24+IF(O38&lt;0,0,O38)+O40+O4,2) &amp; " / " &amp; "£" &amp; E42</f>
        <v>£3169.84 / £7672.73</v>
      </c>
      <c r="P42" s="274"/>
      <c r="Q42" s="282">
        <f>SUM(Q32,Q24,Q5)</f>
        <v>34.94999999999996</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991</v>
      </c>
      <c r="O45" s="316">
        <v>44603</v>
      </c>
      <c r="P45" s="7">
        <f ca="1">DATEDIF(O45,NOW(),"d")</f>
        <v>1648</v>
      </c>
      <c r="Q45">
        <v>11</v>
      </c>
      <c r="R45" t="s">
        <v>1097</v>
      </c>
    </row>
    <row r="46" spans="2:19">
      <c r="B46" s="365"/>
      <c r="C46" s="38"/>
      <c r="E46" s="11"/>
      <c r="F46" s="11"/>
      <c r="G46" s="367" t="s">
        <v>1098</v>
      </c>
      <c r="H46" s="243"/>
      <c r="K46" s="214"/>
      <c r="L46" s="214"/>
      <c r="N46" s="322" t="s">
        <v>992</v>
      </c>
      <c r="O46" s="42">
        <v>44603</v>
      </c>
      <c r="P46" s="7">
        <f ca="1">DATEDIF(O46,NOW(),"d")</f>
        <v>1648</v>
      </c>
      <c r="Q46">
        <v>2.35</v>
      </c>
      <c r="R46" t="s">
        <v>1099</v>
      </c>
    </row>
    <row r="47" spans="2:19">
      <c r="E47" s="365"/>
      <c r="F47" s="365"/>
      <c r="G47" s="11"/>
      <c r="H47" s="11"/>
      <c r="L47" s="243"/>
      <c r="O47"/>
      <c r="P47"/>
    </row>
    <row r="48" spans="2:19" ht="16.2" customHeight="1">
      <c r="D48" s="212"/>
      <c r="E48" s="278"/>
      <c r="F48" s="278"/>
      <c r="G48" s="740" t="s">
        <v>1089</v>
      </c>
      <c r="H48" s="740"/>
      <c r="I48" s="740"/>
      <c r="J48" s="740"/>
      <c r="K48" s="740"/>
      <c r="M48">
        <f>6063.65-4443.65</f>
        <v>1620</v>
      </c>
      <c r="O48" s="212"/>
      <c r="P48" s="212"/>
    </row>
    <row r="49" spans="2:17">
      <c r="B49" s="378"/>
      <c r="E49" s="230"/>
      <c r="F49" s="361"/>
      <c r="G49" s="11"/>
      <c r="H49" s="89"/>
      <c r="I49" s="7" t="s">
        <v>1090</v>
      </c>
      <c r="J49" s="284" t="s">
        <v>1091</v>
      </c>
      <c r="K49" s="342" t="s">
        <v>1092</v>
      </c>
      <c r="L49" s="56"/>
      <c r="M49" s="365">
        <f>6994.12-6063.95</f>
        <v>930.17000000000007</v>
      </c>
      <c r="N49" s="56"/>
      <c r="O49" s="243"/>
      <c r="P49" s="56"/>
    </row>
    <row r="50" spans="2:17">
      <c r="E50" s="230"/>
      <c r="F50" s="361"/>
      <c r="G50" s="11" t="s">
        <v>1093</v>
      </c>
      <c r="H50" s="89">
        <f>1.33</f>
        <v>1.33</v>
      </c>
      <c r="I50" s="230">
        <f>H51*H50</f>
        <v>4.2560000000000002</v>
      </c>
      <c r="J50" s="11">
        <f>20*I50</f>
        <v>85.12</v>
      </c>
      <c r="K50" s="230">
        <f>I50*30</f>
        <v>127.68</v>
      </c>
      <c r="L50" s="243"/>
      <c r="M50" s="365"/>
      <c r="N50" s="243">
        <f>616.09-608.94</f>
        <v>7.1499999999999773</v>
      </c>
      <c r="O50" s="11"/>
      <c r="P50"/>
    </row>
    <row r="51" spans="2:17">
      <c r="E51" s="380"/>
      <c r="F51" s="381"/>
      <c r="G51" s="38" t="s">
        <v>1094</v>
      </c>
      <c r="H51" s="361">
        <f>3.2</f>
        <v>3.2</v>
      </c>
      <c r="I51" s="230"/>
      <c r="J51" s="11"/>
      <c r="M51" s="365">
        <f>108-75</f>
        <v>33</v>
      </c>
      <c r="N51" s="56"/>
      <c r="O51" s="284"/>
      <c r="P51" s="212"/>
      <c r="Q51" s="212"/>
    </row>
    <row r="52" spans="2:17">
      <c r="E52" s="89"/>
      <c r="F52" s="89"/>
      <c r="G52" s="767" t="s">
        <v>1095</v>
      </c>
      <c r="H52" s="767"/>
      <c r="I52" s="767"/>
      <c r="J52" s="767"/>
      <c r="K52" s="767"/>
      <c r="M52" s="365"/>
      <c r="N52" s="56"/>
      <c r="O52" s="56"/>
      <c r="P52" s="56"/>
      <c r="Q52" s="38"/>
    </row>
    <row r="53" spans="2:17">
      <c r="E53" s="380"/>
      <c r="F53" s="360"/>
      <c r="G53" s="11"/>
      <c r="H53" s="230"/>
      <c r="I53" s="230"/>
      <c r="J53" s="11"/>
      <c r="M53" s="365"/>
      <c r="N53" s="56"/>
    </row>
    <row r="54" spans="2:17">
      <c r="E54" s="360"/>
      <c r="F54" s="360"/>
      <c r="G54" s="767" t="s">
        <v>1096</v>
      </c>
      <c r="H54" s="767"/>
      <c r="I54" s="767"/>
      <c r="J54" s="767"/>
      <c r="K54" s="767"/>
      <c r="L54" s="243"/>
      <c r="M54" s="382"/>
      <c r="N54" s="363"/>
    </row>
    <row r="55" spans="2:17">
      <c r="E55" s="365"/>
      <c r="F55" s="381"/>
      <c r="G55" s="11"/>
      <c r="H55" s="38"/>
      <c r="I55" s="89"/>
      <c r="J55" s="11"/>
      <c r="L55" s="243"/>
      <c r="N55" s="364"/>
      <c r="O55" s="275"/>
      <c r="P55" s="275"/>
    </row>
    <row r="56" spans="2:17">
      <c r="B56" s="11"/>
      <c r="E56" s="365"/>
      <c r="F56" s="365"/>
      <c r="G56" s="11"/>
      <c r="H56" s="38"/>
      <c r="I56" s="11"/>
      <c r="J56" s="11"/>
      <c r="L56" s="243"/>
      <c r="N56" s="364"/>
    </row>
    <row r="57" spans="2:17" ht="14.4">
      <c r="B57" s="11"/>
      <c r="E57"/>
      <c r="F57"/>
      <c r="G57" s="11">
        <f>4479.87-995.11</f>
        <v>3484.7599999999998</v>
      </c>
      <c r="H57" s="38"/>
      <c r="I57" s="11"/>
      <c r="J57" s="11">
        <f>13400-3096.12-75</f>
        <v>10228.880000000001</v>
      </c>
      <c r="K57" s="11">
        <f>J57-5681.13</f>
        <v>4547.7500000000009</v>
      </c>
      <c r="L57" s="79"/>
      <c r="O57"/>
      <c r="P57"/>
    </row>
    <row r="58" spans="2:17">
      <c r="E58"/>
      <c r="F58"/>
      <c r="G58" s="11">
        <f>G57-3096.12-75</f>
        <v>313.63999999999987</v>
      </c>
      <c r="H58" s="38" t="s">
        <v>812</v>
      </c>
      <c r="I58" s="11"/>
      <c r="J58" s="353">
        <f>J57-10049.88</f>
        <v>179.00000000000182</v>
      </c>
      <c r="K58" s="243">
        <f>K57-2800</f>
        <v>1747.7500000000009</v>
      </c>
      <c r="L58" s="243"/>
      <c r="N58" s="278"/>
      <c r="O58" s="212"/>
      <c r="P58" s="212"/>
    </row>
    <row r="59" spans="2:17">
      <c r="B59" s="212"/>
      <c r="C59" s="212"/>
      <c r="E59" s="243"/>
      <c r="F59"/>
      <c r="G59" s="11">
        <f>G58-65.88</f>
        <v>247.75999999999988</v>
      </c>
      <c r="H59" s="38" t="s">
        <v>782</v>
      </c>
      <c r="I59" s="11"/>
      <c r="J59" s="349"/>
      <c r="K59" s="243">
        <f>K58-E29</f>
        <v>752.6400000000009</v>
      </c>
      <c r="N59" s="376"/>
      <c r="O59" s="214"/>
      <c r="P59" s="214"/>
    </row>
    <row r="60" spans="2:17">
      <c r="C60" s="56"/>
      <c r="D60" s="243"/>
      <c r="E60"/>
      <c r="F60"/>
      <c r="G60" s="11">
        <f>G59-46.05</f>
        <v>201.70999999999987</v>
      </c>
      <c r="H60" s="38" t="s">
        <v>1100</v>
      </c>
      <c r="I60" s="11"/>
      <c r="J60" s="349"/>
      <c r="K60" s="243">
        <f>K59-300</f>
        <v>452.6400000000009</v>
      </c>
      <c r="N60" s="365"/>
      <c r="O60"/>
      <c r="P60"/>
    </row>
    <row r="61" spans="2:17">
      <c r="C61" s="56"/>
      <c r="E61"/>
      <c r="F61"/>
      <c r="G61" s="243">
        <f>G60-50</f>
        <v>151.70999999999987</v>
      </c>
      <c r="H61" s="38" t="s">
        <v>1101</v>
      </c>
      <c r="I61" s="11"/>
      <c r="J61" s="349"/>
      <c r="K61" s="243">
        <f>K60-313.64</f>
        <v>139.00000000000091</v>
      </c>
      <c r="N61" s="278"/>
      <c r="O61" s="212"/>
      <c r="P61" s="212"/>
    </row>
    <row r="62" spans="2:17">
      <c r="C62" s="56"/>
      <c r="E62"/>
      <c r="F62"/>
      <c r="G62" s="11">
        <f>G61-(19.05+51.31+31.3)</f>
        <v>50.049999999999869</v>
      </c>
      <c r="H62" s="38" t="s">
        <v>1102</v>
      </c>
      <c r="I62" s="11"/>
      <c r="J62" s="11"/>
      <c r="K62" s="11"/>
      <c r="N62" s="365"/>
      <c r="O62" s="56"/>
      <c r="P62" s="56"/>
    </row>
    <row r="63" spans="2:17">
      <c r="C63" s="56"/>
      <c r="E63"/>
      <c r="F63"/>
      <c r="G63" s="11">
        <f>G62-50.05</f>
        <v>-1.2789769243681803E-13</v>
      </c>
      <c r="H63" s="38" t="s">
        <v>1101</v>
      </c>
      <c r="I63" s="11"/>
      <c r="N63" s="365"/>
      <c r="O63"/>
      <c r="P63"/>
    </row>
    <row r="64" spans="2:17">
      <c r="C64" s="56"/>
      <c r="E64" s="243"/>
      <c r="F64"/>
      <c r="G64" s="11"/>
      <c r="H64" s="38"/>
      <c r="I64" s="11"/>
      <c r="J64" s="349"/>
      <c r="N64" s="278"/>
      <c r="O64" s="212"/>
      <c r="P64" s="212"/>
    </row>
    <row r="65" spans="2:16">
      <c r="C65" s="56"/>
      <c r="D65" s="243"/>
      <c r="E65"/>
      <c r="F65"/>
      <c r="G65" s="11"/>
      <c r="H65" s="38"/>
      <c r="I65" s="11"/>
      <c r="J65" s="349"/>
      <c r="N65" s="365"/>
      <c r="O65" s="38"/>
      <c r="P65" s="56"/>
    </row>
    <row r="66" spans="2:16" ht="14.4">
      <c r="C66" s="56"/>
      <c r="E66"/>
      <c r="F66"/>
      <c r="H66" s="38"/>
      <c r="I66" s="11"/>
      <c r="O66"/>
    </row>
    <row r="67" spans="2:16" ht="14.4">
      <c r="C67" s="56"/>
      <c r="E67" s="347"/>
      <c r="F67"/>
      <c r="H67" s="38"/>
      <c r="I67" s="11"/>
    </row>
    <row r="68" spans="2:16" ht="14.4">
      <c r="C68" s="56"/>
      <c r="E68" s="332"/>
      <c r="F68" s="332"/>
      <c r="G68" s="212"/>
    </row>
    <row r="69" spans="2:16" ht="14.4">
      <c r="C69" s="56"/>
      <c r="E69"/>
      <c r="F69"/>
      <c r="G69" s="243"/>
    </row>
    <row r="70" spans="2:16" ht="14.4">
      <c r="C70" s="56"/>
      <c r="E70"/>
      <c r="F70"/>
      <c r="G70" s="243"/>
    </row>
    <row r="71" spans="2:16">
      <c r="E71" s="365"/>
      <c r="F71" s="365"/>
      <c r="G71" s="243"/>
    </row>
    <row r="72" spans="2:16" ht="14.4">
      <c r="B72" s="212"/>
      <c r="C72" s="294"/>
      <c r="D72" s="212"/>
      <c r="E72" s="212"/>
      <c r="F72" s="212"/>
      <c r="G72" s="243"/>
      <c r="H72" s="212"/>
    </row>
    <row r="73" spans="2:16" ht="14.4">
      <c r="C73" s="56"/>
      <c r="D73" s="56"/>
      <c r="E73" s="56"/>
      <c r="F73" s="56"/>
      <c r="G73" s="56"/>
      <c r="H73" s="56"/>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E78" s="56"/>
      <c r="F78" s="56"/>
    </row>
    <row r="80" spans="2:16" ht="14.4">
      <c r="E80" s="212"/>
      <c r="F80" s="212"/>
      <c r="G80" s="212"/>
      <c r="H80" s="212"/>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row>
    <row r="88" spans="5:8" ht="14.4">
      <c r="E88" s="212"/>
      <c r="F88" s="212"/>
      <c r="G88" s="212"/>
      <c r="H88" s="212"/>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row>
    <row r="95" spans="5:8">
      <c r="E95" s="365"/>
      <c r="F95" s="365"/>
    </row>
  </sheetData>
  <mergeCells count="26">
    <mergeCell ref="G54:K54"/>
    <mergeCell ref="B44:G44"/>
    <mergeCell ref="K44:O44"/>
    <mergeCell ref="B45:C45"/>
    <mergeCell ref="D45:E45"/>
    <mergeCell ref="G48:K48"/>
    <mergeCell ref="G52:K52"/>
    <mergeCell ref="B42:D42"/>
    <mergeCell ref="B5:C5"/>
    <mergeCell ref="D5:E5"/>
    <mergeCell ref="B6:B21"/>
    <mergeCell ref="C6:C21"/>
    <mergeCell ref="B23:E23"/>
    <mergeCell ref="B24:C24"/>
    <mergeCell ref="D24:E24"/>
    <mergeCell ref="B31:E31"/>
    <mergeCell ref="B32:C32"/>
    <mergeCell ref="D32:E32"/>
    <mergeCell ref="B33:B38"/>
    <mergeCell ref="C33:C38"/>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E5149-B415-43B6-AA2B-3B959DC9AA3D}">
  <dimension ref="A1:T94"/>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JAN-FEB 2022</v>
      </c>
      <c r="B1" s="730" t="str">
        <f ca="1">MID(CELL("filename",B1),FIND("]",CELL("filename",B1))+1,255)</f>
        <v>FEB-MAR 2022</v>
      </c>
      <c r="C1" s="731"/>
      <c r="D1" s="731"/>
      <c r="E1" s="731"/>
      <c r="F1" s="731"/>
      <c r="G1" s="731"/>
      <c r="H1" s="731"/>
      <c r="I1" s="731"/>
      <c r="J1" s="731"/>
      <c r="K1" s="731"/>
      <c r="L1" s="731"/>
      <c r="M1" s="731"/>
      <c r="N1" s="731"/>
      <c r="O1" s="731"/>
      <c r="P1" s="298"/>
      <c r="Q1" s="281"/>
      <c r="R1" s="272"/>
      <c r="S1" s="272"/>
      <c r="T1" s="272"/>
    </row>
    <row r="2" spans="1:20">
      <c r="B2" s="118"/>
      <c r="C2" s="118"/>
      <c r="E2" s="365">
        <f>2742.7-F2</f>
        <v>-229.42000000000053</v>
      </c>
      <c r="F2" s="365">
        <f>2590.53+H4</f>
        <v>2972.1200000000003</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ROUND(O5+O32+O24+IF(O38&lt;0,0,O38)+O39+O4,2) &amp; " / " &amp; "£" &amp; E41</f>
        <v>£1863.81 / £4647.34</v>
      </c>
      <c r="E3" s="365">
        <f>2802.81-2787.81</f>
        <v>15</v>
      </c>
      <c r="F3" s="365"/>
      <c r="G3" s="732">
        <v>44617</v>
      </c>
      <c r="H3" s="732"/>
      <c r="I3" s="732">
        <f>G3+7</f>
        <v>44624</v>
      </c>
      <c r="J3" s="732"/>
      <c r="K3" s="732">
        <f>I3+7</f>
        <v>44631</v>
      </c>
      <c r="L3" s="732"/>
      <c r="M3" s="732">
        <f>K3+7</f>
        <v>44638</v>
      </c>
      <c r="N3" s="732"/>
      <c r="O3" s="308">
        <f>1342.06-O4</f>
        <v>-30.339999999999918</v>
      </c>
      <c r="P3" s="325"/>
      <c r="Q3" s="282"/>
    </row>
    <row r="4" spans="1:20" ht="15" customHeight="1">
      <c r="B4" s="727" t="str">
        <f>_xlfn.CONCAT("Expenses - 50 - ",G41*0.5," / Actual = ",D5," (",ROUND((D5/G41)*100,2),")")</f>
        <v>Expenses - 50 - 1969.015 / Actual = 1795.2 (45.59)</v>
      </c>
      <c r="C4" s="727"/>
      <c r="D4" s="727"/>
      <c r="E4" s="727"/>
      <c r="F4" s="318"/>
      <c r="H4" s="243">
        <f>SUM(H5:H39)</f>
        <v>381.59</v>
      </c>
      <c r="J4" s="243">
        <f>SUM(J5:J39)</f>
        <v>134.20999999999998</v>
      </c>
      <c r="L4" s="243">
        <f>SUM(L5:L39)</f>
        <v>748.76</v>
      </c>
      <c r="N4" s="243">
        <f>SUM(N5:N39)</f>
        <v>107.84</v>
      </c>
      <c r="O4" s="308">
        <f>IF(H40&lt;&gt;"PAID",H4,0)+IF(J40&lt;&gt;"PAID",J4,0)+IF(L40&lt;&gt;"PAID",L4,0)+IF(N40&lt;&gt;"PAID",N4,0)</f>
        <v>1372.3999999999999</v>
      </c>
      <c r="P4" s="309" t="s">
        <v>973</v>
      </c>
      <c r="Q4" s="282"/>
      <c r="R4" s="243"/>
      <c r="S4" s="243"/>
    </row>
    <row r="5" spans="1:20" ht="15" customHeight="1">
      <c r="B5" s="733" t="str">
        <f>IF(D5&gt;E$41*0.5,ROUND(D5-E$41*0.5,2) &amp; " Over",ROUND(E$41*0.5-D5,2) &amp; " Under")</f>
        <v>528.47 Under</v>
      </c>
      <c r="C5" s="733"/>
      <c r="D5" s="761">
        <f>SUM(F6:F21)</f>
        <v>1795.1999999999998</v>
      </c>
      <c r="E5" s="761"/>
      <c r="F5" s="321"/>
      <c r="G5" s="284"/>
      <c r="H5" s="306"/>
      <c r="I5" s="79"/>
      <c r="J5" s="306"/>
      <c r="K5" s="79"/>
      <c r="L5" s="306"/>
      <c r="M5" s="79"/>
      <c r="N5" s="305"/>
      <c r="O5" s="285">
        <f>SUMIF(O6:O21,"&gt;0")</f>
        <v>120.55999999999997</v>
      </c>
      <c r="P5" s="285" t="s">
        <v>892</v>
      </c>
      <c r="Q5" s="282">
        <f>SUM(Q6:Q21)</f>
        <v>0.30000000000001137</v>
      </c>
      <c r="R5" s="243"/>
    </row>
    <row r="6" spans="1:20" ht="15" customHeight="1">
      <c r="B6" s="734" t="str">
        <f>"50%: " &amp; E$41*0.5</f>
        <v>50%: 2323.67</v>
      </c>
      <c r="C6" s="734" t="str">
        <f>ROUND((D5/E$41)*100,2) &amp; "%: " &amp;D5</f>
        <v>38.63%: 1795.2</v>
      </c>
      <c r="D6" s="13" t="s">
        <v>805</v>
      </c>
      <c r="E6" s="365">
        <v>0</v>
      </c>
      <c r="F6" s="374">
        <v>200</v>
      </c>
      <c r="H6" s="305">
        <f>45.16+50.05+25.04</f>
        <v>120.25</v>
      </c>
      <c r="J6" s="305">
        <f>50.02</f>
        <v>50.02</v>
      </c>
      <c r="L6" s="305">
        <f>30.03</f>
        <v>30.03</v>
      </c>
      <c r="N6" s="305"/>
      <c r="O6" s="274">
        <f>SUM(E6:F6)-SUM(G6:N6)</f>
        <v>-0.30000000000001137</v>
      </c>
      <c r="P6" s="274" t="str">
        <f t="shared" ref="P6:P21" si="0">D6</f>
        <v>Car Petrol / commuting</v>
      </c>
      <c r="Q6" s="282">
        <f t="shared" ref="Q6:Q21" si="1">IF(O6&lt;0,O6*-1,0)</f>
        <v>0.30000000000001137</v>
      </c>
      <c r="R6" s="243"/>
    </row>
    <row r="7" spans="1:20" ht="15" customHeight="1">
      <c r="B7" s="734"/>
      <c r="C7" s="734"/>
      <c r="D7" s="13" t="s">
        <v>169</v>
      </c>
      <c r="E7" s="365">
        <v>0</v>
      </c>
      <c r="F7" s="365">
        <v>400</v>
      </c>
      <c r="G7">
        <f>27.25</f>
        <v>27.25</v>
      </c>
      <c r="H7" s="305">
        <f>64.4+16.4+3.76</f>
        <v>84.560000000000016</v>
      </c>
      <c r="I7">
        <f>21.1+5.95</f>
        <v>27.05</v>
      </c>
      <c r="J7" s="305">
        <f>45.5+23.49+4.25</f>
        <v>73.239999999999995</v>
      </c>
      <c r="L7" s="305">
        <f>4.1+14.75+7.8+12.96+7.6+12.02+3.75+4.66+1.85</f>
        <v>69.489999999999995</v>
      </c>
      <c r="N7" s="305">
        <f>67.48+20.28</f>
        <v>87.76</v>
      </c>
      <c r="O7" s="274">
        <f>SUM(E7:F7)-SUM(G7:N7)</f>
        <v>30.649999999999977</v>
      </c>
      <c r="P7" s="274" t="str">
        <f t="shared" si="0"/>
        <v>Food</v>
      </c>
      <c r="Q7" s="282">
        <f t="shared" si="1"/>
        <v>0</v>
      </c>
      <c r="R7" s="243"/>
    </row>
    <row r="8" spans="1:20" ht="15" customHeight="1">
      <c r="B8" s="734"/>
      <c r="C8" s="734"/>
      <c r="D8" s="13" t="s">
        <v>153</v>
      </c>
      <c r="E8" s="365">
        <v>0</v>
      </c>
      <c r="F8" s="365">
        <f>150</f>
        <v>150</v>
      </c>
      <c r="G8">
        <f>7.24+2.85+5.55+(21.57-15)</f>
        <v>22.21</v>
      </c>
      <c r="H8" s="305"/>
      <c r="I8">
        <f>18.98</f>
        <v>18.98</v>
      </c>
      <c r="J8" s="362"/>
      <c r="K8">
        <f>14.04+7.99+8.75+4.2+2.6+19.29+5.7</f>
        <v>62.570000000000007</v>
      </c>
      <c r="L8" s="305"/>
      <c r="N8" s="305"/>
      <c r="O8" s="274">
        <f>SUM(E8:F8)-SUM(G8:N8)</f>
        <v>46.239999999999995</v>
      </c>
      <c r="P8" s="274" t="str">
        <f t="shared" si="0"/>
        <v>Luna</v>
      </c>
      <c r="Q8" s="282">
        <f t="shared" si="1"/>
        <v>0</v>
      </c>
    </row>
    <row r="9" spans="1:20" ht="15" customHeight="1">
      <c r="B9" s="734"/>
      <c r="C9" s="734"/>
      <c r="D9" s="13" t="s">
        <v>1079</v>
      </c>
      <c r="E9" s="365">
        <v>0</v>
      </c>
      <c r="F9" s="365">
        <v>40</v>
      </c>
      <c r="G9">
        <f>15</f>
        <v>15</v>
      </c>
      <c r="H9" s="305">
        <f>12</f>
        <v>12</v>
      </c>
      <c r="J9" s="305"/>
      <c r="L9" s="305">
        <f>10.47</f>
        <v>10.47</v>
      </c>
      <c r="N9" s="305"/>
      <c r="O9" s="274">
        <f>SUM(E9:F9)-SUM(G9:N9)</f>
        <v>2.5300000000000011</v>
      </c>
      <c r="P9" s="274" t="str">
        <f t="shared" si="0"/>
        <v>Creamy</v>
      </c>
      <c r="Q9" s="282">
        <f t="shared" si="1"/>
        <v>0</v>
      </c>
    </row>
    <row r="10" spans="1:20" ht="15" customHeight="1" outlineLevel="1">
      <c r="B10" s="734"/>
      <c r="C10" s="734"/>
      <c r="D10" s="201" t="s">
        <v>595</v>
      </c>
      <c r="E10" s="365">
        <v>0</v>
      </c>
      <c r="F10" s="365">
        <f>452.64</f>
        <v>452.64</v>
      </c>
      <c r="H10" s="305"/>
      <c r="J10" s="305"/>
      <c r="K10">
        <f>452.64</f>
        <v>452.64</v>
      </c>
      <c r="L10" s="305"/>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135</v>
      </c>
      <c r="H11" s="305"/>
      <c r="J11" s="305"/>
      <c r="K11">
        <v>135</v>
      </c>
      <c r="L11" s="305"/>
      <c r="N11" s="305"/>
      <c r="O11" s="274">
        <f t="shared" si="2"/>
        <v>0</v>
      </c>
      <c r="P11" s="274" t="str">
        <f t="shared" si="0"/>
        <v>Council tax</v>
      </c>
      <c r="Q11" s="282">
        <f t="shared" si="1"/>
        <v>0</v>
      </c>
    </row>
    <row r="12" spans="1:20" ht="15" customHeight="1" outlineLevel="1">
      <c r="B12" s="734"/>
      <c r="C12" s="734"/>
      <c r="D12" s="201" t="s">
        <v>1002</v>
      </c>
      <c r="E12" s="365">
        <v>0</v>
      </c>
      <c r="F12" s="365">
        <f>29+89.01+1</f>
        <v>119.01</v>
      </c>
      <c r="G12">
        <f>1+89.01</f>
        <v>90.01</v>
      </c>
      <c r="H12" s="305"/>
      <c r="J12" s="305"/>
      <c r="K12">
        <f>29</f>
        <v>29</v>
      </c>
      <c r="L12" s="305"/>
      <c r="N12" s="305"/>
      <c r="O12" s="274">
        <f>SUM(E12:F12)-SUM(G12:N12)</f>
        <v>0</v>
      </c>
      <c r="P12" s="274" t="str">
        <f t="shared" si="0"/>
        <v>Utilities (G,W,E,HTB)</v>
      </c>
      <c r="Q12" s="282">
        <f t="shared" si="1"/>
        <v>0</v>
      </c>
    </row>
    <row r="13" spans="1:20" ht="15" customHeight="1" outlineLevel="1">
      <c r="B13" s="734"/>
      <c r="C13" s="734"/>
      <c r="D13" s="201" t="s">
        <v>996</v>
      </c>
      <c r="E13" s="365">
        <v>13.07</v>
      </c>
      <c r="F13" s="365">
        <f>13.07</f>
        <v>13.07</v>
      </c>
      <c r="H13" s="305"/>
      <c r="J13" s="305"/>
      <c r="L13" s="305"/>
      <c r="N13" s="305"/>
      <c r="O13" s="274">
        <f>SUM(E13:F13)-SUM(G13:N13)</f>
        <v>26.14</v>
      </c>
      <c r="P13" s="274" t="str">
        <f t="shared" si="0"/>
        <v>Home Insurance</v>
      </c>
      <c r="Q13" s="282">
        <f t="shared" si="1"/>
        <v>0</v>
      </c>
    </row>
    <row r="14" spans="1:20" ht="15" customHeight="1" outlineLevel="1">
      <c r="B14" s="734"/>
      <c r="C14" s="734"/>
      <c r="D14" s="201" t="s">
        <v>359</v>
      </c>
      <c r="E14" s="365">
        <v>0</v>
      </c>
      <c r="F14" s="365">
        <f>15</f>
        <v>15</v>
      </c>
      <c r="H14" s="305"/>
      <c r="J14" s="305"/>
      <c r="L14" s="305"/>
      <c r="N14" s="305"/>
      <c r="O14" s="274">
        <f t="shared" si="2"/>
        <v>15</v>
      </c>
      <c r="P14" s="274" t="str">
        <f t="shared" si="0"/>
        <v>TV License</v>
      </c>
      <c r="Q14" s="282">
        <f t="shared" si="1"/>
        <v>0</v>
      </c>
    </row>
    <row r="15" spans="1:20" ht="15" customHeight="1" outlineLevel="1">
      <c r="B15" s="734"/>
      <c r="C15" s="734"/>
      <c r="D15" s="201" t="s">
        <v>1056</v>
      </c>
      <c r="E15" s="365">
        <v>0</v>
      </c>
      <c r="F15" s="365">
        <f>8+36.79+16.6</f>
        <v>61.39</v>
      </c>
      <c r="G15">
        <f>16.6</f>
        <v>16.600000000000001</v>
      </c>
      <c r="H15" s="305"/>
      <c r="J15" s="305"/>
      <c r="K15">
        <f>8+36.79</f>
        <v>44.79</v>
      </c>
      <c r="L15" s="305"/>
      <c r="N15" s="305"/>
      <c r="O15" s="274">
        <f>SUM(E15:F15)-SUM(G15:N15)</f>
        <v>0</v>
      </c>
      <c r="P15" s="274" t="str">
        <f t="shared" si="0"/>
        <v>Pet Health / Insurance</v>
      </c>
      <c r="Q15" s="282">
        <f t="shared" si="1"/>
        <v>0</v>
      </c>
    </row>
    <row r="16" spans="1:20" ht="15" customHeight="1" outlineLevel="1">
      <c r="B16" s="734"/>
      <c r="C16" s="734"/>
      <c r="D16" s="201" t="s">
        <v>1057</v>
      </c>
      <c r="E16" s="365">
        <v>0</v>
      </c>
      <c r="F16" s="365">
        <f>4.52+15.97+8.56</f>
        <v>29.050000000000004</v>
      </c>
      <c r="G16">
        <f>29.05</f>
        <v>29.05</v>
      </c>
      <c r="H16" s="305"/>
      <c r="I16" s="11"/>
      <c r="J16" s="305"/>
      <c r="L16" s="305"/>
      <c r="N16" s="305"/>
      <c r="O16" s="274">
        <f t="shared" si="2"/>
        <v>0</v>
      </c>
      <c r="P16" s="274" t="str">
        <f t="shared" si="0"/>
        <v>Life / Income Insurance</v>
      </c>
      <c r="Q16" s="282">
        <f t="shared" si="1"/>
        <v>0</v>
      </c>
    </row>
    <row r="17" spans="2:17" ht="15" customHeight="1" outlineLevel="1">
      <c r="B17" s="734"/>
      <c r="C17" s="734"/>
      <c r="D17" s="201" t="s">
        <v>602</v>
      </c>
      <c r="E17" s="365">
        <v>0</v>
      </c>
      <c r="F17" s="365">
        <v>26</v>
      </c>
      <c r="H17" s="305"/>
      <c r="J17" s="305"/>
      <c r="L17" s="305"/>
      <c r="M17">
        <f>26</f>
        <v>26</v>
      </c>
      <c r="N17" s="305"/>
      <c r="O17" s="274">
        <f>SUM(E17:F17)-SUM(G17:N17)</f>
        <v>0</v>
      </c>
      <c r="P17" s="274" t="str">
        <f t="shared" si="0"/>
        <v>Broadband / TV</v>
      </c>
      <c r="Q17" s="282">
        <f t="shared" si="1"/>
        <v>0</v>
      </c>
    </row>
    <row r="18" spans="2:17" ht="15" customHeight="1" outlineLevel="1">
      <c r="B18" s="734"/>
      <c r="C18" s="734"/>
      <c r="D18" s="201" t="s">
        <v>582</v>
      </c>
      <c r="E18" s="365">
        <v>0</v>
      </c>
      <c r="F18" s="365">
        <v>7.99</v>
      </c>
      <c r="G18">
        <f>7.99</f>
        <v>7.99</v>
      </c>
      <c r="H18" s="305"/>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v>10.56</v>
      </c>
      <c r="G19">
        <f>10.56</f>
        <v>10.56</v>
      </c>
      <c r="H19" s="305"/>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29.75+34.68+42.5+13.56</f>
        <v>120.49000000000001</v>
      </c>
      <c r="G20">
        <f>13.56+29.75+34.68+42.5</f>
        <v>120.49000000000001</v>
      </c>
      <c r="H20" s="305"/>
      <c r="J20" s="305"/>
      <c r="L20" s="305"/>
      <c r="N20" s="305"/>
      <c r="O20" s="274">
        <f>SUM(E20:F20)-SUM(G20:N20)</f>
        <v>0</v>
      </c>
      <c r="P20" s="274" t="str">
        <f t="shared" si="0"/>
        <v>Car Tax / Insurance</v>
      </c>
      <c r="Q20" s="282">
        <f t="shared" si="1"/>
        <v>0</v>
      </c>
    </row>
    <row r="21" spans="2:17" ht="15" customHeight="1" outlineLevel="1">
      <c r="B21" s="734"/>
      <c r="C21" s="734"/>
      <c r="D21" s="201" t="s">
        <v>944</v>
      </c>
      <c r="E21" s="365">
        <v>0</v>
      </c>
      <c r="F21" s="365">
        <v>15</v>
      </c>
      <c r="G21">
        <v>15</v>
      </c>
      <c r="H21" s="305"/>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",G41*0.2," / Actual = ",D24," (",ROUND((D24/G41)*100,2),")")</f>
        <v>Savings - 20 - 787.606 / Actual = 150 (3.81)</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150</v>
      </c>
      <c r="E24" s="759"/>
      <c r="F24" s="319"/>
      <c r="H24" s="305"/>
      <c r="J24" s="305"/>
      <c r="L24" s="305"/>
      <c r="N24" s="305"/>
      <c r="O24" s="285">
        <f>SUMIF(O25:O29,"&gt;0")</f>
        <v>85.699999999999974</v>
      </c>
      <c r="P24" s="285" t="s">
        <v>895</v>
      </c>
      <c r="Q24" s="282">
        <f>SUM(Q25:Q29)</f>
        <v>0</v>
      </c>
    </row>
    <row r="25" spans="2:17" ht="15" customHeight="1" outlineLevel="1">
      <c r="B25" s="7" t="str">
        <f>"20% : " &amp; E$41*0.2</f>
        <v>20% : 929.468</v>
      </c>
      <c r="C25" s="7" t="str">
        <f>"20% : " &amp; E$41*0.2</f>
        <v>20% : 929.468</v>
      </c>
      <c r="D25" s="300" t="s">
        <v>590</v>
      </c>
      <c r="E25" s="365">
        <f>21.78+4.8</f>
        <v>26.580000000000002</v>
      </c>
      <c r="F25" s="365">
        <v>75</v>
      </c>
      <c r="G25">
        <v>45.99</v>
      </c>
      <c r="H25" s="305"/>
      <c r="J25" s="305"/>
      <c r="K25">
        <f>14.59+30</f>
        <v>44.59</v>
      </c>
      <c r="L25" s="315"/>
      <c r="N25" s="305"/>
      <c r="O25" s="274">
        <f>SUM(E25:F25)-SUM(G25:N25)-Q41</f>
        <v>10.699999999999974</v>
      </c>
      <c r="P25" s="274" t="str">
        <f t="shared" ref="P25:P29" si="3">D25</f>
        <v>Contingency</v>
      </c>
      <c r="Q25" s="282">
        <v>0</v>
      </c>
    </row>
    <row r="26" spans="2:17" ht="15" customHeight="1" outlineLevel="1">
      <c r="B26" s="7"/>
      <c r="C26" s="7"/>
      <c r="D26" s="300" t="s">
        <v>998</v>
      </c>
      <c r="E26" s="365">
        <v>0</v>
      </c>
      <c r="F26" s="365">
        <v>75</v>
      </c>
      <c r="G26" s="11"/>
      <c r="H26" s="306"/>
      <c r="J26" s="305"/>
      <c r="L26" s="305"/>
      <c r="N26" s="305"/>
      <c r="O26" s="274">
        <f>SUM(E26:F26)-SUM(G26:N26)</f>
        <v>75</v>
      </c>
      <c r="P26" s="274" t="str">
        <f t="shared" si="3"/>
        <v>Cars (Service / MOT)</v>
      </c>
      <c r="Q26" s="282">
        <f t="shared" ref="Q26:Q29" si="4">IF(O26&lt;0,O26*-1,0)</f>
        <v>0</v>
      </c>
    </row>
    <row r="27" spans="2:17" ht="15" customHeight="1" outlineLevel="1">
      <c r="B27" s="7"/>
      <c r="C27" s="7"/>
      <c r="D27" s="300" t="s">
        <v>999</v>
      </c>
      <c r="E27" s="365">
        <v>0</v>
      </c>
      <c r="F27" s="365">
        <v>0</v>
      </c>
      <c r="G27" s="11"/>
      <c r="H27" s="306"/>
      <c r="J27" s="305"/>
      <c r="L27" s="305"/>
      <c r="N27" s="305"/>
      <c r="O27" s="274">
        <f t="shared" ref="O27:O29" si="5">SUM(E27:F27)-SUM(G27:N27)</f>
        <v>0</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",G41*0.3," / Actual = ",D32," (",ROUND((D32/G41)*100,2),")")</f>
        <v>Wants - 30 - 1181.409 / Actual = 2122.83 (53.91)</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(E$41-D5-D24-E40)</f>
        <v>2122.8300000000008</v>
      </c>
      <c r="E32" s="727"/>
      <c r="F32" s="319">
        <f>SUM(F33:F38)</f>
        <v>2122.8300000000008</v>
      </c>
      <c r="H32" s="305"/>
      <c r="J32" s="305"/>
      <c r="L32" s="305"/>
      <c r="N32" s="305"/>
      <c r="O32" s="285">
        <f>SUMIF(O33:O37,"&gt;0")-O35</f>
        <v>272.11000000000058</v>
      </c>
      <c r="P32" s="285" t="s">
        <v>899</v>
      </c>
      <c r="Q32" s="282">
        <f>SUM(Q33:Q38)</f>
        <v>0</v>
      </c>
    </row>
    <row r="33" spans="2:19" ht="15" customHeight="1" outlineLevel="1">
      <c r="B33" s="734"/>
      <c r="C33" s="760"/>
      <c r="D33" s="300" t="s">
        <v>354</v>
      </c>
      <c r="E33" s="365">
        <v>500</v>
      </c>
      <c r="F33" s="365">
        <f>500+30+20+50</f>
        <v>600</v>
      </c>
      <c r="G33">
        <f>200+130</f>
        <v>330</v>
      </c>
      <c r="H33" s="305">
        <f>124.46</f>
        <v>124.46</v>
      </c>
      <c r="J33" s="305"/>
      <c r="K33">
        <f>66.92</f>
        <v>66.92</v>
      </c>
      <c r="L33" s="305">
        <f>88.99+54.2+103+77.49+50+15</f>
        <v>388.68</v>
      </c>
      <c r="M33">
        <f>30+30</f>
        <v>60</v>
      </c>
      <c r="N33" s="305"/>
      <c r="O33" s="274">
        <f>SUM(E33:F33)-SUM(G33:N33)</f>
        <v>129.94000000000005</v>
      </c>
      <c r="P33" s="274" t="str">
        <f t="shared" ref="P33:P39" si="6">D33</f>
        <v>Holiday</v>
      </c>
      <c r="Q33" s="282">
        <f t="shared" ref="Q33:Q35" si="7">IF(O33&lt;0,O33*-1,0)</f>
        <v>0</v>
      </c>
      <c r="R33" s="11"/>
      <c r="S33" s="11"/>
    </row>
    <row r="34" spans="2:19" ht="15" customHeight="1" outlineLevel="1">
      <c r="B34" s="734"/>
      <c r="C34" s="760"/>
      <c r="D34" s="300" t="s">
        <v>170</v>
      </c>
      <c r="E34" s="365">
        <v>26.179999999999836</v>
      </c>
      <c r="F34" s="365">
        <f>400-50</f>
        <v>350</v>
      </c>
      <c r="G34">
        <f>200</f>
        <v>200</v>
      </c>
      <c r="H34" s="305"/>
      <c r="J34" s="305"/>
      <c r="L34" s="305">
        <f>42</f>
        <v>42</v>
      </c>
      <c r="N34" s="305"/>
      <c r="O34" s="274">
        <f>SUM(E34:F34)-SUM(G34:N34)</f>
        <v>134.17999999999984</v>
      </c>
      <c r="P34" s="274" t="str">
        <f t="shared" si="6"/>
        <v>Gift Fund</v>
      </c>
      <c r="Q34" s="282">
        <f t="shared" si="7"/>
        <v>0</v>
      </c>
      <c r="R34" s="11"/>
      <c r="S34" s="11"/>
    </row>
    <row r="35" spans="2:19" ht="15" customHeight="1" outlineLevel="1">
      <c r="B35" s="734"/>
      <c r="C35" s="760"/>
      <c r="D35" s="300" t="s">
        <v>812</v>
      </c>
      <c r="E35" s="365">
        <f>8495.31</f>
        <v>8495.31</v>
      </c>
      <c r="F35" s="365">
        <f>700+30</f>
        <v>730</v>
      </c>
      <c r="G35" t="s">
        <v>98</v>
      </c>
      <c r="H35" s="366"/>
      <c r="J35" s="305"/>
      <c r="L35" s="305">
        <v>181.3</v>
      </c>
      <c r="N35" s="305"/>
      <c r="O35" s="274">
        <f>SUM(E35:F35)-SUM(G35:N35)</f>
        <v>9044.01</v>
      </c>
      <c r="P35" s="274" t="str">
        <f t="shared" si="6"/>
        <v>Wedding</v>
      </c>
      <c r="Q35" s="282">
        <f t="shared" si="7"/>
        <v>0</v>
      </c>
      <c r="R35" s="11"/>
      <c r="S35" s="349"/>
    </row>
    <row r="36" spans="2:19" ht="15" customHeight="1" outlineLevel="1">
      <c r="B36" s="734"/>
      <c r="C36" s="760"/>
      <c r="D36" s="300" t="s">
        <v>772</v>
      </c>
      <c r="E36" s="365">
        <v>0</v>
      </c>
      <c r="F36" s="365">
        <v>0</v>
      </c>
      <c r="H36" s="305"/>
      <c r="J36" s="305"/>
      <c r="L36" s="305"/>
      <c r="N36" s="305"/>
      <c r="O36" s="274">
        <f>SUM(E36:F36)-SUM(G36:N36)</f>
        <v>0</v>
      </c>
      <c r="P36" s="274" t="str">
        <f t="shared" si="6"/>
        <v>Home</v>
      </c>
      <c r="Q36" s="282"/>
      <c r="R36" s="11"/>
      <c r="S36" s="349"/>
    </row>
    <row r="37" spans="2:19" ht="15.75" customHeight="1" outlineLevel="1">
      <c r="B37" s="734"/>
      <c r="C37" s="760"/>
      <c r="D37" s="13" t="s">
        <v>781</v>
      </c>
      <c r="E37" s="365">
        <v>0</v>
      </c>
      <c r="F37" s="365">
        <f>13+2+10+7.99+7.99+9.99+9.99+10.99+1.99+25</f>
        <v>98.94</v>
      </c>
      <c r="G37">
        <f>13+2+10.99+9.99+7.99</f>
        <v>43.970000000000006</v>
      </c>
      <c r="H37" s="305"/>
      <c r="I37">
        <f>1.99+9.99+10+25</f>
        <v>46.980000000000004</v>
      </c>
      <c r="J37" s="305"/>
      <c r="L37" s="305"/>
      <c r="N37" s="305"/>
      <c r="O37" s="274">
        <f t="shared" ref="O37:O39" si="8">SUM(E37:F37)-SUM(G37:N37)</f>
        <v>7.9899999999999807</v>
      </c>
      <c r="P37" s="274" t="str">
        <f t="shared" si="6"/>
        <v>Subscriptions</v>
      </c>
      <c r="Q37" s="282">
        <f>IF(O37&lt;0,O37*-1,0)</f>
        <v>0</v>
      </c>
      <c r="S37" s="349"/>
    </row>
    <row r="38" spans="2:19" ht="18" outlineLevel="1">
      <c r="B38" s="734"/>
      <c r="C38" s="760"/>
      <c r="D38" s="13" t="s">
        <v>922</v>
      </c>
      <c r="E38" s="365">
        <v>13.4800000000007</v>
      </c>
      <c r="F38" s="365">
        <f>(D32-SUM(F33:F37))-F39</f>
        <v>343.89000000000078</v>
      </c>
      <c r="G38">
        <f>1.65+5+1.1+5+7.65</f>
        <v>20.399999999999999</v>
      </c>
      <c r="H38" s="305">
        <f>9+40.32+7.64+10.94+-13.99+-13.59</f>
        <v>40.320000000000007</v>
      </c>
      <c r="J38" s="305">
        <f>10.95</f>
        <v>10.95</v>
      </c>
      <c r="K38">
        <f>1.1+3.99+22.5+15+130+3</f>
        <v>175.59</v>
      </c>
      <c r="L38" s="305">
        <f>4.99+10.9+10.9</f>
        <v>26.79</v>
      </c>
      <c r="M38">
        <f>1.65+1.65+12.1+12.5+17.4+4.9</f>
        <v>50.199999999999996</v>
      </c>
      <c r="N38" s="305">
        <f>9.7+10.38</f>
        <v>20.079999999999998</v>
      </c>
      <c r="O38" s="274">
        <f>SUM(E38:F38)-SUM(G38:N38)</f>
        <v>13.040000000001498</v>
      </c>
      <c r="P38" s="274" t="str">
        <f t="shared" si="6"/>
        <v>Matt Fun</v>
      </c>
      <c r="Q38" s="282">
        <f>IF(SUM(E38:F38)-SUM(G38:N38)&lt;=0,(SUM(E38:F38)-SUM(G38:N38))*-1,0)</f>
        <v>0</v>
      </c>
    </row>
    <row r="39" spans="2:19" ht="18" outlineLevel="1">
      <c r="B39" s="7"/>
      <c r="C39" s="284"/>
      <c r="D39" s="13" t="s">
        <v>152</v>
      </c>
      <c r="E39" s="365">
        <v>0</v>
      </c>
      <c r="F39" s="365">
        <v>0</v>
      </c>
      <c r="H39" s="305"/>
      <c r="J39" s="305"/>
      <c r="L39" s="305"/>
      <c r="N39" s="305"/>
      <c r="O39" s="274">
        <f t="shared" si="8"/>
        <v>0</v>
      </c>
      <c r="P39" s="274" t="str">
        <f t="shared" si="6"/>
        <v>Kris</v>
      </c>
      <c r="Q39" s="271">
        <f>IF(F39-SUM(G39:N39)&lt;=0,(F39-SUM(G39:N39))*-1,0)</f>
        <v>0</v>
      </c>
    </row>
    <row r="40" spans="2:19">
      <c r="B40" s="118"/>
      <c r="C40" s="118"/>
      <c r="E40" s="365">
        <f>SUM(E33:E39)+SUM(E25:E29)+SUM(E6:E21)-E35</f>
        <v>579.31000000000131</v>
      </c>
      <c r="F40" s="365"/>
      <c r="H40" s="7"/>
      <c r="J40" s="7"/>
      <c r="L40" s="7"/>
      <c r="N40" s="7"/>
      <c r="O40" s="273"/>
      <c r="P40" s="273"/>
      <c r="Q40" s="282"/>
    </row>
    <row r="41" spans="2:19" ht="18">
      <c r="B41" s="728" t="s">
        <v>817</v>
      </c>
      <c r="C41" s="728"/>
      <c r="D41" s="728"/>
      <c r="E41" s="375">
        <f>G41+I41+K41+M41+N41+E40</f>
        <v>4647.340000000002</v>
      </c>
      <c r="F41" s="379"/>
      <c r="G41" s="271">
        <f>2693.03+1195+30+20</f>
        <v>3938.03</v>
      </c>
      <c r="H41" s="271"/>
      <c r="I41" s="271"/>
      <c r="J41" s="271"/>
      <c r="K41" s="271">
        <f>110+20</f>
        <v>130</v>
      </c>
      <c r="L41" s="271"/>
      <c r="M41" s="271"/>
      <c r="N41" s="271"/>
      <c r="O41" s="314" t="str">
        <f>"£" &amp; ROUND(O5+O32+O24+IF(O38&lt;0,0,O38)+O39+O4,2) &amp; " / " &amp; "£" &amp; E41</f>
        <v>£1863.81 / £4647.34</v>
      </c>
      <c r="P41" s="274"/>
      <c r="Q41" s="282">
        <f>SUM(Q32,Q24,Q5)</f>
        <v>0.30000000000001137</v>
      </c>
    </row>
    <row r="42" spans="2:19">
      <c r="B42" s="118"/>
      <c r="C42" s="7"/>
      <c r="E42" s="365"/>
      <c r="F42" s="365"/>
      <c r="G42" s="365"/>
      <c r="H42" s="365"/>
    </row>
    <row r="43" spans="2:19" ht="14.4">
      <c r="B43" s="729"/>
      <c r="C43" s="729"/>
      <c r="D43" s="729"/>
      <c r="E43" s="729"/>
      <c r="F43" s="729"/>
      <c r="G43" s="729"/>
      <c r="H43" s="297"/>
      <c r="K43" s="729"/>
      <c r="L43" s="729"/>
      <c r="M43" s="729"/>
      <c r="N43" s="729"/>
      <c r="O43" s="729"/>
      <c r="P43" s="297"/>
    </row>
    <row r="44" spans="2:19" ht="15" customHeight="1">
      <c r="B44" s="726" t="s">
        <v>955</v>
      </c>
      <c r="C44" s="726"/>
      <c r="D44" s="726"/>
      <c r="E44" s="726"/>
      <c r="F44" s="348"/>
      <c r="K44" s="212"/>
      <c r="L44" s="212"/>
      <c r="N44" s="118" t="s">
        <v>991</v>
      </c>
      <c r="O44" s="316">
        <v>44628</v>
      </c>
      <c r="P44" s="7">
        <f ca="1">DATEDIF(O44,NOW(),"d")</f>
        <v>1623</v>
      </c>
      <c r="Q44">
        <v>2639</v>
      </c>
      <c r="R44" t="s">
        <v>1103</v>
      </c>
    </row>
    <row r="45" spans="2:19">
      <c r="B45" s="365"/>
      <c r="C45" s="38"/>
      <c r="E45" s="11"/>
      <c r="F45" s="11"/>
      <c r="G45" s="367" t="s">
        <v>1096</v>
      </c>
      <c r="H45" s="243" t="s">
        <v>1104</v>
      </c>
      <c r="K45" s="214"/>
      <c r="L45" s="214"/>
      <c r="N45" s="322" t="s">
        <v>992</v>
      </c>
      <c r="O45" s="42">
        <v>44628</v>
      </c>
      <c r="P45" s="7">
        <f ca="1">DATEDIF(O45,NOW(),"d")</f>
        <v>1623</v>
      </c>
      <c r="Q45">
        <v>3.76</v>
      </c>
      <c r="R45" t="s">
        <v>1105</v>
      </c>
    </row>
    <row r="46" spans="2:19">
      <c r="E46" s="365"/>
      <c r="F46" s="365"/>
      <c r="G46" s="11" t="s">
        <v>1106</v>
      </c>
      <c r="H46" s="11" t="s">
        <v>1107</v>
      </c>
      <c r="K46" s="369"/>
      <c r="L46" s="243"/>
      <c r="O46"/>
      <c r="P46"/>
    </row>
    <row r="47" spans="2:19" ht="16.2" customHeight="1">
      <c r="D47" s="212"/>
      <c r="E47" s="278"/>
      <c r="F47" s="278"/>
      <c r="G47" s="740"/>
      <c r="H47" s="740"/>
      <c r="I47" s="740"/>
      <c r="J47" s="740"/>
      <c r="K47" s="740"/>
      <c r="L47">
        <f>2709.81-2672.82</f>
        <v>36.989999999999782</v>
      </c>
      <c r="O47" s="292">
        <f>400-O34</f>
        <v>265.82000000000016</v>
      </c>
      <c r="P47" s="212" t="s">
        <v>1108</v>
      </c>
    </row>
    <row r="48" spans="2:19">
      <c r="B48" s="378"/>
      <c r="E48" s="230"/>
      <c r="F48" s="361"/>
      <c r="G48" s="11" t="s">
        <v>1109</v>
      </c>
      <c r="H48" s="89"/>
      <c r="I48" s="7"/>
      <c r="J48" s="284"/>
      <c r="K48" s="342"/>
      <c r="L48" s="56"/>
      <c r="M48" s="365">
        <f>25</f>
        <v>25</v>
      </c>
      <c r="N48" s="56" t="s">
        <v>702</v>
      </c>
      <c r="O48" s="243">
        <f>O47/10</f>
        <v>26.582000000000015</v>
      </c>
      <c r="P48" s="56"/>
    </row>
    <row r="49" spans="2:17">
      <c r="E49" s="230"/>
      <c r="F49" s="361"/>
      <c r="G49" s="11" t="s">
        <v>1110</v>
      </c>
      <c r="H49" s="89"/>
      <c r="I49" s="230"/>
      <c r="J49" s="11" t="s">
        <v>1111</v>
      </c>
      <c r="K49" s="230"/>
      <c r="L49" s="243"/>
      <c r="M49" s="365">
        <f>36+2.15+21.4</f>
        <v>59.55</v>
      </c>
      <c r="N49" s="243" t="s">
        <v>867</v>
      </c>
      <c r="O49" s="11"/>
      <c r="P49"/>
    </row>
    <row r="50" spans="2:17">
      <c r="E50" s="380"/>
      <c r="F50" s="381"/>
      <c r="G50" s="38" t="s">
        <v>1112</v>
      </c>
      <c r="H50" s="361"/>
      <c r="I50" s="230"/>
      <c r="J50" s="11" t="s">
        <v>1113</v>
      </c>
      <c r="M50" s="365"/>
      <c r="N50" s="56"/>
      <c r="O50" s="284"/>
      <c r="P50" s="212"/>
      <c r="Q50" s="212"/>
    </row>
    <row r="51" spans="2:17">
      <c r="E51" s="89"/>
      <c r="F51" s="89"/>
      <c r="G51" s="767"/>
      <c r="H51" s="767"/>
      <c r="I51" s="767"/>
      <c r="J51" s="767"/>
      <c r="K51" s="767"/>
      <c r="M51" s="365"/>
      <c r="N51" s="56"/>
      <c r="O51" s="56"/>
      <c r="P51" s="56"/>
      <c r="Q51" s="38"/>
    </row>
    <row r="52" spans="2:17">
      <c r="E52" s="380"/>
      <c r="F52" s="360"/>
      <c r="G52" s="11" t="s">
        <v>1114</v>
      </c>
      <c r="H52" s="230"/>
      <c r="I52" s="230"/>
      <c r="J52" s="11"/>
      <c r="M52" s="365"/>
      <c r="N52" s="56">
        <f>1080</f>
        <v>1080</v>
      </c>
      <c r="O52" s="7" t="s">
        <v>132</v>
      </c>
    </row>
    <row r="53" spans="2:17">
      <c r="E53" s="360"/>
      <c r="F53" s="360"/>
      <c r="G53" s="767"/>
      <c r="H53" s="767"/>
      <c r="I53" s="767"/>
      <c r="J53" s="767"/>
      <c r="K53" s="767"/>
      <c r="L53" s="243"/>
      <c r="M53" s="382"/>
      <c r="N53" s="363">
        <v>50</v>
      </c>
      <c r="O53" s="7" t="s">
        <v>153</v>
      </c>
    </row>
    <row r="54" spans="2:17">
      <c r="E54" s="365"/>
      <c r="F54" s="381">
        <f>135*1.03</f>
        <v>139.05000000000001</v>
      </c>
      <c r="G54" s="11" t="s">
        <v>1115</v>
      </c>
      <c r="H54" s="38"/>
      <c r="I54" s="89"/>
      <c r="J54" s="368" t="s">
        <v>1116</v>
      </c>
      <c r="L54" s="243"/>
      <c r="N54" s="364">
        <v>30</v>
      </c>
      <c r="O54" s="275" t="s">
        <v>1117</v>
      </c>
      <c r="P54" s="275"/>
    </row>
    <row r="55" spans="2:17">
      <c r="B55" s="11"/>
      <c r="E55" s="365"/>
      <c r="F55" s="365"/>
      <c r="G55" s="11"/>
      <c r="H55" s="38"/>
      <c r="I55" s="11"/>
      <c r="J55" s="11" t="s">
        <v>1118</v>
      </c>
      <c r="L55" s="243"/>
      <c r="N55" s="364">
        <v>20</v>
      </c>
      <c r="O55" s="7" t="s">
        <v>169</v>
      </c>
    </row>
    <row r="56" spans="2:17" ht="14.4">
      <c r="B56" s="11"/>
      <c r="E56"/>
      <c r="F56"/>
      <c r="G56" s="11"/>
      <c r="H56" s="38"/>
      <c r="I56" s="11"/>
      <c r="J56" s="11" t="s">
        <v>1119</v>
      </c>
      <c r="K56" s="11"/>
      <c r="L56" s="79"/>
      <c r="N56">
        <v>50</v>
      </c>
      <c r="O56" s="7" t="s">
        <v>1120</v>
      </c>
      <c r="P56"/>
    </row>
    <row r="57" spans="2:17">
      <c r="E57"/>
      <c r="F57"/>
      <c r="G57" s="11">
        <f>19+15+15+15</f>
        <v>64</v>
      </c>
      <c r="H57" s="38" t="s">
        <v>724</v>
      </c>
      <c r="I57" s="11"/>
      <c r="J57" s="353" t="s">
        <v>1121</v>
      </c>
      <c r="K57" s="243"/>
      <c r="L57" s="243"/>
      <c r="N57" s="278">
        <v>70</v>
      </c>
      <c r="O57" s="212" t="s">
        <v>1122</v>
      </c>
      <c r="P57" s="212"/>
    </row>
    <row r="58" spans="2:17">
      <c r="B58" s="212"/>
      <c r="C58" s="212"/>
      <c r="E58" s="243"/>
      <c r="F58"/>
      <c r="G58" s="11">
        <f>150</f>
        <v>150</v>
      </c>
      <c r="H58" s="38" t="s">
        <v>1123</v>
      </c>
      <c r="I58" s="11"/>
      <c r="J58" s="349"/>
      <c r="K58" s="243"/>
      <c r="N58" s="376">
        <v>20</v>
      </c>
      <c r="O58" s="214" t="s">
        <v>812</v>
      </c>
      <c r="P58" s="214"/>
    </row>
    <row r="59" spans="2:17">
      <c r="C59" s="56"/>
      <c r="D59" s="243"/>
      <c r="E59"/>
      <c r="F59"/>
      <c r="G59" s="11"/>
      <c r="H59" s="38"/>
      <c r="I59" s="11"/>
      <c r="J59" s="349"/>
      <c r="K59" s="243"/>
      <c r="N59" s="365">
        <v>33</v>
      </c>
      <c r="O59" t="s">
        <v>1124</v>
      </c>
      <c r="P59"/>
    </row>
    <row r="60" spans="2:17">
      <c r="C60" s="56"/>
      <c r="E60"/>
      <c r="F60"/>
      <c r="G60" s="243"/>
      <c r="H60" s="38"/>
      <c r="I60" s="11"/>
      <c r="J60" s="349"/>
      <c r="K60" s="243"/>
      <c r="N60" s="278"/>
      <c r="O60" s="212"/>
      <c r="P60" s="212"/>
    </row>
    <row r="61" spans="2:17">
      <c r="C61" s="56"/>
      <c r="E61"/>
      <c r="F61"/>
      <c r="G61" s="11"/>
      <c r="H61" s="38"/>
      <c r="I61" s="11"/>
      <c r="J61" s="11"/>
      <c r="K61" s="11"/>
      <c r="L61">
        <f>388.68</f>
        <v>388.68</v>
      </c>
      <c r="N61" s="365"/>
      <c r="O61" s="56"/>
      <c r="P61" s="56"/>
    </row>
    <row r="62" spans="2:17">
      <c r="C62" s="56"/>
      <c r="E62"/>
      <c r="F62"/>
      <c r="G62" s="11"/>
      <c r="H62" s="38"/>
      <c r="I62" s="11"/>
      <c r="L62">
        <f>L61-M62</f>
        <v>248.68</v>
      </c>
      <c r="M62">
        <v>140</v>
      </c>
      <c r="N62" s="365" t="s">
        <v>724</v>
      </c>
      <c r="O62"/>
      <c r="P62"/>
    </row>
    <row r="63" spans="2:17">
      <c r="C63" s="56"/>
      <c r="E63" s="243"/>
      <c r="F63"/>
      <c r="G63" s="11">
        <f>950-150-200-(7.99*12)</f>
        <v>504.12</v>
      </c>
      <c r="H63" s="38" t="s">
        <v>1125</v>
      </c>
      <c r="I63" s="11"/>
      <c r="J63" s="349"/>
      <c r="L63">
        <f>L62-M63</f>
        <v>215.68</v>
      </c>
      <c r="M63">
        <v>33</v>
      </c>
      <c r="N63" s="278" t="s">
        <v>169</v>
      </c>
      <c r="O63" s="212"/>
      <c r="P63" s="212"/>
    </row>
    <row r="64" spans="2:17">
      <c r="C64" s="56"/>
      <c r="D64" s="243"/>
      <c r="E64"/>
      <c r="F64"/>
      <c r="G64" s="11">
        <v>250</v>
      </c>
      <c r="H64" s="38" t="s">
        <v>1126</v>
      </c>
      <c r="I64" s="11"/>
      <c r="J64" s="349"/>
      <c r="L64">
        <f>L63-M64</f>
        <v>65.680000000000007</v>
      </c>
      <c r="M64">
        <v>150</v>
      </c>
      <c r="N64" s="365" t="s">
        <v>1127</v>
      </c>
      <c r="O64" s="38"/>
      <c r="P64" s="56"/>
    </row>
    <row r="65" spans="2:15" ht="14.4">
      <c r="C65" s="56"/>
      <c r="E65"/>
      <c r="F65"/>
      <c r="G65">
        <f>182-75</f>
        <v>107</v>
      </c>
      <c r="H65" s="38" t="s">
        <v>1128</v>
      </c>
      <c r="I65" s="11" t="s">
        <v>1129</v>
      </c>
      <c r="O65"/>
    </row>
    <row r="66" spans="2:15" ht="14.4">
      <c r="C66" s="56"/>
      <c r="E66" s="347"/>
      <c r="F66"/>
      <c r="H66" s="38"/>
      <c r="I66" s="11"/>
    </row>
    <row r="67" spans="2:15" ht="14.4">
      <c r="C67" s="56"/>
      <c r="E67" s="332"/>
      <c r="F67" s="332"/>
      <c r="G67" s="212">
        <v>50</v>
      </c>
      <c r="H67" s="38" t="s">
        <v>1130</v>
      </c>
    </row>
    <row r="68" spans="2:15" ht="14.4">
      <c r="C68" s="56"/>
      <c r="E68"/>
      <c r="F68"/>
      <c r="G68" s="243">
        <v>75</v>
      </c>
      <c r="H68" s="243" t="s">
        <v>1131</v>
      </c>
    </row>
    <row r="69" spans="2:15" ht="14.4">
      <c r="C69" s="56"/>
      <c r="E69"/>
      <c r="F69"/>
      <c r="G69" s="243"/>
      <c r="H69" s="38" t="s">
        <v>1132</v>
      </c>
    </row>
    <row r="70" spans="2:15">
      <c r="E70" s="365"/>
      <c r="F70" s="365"/>
      <c r="G70" s="243"/>
    </row>
    <row r="71" spans="2:15" ht="14.4">
      <c r="B71" s="212"/>
      <c r="C71" s="294"/>
      <c r="D71" s="212"/>
      <c r="E71" s="212"/>
      <c r="F71" s="212"/>
      <c r="G71" s="243" t="s">
        <v>1133</v>
      </c>
      <c r="H71" s="212"/>
    </row>
    <row r="72" spans="2:15" ht="14.4">
      <c r="C72" s="56"/>
      <c r="D72" s="56"/>
      <c r="E72" s="56"/>
      <c r="F72" s="56"/>
      <c r="G72" s="56" t="s">
        <v>1134</v>
      </c>
      <c r="H72" s="56"/>
    </row>
    <row r="73" spans="2:15" ht="14.4">
      <c r="C73" s="56"/>
      <c r="D73" s="56"/>
      <c r="E73" s="56"/>
      <c r="F73" s="56"/>
      <c r="G73" s="56"/>
      <c r="H73" s="56"/>
    </row>
    <row r="74" spans="2:15" ht="14.4">
      <c r="C74" s="56"/>
      <c r="D74" s="56"/>
      <c r="E74" s="56"/>
      <c r="F74" s="56"/>
      <c r="G74" s="56"/>
      <c r="H74" s="56"/>
    </row>
    <row r="75" spans="2:15" ht="14.4">
      <c r="C75" s="56"/>
      <c r="D75" s="56"/>
      <c r="E75" s="56"/>
      <c r="F75" s="56"/>
      <c r="G75" s="56"/>
      <c r="H75" s="56"/>
    </row>
    <row r="76" spans="2:15" ht="14.4">
      <c r="C76" s="56"/>
      <c r="D76" s="56"/>
      <c r="E76" s="56"/>
      <c r="F76" s="56"/>
      <c r="G76" s="56"/>
      <c r="H76" s="56"/>
    </row>
    <row r="77" spans="2:15" ht="14.4">
      <c r="C77" s="56"/>
      <c r="E77" s="56"/>
      <c r="F77" s="56"/>
    </row>
    <row r="79" spans="2:15" ht="14.4">
      <c r="E79" s="212"/>
      <c r="F79" s="212"/>
      <c r="G79" s="212"/>
      <c r="H79" s="212"/>
    </row>
    <row r="80" spans="2:15" ht="14.4">
      <c r="E80" s="56"/>
      <c r="F80" s="56"/>
      <c r="G80" s="56"/>
      <c r="H80" s="56"/>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row>
    <row r="87" spans="5:8" ht="14.4">
      <c r="E87" s="212"/>
      <c r="F87" s="212"/>
      <c r="G87" s="212"/>
      <c r="H87" s="212"/>
    </row>
    <row r="88" spans="5:8" ht="14.4">
      <c r="E88" s="56"/>
      <c r="F88" s="56"/>
      <c r="G88" s="56"/>
      <c r="H88" s="56"/>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row>
    <row r="94" spans="5:8">
      <c r="E94" s="365"/>
      <c r="F94" s="365"/>
    </row>
  </sheetData>
  <mergeCells count="26">
    <mergeCell ref="B4:E4"/>
    <mergeCell ref="B1:O1"/>
    <mergeCell ref="G3:H3"/>
    <mergeCell ref="I3:J3"/>
    <mergeCell ref="K3:L3"/>
    <mergeCell ref="M3:N3"/>
    <mergeCell ref="B41:D41"/>
    <mergeCell ref="B5:C5"/>
    <mergeCell ref="D5:E5"/>
    <mergeCell ref="B6:B21"/>
    <mergeCell ref="C6:C21"/>
    <mergeCell ref="B23:E23"/>
    <mergeCell ref="B24:C24"/>
    <mergeCell ref="D24:E24"/>
    <mergeCell ref="B31:E31"/>
    <mergeCell ref="B32:C32"/>
    <mergeCell ref="D32:E32"/>
    <mergeCell ref="B33:B38"/>
    <mergeCell ref="C33:C38"/>
    <mergeCell ref="G53:K53"/>
    <mergeCell ref="B43:G43"/>
    <mergeCell ref="K43:O43"/>
    <mergeCell ref="B44:C44"/>
    <mergeCell ref="D44:E44"/>
    <mergeCell ref="G47:K47"/>
    <mergeCell ref="G51:K51"/>
  </mergeCells>
  <hyperlinks>
    <hyperlink ref="J54" r:id="rId1" location="virgin" xr:uid="{D0156BB7-0E0B-499D-A16B-1CE327BE73C3}"/>
  </hyperlinks>
  <pageMargins left="0.7" right="0.7" top="0.75" bottom="0.75" header="0.3" footer="0.3"/>
  <pageSetup orientation="portrait" r:id="rId2"/>
  <legacyDrawing r:id="rId3"/>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91E4-3184-401A-A390-804F8506DE73}">
  <dimension ref="A1:T94"/>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5" width="15.44140625" style="267" customWidth="1"/>
    <col min="6" max="6" width="14.6640625"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FEB-MAR 2022</v>
      </c>
      <c r="B1" s="730" t="str">
        <f ca="1">MID(CELL("filename",B1),FIND("]",CELL("filename",B1))+1,255)</f>
        <v>MAR-APR 2022</v>
      </c>
      <c r="C1" s="731"/>
      <c r="D1" s="731"/>
      <c r="E1" s="731"/>
      <c r="F1" s="731"/>
      <c r="G1" s="731"/>
      <c r="H1" s="731"/>
      <c r="I1" s="731"/>
      <c r="J1" s="731"/>
      <c r="K1" s="731"/>
      <c r="L1" s="731"/>
      <c r="M1" s="731"/>
      <c r="N1" s="731"/>
      <c r="O1" s="731"/>
      <c r="P1" s="298"/>
      <c r="Q1" s="281"/>
      <c r="R1" s="272"/>
      <c r="S1" s="272"/>
      <c r="T1" s="272"/>
    </row>
    <row r="2" spans="1:20">
      <c r="B2" s="118"/>
      <c r="C2" s="118"/>
      <c r="E2" s="365">
        <f>2742.7-F2</f>
        <v>-223.89000000000033</v>
      </c>
      <c r="F2" s="365">
        <f>2590.53+H4</f>
        <v>2966.59</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ROUND(O5+O32+O24+IF(O38&lt;0,0,O38)+O39+O4,2) &amp; " / " &amp; "£" &amp; E41</f>
        <v>£2638.46 / £4572.84</v>
      </c>
      <c r="E3" s="365">
        <f>2802.81-2787.81</f>
        <v>15</v>
      </c>
      <c r="F3" s="365"/>
      <c r="G3" s="732">
        <v>44645</v>
      </c>
      <c r="H3" s="732"/>
      <c r="I3" s="732">
        <f>G3+7</f>
        <v>44652</v>
      </c>
      <c r="J3" s="732"/>
      <c r="K3" s="732">
        <f>I3+7</f>
        <v>44659</v>
      </c>
      <c r="L3" s="732"/>
      <c r="M3" s="732">
        <f>K3+7</f>
        <v>44666</v>
      </c>
      <c r="N3" s="732"/>
      <c r="O3" s="325"/>
      <c r="P3" s="325"/>
      <c r="Q3" s="282"/>
    </row>
    <row r="4" spans="1:20" ht="15" customHeight="1">
      <c r="B4" s="727" t="str">
        <f>_xlfn.CONCAT("Expenses - 50 - ",G41*0.5," / Actual = ",D5," (",ROUND((D5/G41)*100,2),")")</f>
        <v>Expenses - 50 - 2030.715 / Actual = 1812.36 (44.62)</v>
      </c>
      <c r="C4" s="727"/>
      <c r="D4" s="727"/>
      <c r="E4" s="727"/>
      <c r="F4" s="318"/>
      <c r="H4" s="243">
        <f>SUM(H5:H39)</f>
        <v>376.06000000000006</v>
      </c>
      <c r="J4" s="243">
        <f>SUM(J5:J39)</f>
        <v>566.34</v>
      </c>
      <c r="L4" s="243">
        <f>SUM(L5:L39)</f>
        <v>474.17</v>
      </c>
      <c r="N4" s="243">
        <f>SUM(N5:N39)</f>
        <v>567.02</v>
      </c>
      <c r="O4" s="308">
        <f>IF(H40&lt;&gt;"PAID",H4,0)+IF(J40&lt;&gt;"PAID",J4,0)+IF(L40&lt;&gt;"PAID",L4,0)+IF(N40&lt;&gt;"PAID",N4,0)</f>
        <v>1983.5900000000001</v>
      </c>
      <c r="P4" s="309" t="s">
        <v>973</v>
      </c>
      <c r="Q4" s="282"/>
      <c r="R4" s="243">
        <f>2337.93-1983.59</f>
        <v>354.33999999999992</v>
      </c>
      <c r="S4" s="243"/>
    </row>
    <row r="5" spans="1:20" ht="15" customHeight="1">
      <c r="B5" s="733" t="str">
        <f>IF(D5&gt;E$41*0.5,ROUND(D5-E$41*0.5,2) &amp; " Over",ROUND(E$41*0.5-D5,2) &amp; " Under")</f>
        <v>474.06 Under</v>
      </c>
      <c r="C5" s="733"/>
      <c r="D5" s="761">
        <f>SUM(F6:F21)</f>
        <v>1812.3599999999997</v>
      </c>
      <c r="E5" s="761"/>
      <c r="F5" s="321"/>
      <c r="G5" s="284"/>
      <c r="H5" s="306"/>
      <c r="I5" s="79"/>
      <c r="J5" s="306"/>
      <c r="K5" s="79"/>
      <c r="L5" s="306"/>
      <c r="M5" s="79"/>
      <c r="N5" s="305"/>
      <c r="O5" s="285">
        <f>SUMIF(O6:O21,"&gt;0")</f>
        <v>84.600000000000023</v>
      </c>
      <c r="P5" s="285" t="s">
        <v>892</v>
      </c>
      <c r="Q5" s="282">
        <f>SUM(Q6:Q21)</f>
        <v>10.310000000000059</v>
      </c>
      <c r="R5" s="243">
        <v>354.34</v>
      </c>
    </row>
    <row r="6" spans="1:20" ht="15" customHeight="1">
      <c r="B6" s="734" t="str">
        <f>"50%: " &amp; E$41*0.5</f>
        <v>50%: 2286.42</v>
      </c>
      <c r="C6" s="734" t="str">
        <f>ROUND((D5/E$41)*100,2) &amp; "%: " &amp;D5</f>
        <v>39.63%: 1812.36</v>
      </c>
      <c r="D6" s="13" t="s">
        <v>805</v>
      </c>
      <c r="E6" s="365">
        <v>0</v>
      </c>
      <c r="F6" s="374">
        <v>200</v>
      </c>
      <c r="H6" s="305">
        <f>25+31.2+36.38</f>
        <v>92.580000000000013</v>
      </c>
      <c r="J6" s="305">
        <f>31.58</f>
        <v>31.58</v>
      </c>
      <c r="L6" s="305">
        <f>20.07+31.77+31.6</f>
        <v>83.44</v>
      </c>
      <c r="N6" s="305"/>
      <c r="O6" s="274">
        <f>SUM(E6:F6)-SUM(G6:N6)</f>
        <v>-7.6000000000000227</v>
      </c>
      <c r="P6" s="274" t="str">
        <f t="shared" ref="P6:P21" si="0">D6</f>
        <v>Car Petrol / commuting</v>
      </c>
      <c r="Q6" s="282">
        <f t="shared" ref="Q6:Q21" si="1">IF(O6&lt;0,O6*-1,0)</f>
        <v>7.6000000000000227</v>
      </c>
      <c r="R6" s="243">
        <f>25.01+25.02</f>
        <v>50.03</v>
      </c>
    </row>
    <row r="7" spans="1:20" ht="15" customHeight="1">
      <c r="B7" s="734"/>
      <c r="C7" s="734"/>
      <c r="D7" s="13" t="s">
        <v>169</v>
      </c>
      <c r="E7" s="365">
        <v>0</v>
      </c>
      <c r="F7" s="365">
        <f>340</f>
        <v>340</v>
      </c>
      <c r="G7">
        <v>8.14</v>
      </c>
      <c r="H7" s="305">
        <f>2+2.65+5+49.05+5.6+16.03</f>
        <v>80.33</v>
      </c>
      <c r="J7" s="305">
        <f>17.26+34.84+4.87+3.87+21.99</f>
        <v>82.83</v>
      </c>
      <c r="K7">
        <f>21.1</f>
        <v>21.1</v>
      </c>
      <c r="L7" s="305">
        <f>58.96+0.75+6.1+0.5</f>
        <v>66.31</v>
      </c>
      <c r="N7" s="305">
        <f>8.5+10.3+1.9+38.91+4.35+20.04</f>
        <v>84</v>
      </c>
      <c r="O7" s="274">
        <f>SUM(E7:F7)-SUM(G7:N7)</f>
        <v>-2.7100000000000364</v>
      </c>
      <c r="P7" s="274" t="str">
        <f t="shared" si="0"/>
        <v>Food</v>
      </c>
      <c r="Q7" s="282">
        <f t="shared" si="1"/>
        <v>2.7100000000000364</v>
      </c>
      <c r="R7" s="243">
        <f>31.35</f>
        <v>31.35</v>
      </c>
      <c r="S7" s="243">
        <f>376.06-O4</f>
        <v>-1607.5300000000002</v>
      </c>
    </row>
    <row r="8" spans="1:20" ht="15" customHeight="1">
      <c r="B8" s="734"/>
      <c r="C8" s="734"/>
      <c r="D8" s="13" t="s">
        <v>153</v>
      </c>
      <c r="E8" s="365">
        <v>0</v>
      </c>
      <c r="F8" s="365">
        <f>100+60+20+8.52</f>
        <v>188.52</v>
      </c>
      <c r="G8">
        <f>17.87+13.09</f>
        <v>30.96</v>
      </c>
      <c r="H8" s="305">
        <f>12.34</f>
        <v>12.34</v>
      </c>
      <c r="I8">
        <f>16.98</f>
        <v>16.98</v>
      </c>
      <c r="J8" s="362"/>
      <c r="K8">
        <f>64+34.73+16.34</f>
        <v>115.07</v>
      </c>
      <c r="L8" s="305"/>
      <c r="N8" s="305"/>
      <c r="O8" s="274">
        <f>SUM(E8:F8)-SUM(G8:N8)</f>
        <v>13.170000000000016</v>
      </c>
      <c r="P8" s="274" t="str">
        <f t="shared" si="0"/>
        <v>Luna</v>
      </c>
      <c r="Q8" s="282">
        <f t="shared" si="1"/>
        <v>0</v>
      </c>
      <c r="R8">
        <f>12.34</f>
        <v>12.34</v>
      </c>
    </row>
    <row r="9" spans="1:20" ht="15" customHeight="1">
      <c r="B9" s="734"/>
      <c r="C9" s="734"/>
      <c r="D9" s="13" t="s">
        <v>1079</v>
      </c>
      <c r="E9" s="365">
        <v>0</v>
      </c>
      <c r="F9" s="365">
        <f>40-8.52</f>
        <v>31.48</v>
      </c>
      <c r="H9" s="305">
        <f>8.98</f>
        <v>8.98</v>
      </c>
      <c r="J9" s="305"/>
      <c r="K9">
        <v>22.5</v>
      </c>
      <c r="L9" s="305"/>
      <c r="N9" s="305"/>
      <c r="O9" s="274">
        <f>SUM(E9:F9)-SUM(G9:N9)</f>
        <v>0</v>
      </c>
      <c r="P9" s="274" t="str">
        <f t="shared" si="0"/>
        <v>Creamy</v>
      </c>
      <c r="Q9" s="282">
        <f t="shared" si="1"/>
        <v>0</v>
      </c>
    </row>
    <row r="10" spans="1:20" ht="15" customHeight="1" outlineLevel="1">
      <c r="B10" s="734"/>
      <c r="C10" s="734"/>
      <c r="D10" s="201" t="s">
        <v>595</v>
      </c>
      <c r="E10" s="365">
        <v>0</v>
      </c>
      <c r="F10" s="365">
        <f>452.64</f>
        <v>452.64</v>
      </c>
      <c r="H10" s="305"/>
      <c r="J10" s="305"/>
      <c r="L10" s="305"/>
      <c r="M10">
        <f>452.64</f>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144.26</v>
      </c>
      <c r="H11" s="305"/>
      <c r="J11" s="305"/>
      <c r="L11" s="305"/>
      <c r="M11">
        <f>144.26</f>
        <v>144.26</v>
      </c>
      <c r="N11" s="305"/>
      <c r="O11" s="274">
        <f t="shared" si="2"/>
        <v>0</v>
      </c>
      <c r="P11" s="274" t="str">
        <f t="shared" si="0"/>
        <v>Council tax</v>
      </c>
      <c r="Q11" s="282">
        <f t="shared" si="1"/>
        <v>0</v>
      </c>
    </row>
    <row r="12" spans="1:20" ht="15" customHeight="1" outlineLevel="1">
      <c r="B12" s="734"/>
      <c r="C12" s="734"/>
      <c r="D12" s="201" t="s">
        <v>1002</v>
      </c>
      <c r="E12" s="365">
        <v>0</v>
      </c>
      <c r="F12" s="365">
        <f>46+107.57+1</f>
        <v>154.57</v>
      </c>
      <c r="H12" s="305"/>
      <c r="I12">
        <f>1+107.57</f>
        <v>108.57</v>
      </c>
      <c r="J12" s="305"/>
      <c r="L12" s="305"/>
      <c r="M12">
        <v>46</v>
      </c>
      <c r="N12" s="305"/>
      <c r="O12" s="274">
        <f>SUM(E12:F12)-SUM(G12:N12)</f>
        <v>0</v>
      </c>
      <c r="P12" s="274" t="str">
        <f t="shared" si="0"/>
        <v>Utilities (G,W,E,HTB)</v>
      </c>
      <c r="Q12" s="282">
        <f t="shared" si="1"/>
        <v>0</v>
      </c>
    </row>
    <row r="13" spans="1:20" ht="15" customHeight="1" outlineLevel="1">
      <c r="B13" s="734"/>
      <c r="C13" s="734"/>
      <c r="D13" s="201" t="s">
        <v>996</v>
      </c>
      <c r="E13" s="365">
        <v>0</v>
      </c>
      <c r="F13" s="365">
        <f>13.07</f>
        <v>13.07</v>
      </c>
      <c r="H13" s="305"/>
      <c r="J13" s="305"/>
      <c r="L13" s="305"/>
      <c r="N13" s="305"/>
      <c r="O13" s="274">
        <f>SUM(E13:F13)-SUM(G13:N13)</f>
        <v>13.07</v>
      </c>
      <c r="P13" s="274" t="str">
        <f t="shared" si="0"/>
        <v>Home Insurance</v>
      </c>
      <c r="Q13" s="282">
        <f t="shared" si="1"/>
        <v>0</v>
      </c>
    </row>
    <row r="14" spans="1:20" ht="15" customHeight="1" outlineLevel="1">
      <c r="B14" s="734"/>
      <c r="C14" s="734"/>
      <c r="D14" s="201" t="s">
        <v>359</v>
      </c>
      <c r="E14" s="365">
        <v>15</v>
      </c>
      <c r="F14" s="365">
        <f>15</f>
        <v>15</v>
      </c>
      <c r="H14" s="305"/>
      <c r="J14" s="305"/>
      <c r="L14" s="305"/>
      <c r="N14" s="305"/>
      <c r="O14" s="274">
        <f t="shared" si="2"/>
        <v>30</v>
      </c>
      <c r="P14" s="274" t="str">
        <f t="shared" si="0"/>
        <v>TV License</v>
      </c>
      <c r="Q14" s="282">
        <f t="shared" si="1"/>
        <v>0</v>
      </c>
    </row>
    <row r="15" spans="1:20" ht="15" customHeight="1" outlineLevel="1">
      <c r="B15" s="734"/>
      <c r="C15" s="734"/>
      <c r="D15" s="201" t="s">
        <v>1056</v>
      </c>
      <c r="E15" s="365">
        <v>0</v>
      </c>
      <c r="F15" s="365">
        <f>8+36.79+16.6</f>
        <v>61.39</v>
      </c>
      <c r="H15" s="305"/>
      <c r="I15">
        <f>16.6</f>
        <v>16.600000000000001</v>
      </c>
      <c r="J15" s="305"/>
      <c r="L15" s="305"/>
      <c r="M15">
        <f>8+36.77</f>
        <v>44.77</v>
      </c>
      <c r="N15" s="305"/>
      <c r="O15" s="274">
        <f>SUM(E15:F15)-SUM(G15:N15)</f>
        <v>1.9999999999996021E-2</v>
      </c>
      <c r="P15" s="274" t="str">
        <f t="shared" si="0"/>
        <v>Pet Health / Insurance</v>
      </c>
      <c r="Q15" s="282">
        <f t="shared" si="1"/>
        <v>0</v>
      </c>
    </row>
    <row r="16" spans="1:20" ht="15" customHeight="1" outlineLevel="1">
      <c r="B16" s="734"/>
      <c r="C16" s="734"/>
      <c r="D16" s="201" t="s">
        <v>1057</v>
      </c>
      <c r="E16" s="365">
        <v>0</v>
      </c>
      <c r="F16" s="365">
        <f>4.52+15.97+8.56</f>
        <v>29.050000000000004</v>
      </c>
      <c r="H16" s="305"/>
      <c r="I16" s="11">
        <v>29.05</v>
      </c>
      <c r="J16" s="305"/>
      <c r="L16" s="305"/>
      <c r="N16" s="305"/>
      <c r="O16" s="274">
        <f t="shared" si="2"/>
        <v>0</v>
      </c>
      <c r="P16" s="274" t="str">
        <f t="shared" si="0"/>
        <v>Life / Income Insurance</v>
      </c>
      <c r="Q16" s="282">
        <f t="shared" si="1"/>
        <v>0</v>
      </c>
    </row>
    <row r="17" spans="2:17" ht="15" customHeight="1" outlineLevel="1">
      <c r="B17" s="734"/>
      <c r="C17" s="734"/>
      <c r="D17" s="201" t="s">
        <v>602</v>
      </c>
      <c r="E17" s="365">
        <v>0</v>
      </c>
      <c r="F17" s="365">
        <f>26*1.09</f>
        <v>28.340000000000003</v>
      </c>
      <c r="H17" s="305"/>
      <c r="J17" s="305"/>
      <c r="L17" s="305"/>
      <c r="N17" s="305"/>
      <c r="O17" s="274">
        <f>SUM(E17:F17)-SUM(G17:N17)</f>
        <v>28.340000000000003</v>
      </c>
      <c r="P17" s="274" t="str">
        <f t="shared" si="0"/>
        <v>Broadband / TV</v>
      </c>
      <c r="Q17" s="282">
        <f t="shared" si="1"/>
        <v>0</v>
      </c>
    </row>
    <row r="18" spans="2:17" ht="15" customHeight="1" outlineLevel="1">
      <c r="B18" s="734"/>
      <c r="C18" s="734"/>
      <c r="D18" s="201" t="s">
        <v>582</v>
      </c>
      <c r="E18" s="365">
        <v>0</v>
      </c>
      <c r="F18" s="365">
        <v>7.99</v>
      </c>
      <c r="H18" s="305"/>
      <c r="J18" s="305"/>
      <c r="K18">
        <f>7.99</f>
        <v>7.99</v>
      </c>
      <c r="L18" s="305"/>
      <c r="N18" s="305"/>
      <c r="O18" s="274">
        <f>SUM(E18:F18)-SUM(G18:N18)</f>
        <v>0</v>
      </c>
      <c r="P18" s="274" t="str">
        <f t="shared" si="0"/>
        <v>Onedrive (6th)</v>
      </c>
      <c r="Q18" s="282">
        <f t="shared" si="1"/>
        <v>0</v>
      </c>
    </row>
    <row r="19" spans="2:17" ht="15" customHeight="1" outlineLevel="1">
      <c r="B19" s="734"/>
      <c r="C19" s="734"/>
      <c r="D19" s="201" t="s">
        <v>788</v>
      </c>
      <c r="E19" s="365">
        <v>0</v>
      </c>
      <c r="F19" s="365">
        <v>10.56</v>
      </c>
      <c r="G19">
        <f>10.56</f>
        <v>10.56</v>
      </c>
      <c r="H19" s="305"/>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29.75+34.68+42.5+13.56</f>
        <v>120.49000000000001</v>
      </c>
      <c r="H20" s="305"/>
      <c r="I20">
        <f>13.56+29.75+34.68+42.5</f>
        <v>120.49000000000001</v>
      </c>
      <c r="J20" s="305"/>
      <c r="L20" s="305"/>
      <c r="N20" s="305"/>
      <c r="O20" s="274">
        <f>SUM(E20:F20)-SUM(G20:N20)</f>
        <v>0</v>
      </c>
      <c r="P20" s="274" t="str">
        <f t="shared" si="0"/>
        <v>Car Tax / Insurance</v>
      </c>
      <c r="Q20" s="282">
        <f t="shared" si="1"/>
        <v>0</v>
      </c>
    </row>
    <row r="21" spans="2:17" ht="15" customHeight="1" outlineLevel="1">
      <c r="B21" s="734"/>
      <c r="C21" s="734"/>
      <c r="D21" s="201" t="s">
        <v>944</v>
      </c>
      <c r="E21" s="365">
        <v>0</v>
      </c>
      <c r="F21" s="365">
        <v>15</v>
      </c>
      <c r="H21" s="305"/>
      <c r="I21">
        <v>15</v>
      </c>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",G41*0.2," / Actual = ",D24," (",ROUND((D24/G41)*100,2),")")</f>
        <v>Savings - 20 - 812.286 / Actual = 150 (3.69)</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150</v>
      </c>
      <c r="E24" s="759"/>
      <c r="F24" s="319"/>
      <c r="H24" s="305"/>
      <c r="J24" s="305"/>
      <c r="L24" s="305"/>
      <c r="N24" s="305"/>
      <c r="O24" s="285">
        <f>SUMIF(O25:O29,"&gt;0")</f>
        <v>171.36000000000041</v>
      </c>
      <c r="P24" s="285" t="s">
        <v>895</v>
      </c>
      <c r="Q24" s="282">
        <f>SUM(Q25:Q29)</f>
        <v>0</v>
      </c>
    </row>
    <row r="25" spans="2:17" ht="15" customHeight="1" outlineLevel="1">
      <c r="B25" s="7" t="str">
        <f>"20% : " &amp; E$41*0.2</f>
        <v>20% : 914.568</v>
      </c>
      <c r="C25" s="7" t="str">
        <f>"20% : " &amp; E$41*0.2</f>
        <v>20% : 914.568</v>
      </c>
      <c r="D25" s="300" t="s">
        <v>590</v>
      </c>
      <c r="E25" s="365">
        <f>10.7+2.53</f>
        <v>13.229999999999999</v>
      </c>
      <c r="F25" s="365">
        <v>75</v>
      </c>
      <c r="H25" s="305"/>
      <c r="J25" s="305">
        <f>6.05</f>
        <v>6.05</v>
      </c>
      <c r="L25" s="315"/>
      <c r="N25" s="305"/>
      <c r="O25" s="274">
        <f>SUM(E25:F25)-SUM(G25:N25)-Q41</f>
        <v>21.360000000000412</v>
      </c>
      <c r="P25" s="274" t="str">
        <f t="shared" ref="P25:P29" si="3">D25</f>
        <v>Contingency</v>
      </c>
      <c r="Q25" s="282">
        <v>0</v>
      </c>
    </row>
    <row r="26" spans="2:17" ht="15" customHeight="1" outlineLevel="1">
      <c r="B26" s="7"/>
      <c r="C26" s="7"/>
      <c r="D26" s="300" t="s">
        <v>998</v>
      </c>
      <c r="E26" s="365">
        <v>75</v>
      </c>
      <c r="F26" s="365">
        <v>75</v>
      </c>
      <c r="G26" s="11"/>
      <c r="H26" s="306"/>
      <c r="J26" s="305"/>
      <c r="L26" s="305"/>
      <c r="N26" s="305"/>
      <c r="O26" s="274">
        <f>SUM(E26:F26)-SUM(G26:N26)</f>
        <v>150</v>
      </c>
      <c r="P26" s="274" t="str">
        <f t="shared" si="3"/>
        <v>Cars (Service / MOT)</v>
      </c>
      <c r="Q26" s="282">
        <f t="shared" ref="Q26:Q29" si="4">IF(O26&lt;0,O26*-1,0)</f>
        <v>0</v>
      </c>
    </row>
    <row r="27" spans="2:17" ht="15" customHeight="1" outlineLevel="1">
      <c r="B27" s="7"/>
      <c r="C27" s="7"/>
      <c r="D27" s="300" t="s">
        <v>999</v>
      </c>
      <c r="E27" s="365">
        <v>0</v>
      </c>
      <c r="F27" s="365">
        <v>0</v>
      </c>
      <c r="G27" s="11"/>
      <c r="H27" s="306"/>
      <c r="J27" s="305"/>
      <c r="L27" s="305"/>
      <c r="N27" s="305"/>
      <c r="O27" s="274">
        <f t="shared" ref="O27:O29" si="5">SUM(E27:F27)-SUM(G27:N27)</f>
        <v>0</v>
      </c>
      <c r="P27" s="274" t="str">
        <f t="shared" si="3"/>
        <v>Mortgage Overpayment</v>
      </c>
      <c r="Q27" s="282">
        <f t="shared" si="4"/>
        <v>0</v>
      </c>
    </row>
    <row r="28" spans="2:17" ht="15" customHeight="1" outlineLevel="1">
      <c r="B28" s="7"/>
      <c r="C28" s="7"/>
      <c r="D28" s="300" t="s">
        <v>1135</v>
      </c>
      <c r="E28" s="365">
        <v>0</v>
      </c>
      <c r="F28" s="365">
        <v>0</v>
      </c>
      <c r="G28" s="11"/>
      <c r="H28" s="306"/>
      <c r="J28" s="305"/>
      <c r="L28" s="305"/>
      <c r="N28" s="305"/>
      <c r="O28" s="274">
        <f t="shared" si="5"/>
        <v>0</v>
      </c>
      <c r="P28" s="274" t="str">
        <f t="shared" si="3"/>
        <v>Investment</v>
      </c>
      <c r="Q28" s="282">
        <f>IF(O27&lt;0,O27*-1,0)</f>
        <v>0</v>
      </c>
    </row>
    <row r="29" spans="2:17"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",G41*0.3," / Actual = ",D32," (",ROUND((D32/G41)*100,2),")")</f>
        <v>Wants - 30 - 1218.429 / Actual = 2119.07 (52.18)</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(E$41-D5-D24-E40)</f>
        <v>2119.0700000000006</v>
      </c>
      <c r="E32" s="727"/>
      <c r="F32" s="319">
        <f>SUM(F33:F38)</f>
        <v>2119.0700000000006</v>
      </c>
      <c r="H32" s="305"/>
      <c r="J32" s="305"/>
      <c r="L32" s="305"/>
      <c r="N32" s="305"/>
      <c r="O32" s="285">
        <f>SUMIF(O33:O37,"&gt;0")-O36</f>
        <v>398.90999999999985</v>
      </c>
      <c r="P32" s="285" t="s">
        <v>899</v>
      </c>
      <c r="Q32" s="282">
        <f>SUM(Q33:Q38)</f>
        <v>50.509999999999536</v>
      </c>
    </row>
    <row r="33" spans="2:19" ht="15" customHeight="1" outlineLevel="1">
      <c r="B33" s="734"/>
      <c r="C33" s="760"/>
      <c r="D33" s="300" t="s">
        <v>873</v>
      </c>
      <c r="E33" s="365">
        <f>129.94+30.65+26.14+60</f>
        <v>246.73000000000002</v>
      </c>
      <c r="F33" s="365">
        <f>500+7.99+50+33-400-63-50</f>
        <v>77.990000000000009</v>
      </c>
      <c r="H33" s="305"/>
      <c r="J33" s="305"/>
      <c r="L33" s="305"/>
      <c r="N33" s="305"/>
      <c r="O33" s="274">
        <f>SUM(E33:F33)-SUM(G33:N33)</f>
        <v>324.72000000000003</v>
      </c>
      <c r="P33" s="274" t="str">
        <f t="shared" ref="P33:P39" si="6">D33</f>
        <v>Maldives</v>
      </c>
      <c r="Q33" s="282">
        <f t="shared" ref="Q33:Q36" si="7">IF(O33&lt;0,O33*-1,0)</f>
        <v>0</v>
      </c>
      <c r="R33" s="11"/>
      <c r="S33" s="11"/>
    </row>
    <row r="34" spans="2:19" ht="15" customHeight="1" outlineLevel="1">
      <c r="B34" s="734"/>
      <c r="C34" s="760"/>
      <c r="D34" s="300" t="s">
        <v>869</v>
      </c>
      <c r="E34" s="365">
        <v>0</v>
      </c>
      <c r="F34" s="365">
        <f>350+400+63+50</f>
        <v>863</v>
      </c>
      <c r="H34" s="305"/>
      <c r="J34" s="305">
        <f>342.86+4.62</f>
        <v>347.48</v>
      </c>
      <c r="K34">
        <f>28+45+4.5+94+7.99+1.95+18</f>
        <v>199.44</v>
      </c>
      <c r="L34" s="305">
        <f>64.99+31.6+10+45.74+6.32+38.99+68.73+3</f>
        <v>269.37</v>
      </c>
      <c r="M34">
        <f>2.2+12.36+13+19.75</f>
        <v>47.31</v>
      </c>
      <c r="N34" s="305"/>
      <c r="O34" s="274">
        <f>SUM(E34:F34)-SUM(G34:N34)</f>
        <v>-0.60000000000013642</v>
      </c>
      <c r="P34" s="274" t="str">
        <f t="shared" si="6"/>
        <v>Scotland</v>
      </c>
      <c r="Q34" s="282">
        <f t="shared" si="7"/>
        <v>0.60000000000013642</v>
      </c>
      <c r="R34" s="11"/>
      <c r="S34" s="11"/>
    </row>
    <row r="35" spans="2:19" ht="15" customHeight="1" outlineLevel="1">
      <c r="B35" s="734"/>
      <c r="C35" s="760"/>
      <c r="D35" s="300" t="s">
        <v>170</v>
      </c>
      <c r="E35" s="365">
        <f>134.18-60</f>
        <v>74.180000000000007</v>
      </c>
      <c r="F35" s="365">
        <v>263</v>
      </c>
      <c r="G35">
        <f>23.97+80</f>
        <v>103.97</v>
      </c>
      <c r="H35" s="305">
        <f>37.99+16</f>
        <v>53.99</v>
      </c>
      <c r="J35" s="305">
        <f>30+(39.98-20)</f>
        <v>49.98</v>
      </c>
      <c r="L35" s="305">
        <f>55.05</f>
        <v>55.05</v>
      </c>
      <c r="N35" s="305"/>
      <c r="O35" s="274">
        <f>SUM(E35:F35)-SUM(G35:N35)</f>
        <v>74.19</v>
      </c>
      <c r="P35" s="274" t="str">
        <f t="shared" si="6"/>
        <v>Gift Fund</v>
      </c>
      <c r="Q35" s="282">
        <f t="shared" si="7"/>
        <v>0</v>
      </c>
      <c r="R35" s="11"/>
      <c r="S35" s="11"/>
    </row>
    <row r="36" spans="2:19" ht="15" customHeight="1" outlineLevel="1">
      <c r="B36" s="734"/>
      <c r="C36" s="760"/>
      <c r="D36" s="300" t="s">
        <v>812</v>
      </c>
      <c r="E36" s="365">
        <f>9044.01+100</f>
        <v>9144.01</v>
      </c>
      <c r="F36" s="365">
        <f>800+100+20-150-(2557.08)</f>
        <v>-1787.08</v>
      </c>
      <c r="H36" s="366"/>
      <c r="J36" s="305">
        <v>22.09</v>
      </c>
      <c r="L36" s="305"/>
      <c r="N36" s="305">
        <f>(254.91-62.97)+237.88+26.6+26.6</f>
        <v>483.02000000000004</v>
      </c>
      <c r="O36" s="274">
        <f>SUM(E36:F36)-SUM(G36:N36)</f>
        <v>6851.8200000000006</v>
      </c>
      <c r="P36" s="274" t="str">
        <f t="shared" si="6"/>
        <v>Wedding</v>
      </c>
      <c r="Q36" s="282">
        <f t="shared" si="7"/>
        <v>0</v>
      </c>
      <c r="R36" s="11"/>
      <c r="S36" s="349"/>
    </row>
    <row r="37" spans="2:19" ht="15.75" customHeight="1" outlineLevel="1">
      <c r="B37" s="734"/>
      <c r="C37" s="760"/>
      <c r="D37" s="13" t="s">
        <v>781</v>
      </c>
      <c r="E37" s="365">
        <v>0</v>
      </c>
      <c r="F37" s="365">
        <f>13+2+6.99+10.99+2.99+25</f>
        <v>60.970000000000006</v>
      </c>
      <c r="G37">
        <f>13</f>
        <v>13</v>
      </c>
      <c r="H37" s="305"/>
      <c r="I37">
        <f>2+10.99</f>
        <v>12.99</v>
      </c>
      <c r="J37" s="305"/>
      <c r="K37">
        <f>2.99+25+6.99</f>
        <v>34.980000000000004</v>
      </c>
      <c r="L37" s="305"/>
      <c r="N37" s="305"/>
      <c r="O37" s="274">
        <f t="shared" ref="O37:O39" si="8">SUM(E37:F37)-SUM(G37:N37)</f>
        <v>0</v>
      </c>
      <c r="P37" s="274" t="str">
        <f t="shared" si="6"/>
        <v>Subscriptions</v>
      </c>
      <c r="Q37" s="282">
        <f>IF(O37&lt;0,O37*-1,0)</f>
        <v>0</v>
      </c>
      <c r="S37" s="349"/>
    </row>
    <row r="38" spans="2:19" ht="18" outlineLevel="1">
      <c r="B38" s="734"/>
      <c r="C38" s="760"/>
      <c r="D38" s="13" t="s">
        <v>922</v>
      </c>
      <c r="E38" s="365">
        <f>13.04+46.24+7.99</f>
        <v>67.27</v>
      </c>
      <c r="F38" s="365">
        <f>(D32-SUM(F33:F37))-F39</f>
        <v>2641.1900000000005</v>
      </c>
      <c r="H38" s="305">
        <f>59.55+3.29+65</f>
        <v>127.84</v>
      </c>
      <c r="J38" s="305">
        <f>19.98+1.85+4.5</f>
        <v>26.330000000000002</v>
      </c>
      <c r="K38">
        <f>4.6+11+(2.48+2.5+3.5+5+18.04)+(1000+1557.08)</f>
        <v>2604.1999999999998</v>
      </c>
      <c r="L38" s="305"/>
      <c r="N38" s="305"/>
      <c r="O38" s="274">
        <f>SUM(E38:F38)-SUM(G38:N38)</f>
        <v>-49.9099999999994</v>
      </c>
      <c r="P38" s="274" t="str">
        <f t="shared" si="6"/>
        <v>Matt Fun</v>
      </c>
      <c r="Q38" s="282">
        <f>IF(SUM(E38:F38)-SUM(G38:N38)&lt;=0,(SUM(E38:F38)-SUM(G38:N38))*-1,0)</f>
        <v>49.9099999999994</v>
      </c>
      <c r="R38">
        <f>44.62+8+82.1</f>
        <v>134.72</v>
      </c>
    </row>
    <row r="39" spans="2:19" ht="18" outlineLevel="1">
      <c r="B39" s="7"/>
      <c r="C39" s="284"/>
      <c r="D39" s="13" t="s">
        <v>152</v>
      </c>
      <c r="E39" s="365">
        <v>0</v>
      </c>
      <c r="F39" s="365">
        <v>0</v>
      </c>
      <c r="H39" s="305"/>
      <c r="J39" s="305"/>
      <c r="L39" s="305"/>
      <c r="N39" s="305"/>
      <c r="O39" s="274">
        <f t="shared" si="8"/>
        <v>0</v>
      </c>
      <c r="P39" s="274" t="str">
        <f t="shared" si="6"/>
        <v>Kris</v>
      </c>
      <c r="Q39" s="271">
        <f>IF(F39-SUM(G39:N39)&lt;=0,(F39-SUM(G39:N39))*-1,0)</f>
        <v>0</v>
      </c>
      <c r="R39">
        <f>54+71.9</f>
        <v>125.9</v>
      </c>
    </row>
    <row r="40" spans="2:19">
      <c r="B40" s="118"/>
      <c r="C40" s="118"/>
      <c r="E40" s="365">
        <f>SUM(E33:E39)+SUM(E25:E29)+SUM(E6:E21)-E36</f>
        <v>491.40999999999985</v>
      </c>
      <c r="F40" s="365"/>
      <c r="H40" s="7"/>
      <c r="J40" s="7"/>
      <c r="L40" s="7"/>
      <c r="N40" s="7"/>
      <c r="O40" s="273"/>
      <c r="P40" s="273"/>
      <c r="Q40" s="282"/>
    </row>
    <row r="41" spans="2:19" ht="18">
      <c r="B41" s="728" t="s">
        <v>817</v>
      </c>
      <c r="C41" s="728"/>
      <c r="D41" s="728"/>
      <c r="E41" s="375">
        <f>G41+I41+K41+M41+N41+E40</f>
        <v>4572.84</v>
      </c>
      <c r="F41" s="379"/>
      <c r="G41" s="271">
        <f>2693.43+15+1250+50+20+33</f>
        <v>4061.43</v>
      </c>
      <c r="H41" s="271"/>
      <c r="I41" s="271"/>
      <c r="J41" s="271"/>
      <c r="K41" s="271">
        <f>20</f>
        <v>20</v>
      </c>
      <c r="L41" s="271"/>
      <c r="M41" s="271"/>
      <c r="N41" s="271"/>
      <c r="O41" s="314" t="str">
        <f>"£" &amp; ROUND(O5+O32+O24+IF(O38&lt;0,0,O38)+O39+O4,2) &amp; " / " &amp; "£" &amp; E41</f>
        <v>£2638.46 / £4572.84</v>
      </c>
      <c r="P41" s="274"/>
      <c r="Q41" s="282">
        <f>SUM(Q32,Q24,Q5)</f>
        <v>60.819999999999595</v>
      </c>
    </row>
    <row r="42" spans="2:19">
      <c r="B42" s="118"/>
      <c r="C42" s="7"/>
      <c r="E42" s="365"/>
      <c r="F42" s="365"/>
      <c r="G42" s="365"/>
      <c r="H42" s="365"/>
    </row>
    <row r="43" spans="2:19" ht="14.4">
      <c r="B43" s="729"/>
      <c r="C43" s="729"/>
      <c r="D43" s="729"/>
      <c r="E43" s="729"/>
      <c r="F43" s="729"/>
      <c r="G43" s="729"/>
      <c r="H43" s="297"/>
      <c r="K43" s="729"/>
      <c r="L43" s="729"/>
      <c r="M43" s="729"/>
      <c r="N43" s="729"/>
      <c r="O43" s="729"/>
      <c r="P43" s="297"/>
    </row>
    <row r="44" spans="2:19" ht="15" customHeight="1">
      <c r="B44" s="726" t="s">
        <v>955</v>
      </c>
      <c r="C44" s="726"/>
      <c r="D44" s="726"/>
      <c r="E44" s="726"/>
      <c r="F44" s="348"/>
      <c r="K44" s="212"/>
      <c r="L44" s="212"/>
      <c r="N44" s="118" t="s">
        <v>991</v>
      </c>
      <c r="O44" s="316">
        <v>44670</v>
      </c>
      <c r="P44" s="7">
        <f ca="1">DATEDIF(O44,NOW(),"d")</f>
        <v>1581</v>
      </c>
      <c r="Q44">
        <v>452</v>
      </c>
      <c r="R44" t="s">
        <v>1136</v>
      </c>
    </row>
    <row r="45" spans="2:19">
      <c r="B45" s="365"/>
      <c r="C45" s="38"/>
      <c r="E45" s="11"/>
      <c r="F45" s="11"/>
      <c r="G45" s="367"/>
      <c r="H45" s="243"/>
      <c r="L45" s="214"/>
      <c r="N45" s="322" t="s">
        <v>992</v>
      </c>
      <c r="O45" s="316">
        <v>44670</v>
      </c>
      <c r="P45" s="7">
        <f ca="1">DATEDIF(O45,NOW(),"d")</f>
        <v>1581</v>
      </c>
      <c r="Q45">
        <v>8.98</v>
      </c>
      <c r="R45" t="s">
        <v>1137</v>
      </c>
    </row>
    <row r="46" spans="2:19">
      <c r="E46" s="365"/>
      <c r="F46" s="365"/>
      <c r="G46" s="11"/>
      <c r="H46" s="11"/>
      <c r="L46" s="243"/>
      <c r="O46"/>
      <c r="P46"/>
    </row>
    <row r="47" spans="2:19" ht="16.2" customHeight="1">
      <c r="D47" s="212"/>
      <c r="E47" s="278"/>
      <c r="F47" s="278"/>
      <c r="G47" s="740"/>
      <c r="H47" s="740"/>
      <c r="I47" s="740"/>
      <c r="J47" s="740"/>
      <c r="K47" s="740"/>
      <c r="L47" s="371" t="s">
        <v>1138</v>
      </c>
      <c r="M47" s="371" t="s">
        <v>1139</v>
      </c>
      <c r="O47" s="292"/>
      <c r="P47" s="212"/>
    </row>
    <row r="48" spans="2:19">
      <c r="B48" s="378"/>
      <c r="E48" s="230"/>
      <c r="F48" s="361"/>
      <c r="G48" s="11"/>
      <c r="H48" s="89"/>
      <c r="I48" s="7"/>
      <c r="J48" s="284"/>
      <c r="K48" s="342"/>
      <c r="L48" s="371" t="s">
        <v>1140</v>
      </c>
      <c r="M48" s="371"/>
      <c r="N48" s="56"/>
      <c r="O48" s="243"/>
      <c r="P48" s="56"/>
    </row>
    <row r="49" spans="2:17">
      <c r="E49" s="370"/>
      <c r="F49" s="361"/>
      <c r="G49" s="11"/>
      <c r="H49" s="89"/>
      <c r="I49" s="230"/>
      <c r="J49" s="11"/>
      <c r="K49" s="230"/>
      <c r="L49" s="243"/>
      <c r="M49" s="365"/>
      <c r="N49" s="243"/>
      <c r="O49" s="11"/>
      <c r="P49"/>
    </row>
    <row r="50" spans="2:17">
      <c r="E50" s="380"/>
      <c r="F50" s="381"/>
      <c r="G50" s="38"/>
      <c r="H50" s="361"/>
      <c r="I50" s="230"/>
      <c r="J50" s="11"/>
      <c r="M50" s="365"/>
      <c r="N50" s="243"/>
      <c r="O50" s="284"/>
      <c r="P50" s="212"/>
      <c r="Q50" s="212"/>
    </row>
    <row r="51" spans="2:17">
      <c r="E51" s="89"/>
      <c r="F51" s="89"/>
      <c r="G51" s="767"/>
      <c r="H51" s="767"/>
      <c r="I51" s="767"/>
      <c r="J51" s="767"/>
      <c r="K51" s="767"/>
      <c r="M51" s="365"/>
      <c r="N51" s="56"/>
      <c r="O51" s="56"/>
      <c r="P51" s="56"/>
      <c r="Q51" s="38"/>
    </row>
    <row r="52" spans="2:17">
      <c r="E52" s="380"/>
      <c r="F52" s="360"/>
      <c r="G52" s="11"/>
      <c r="H52" s="230"/>
      <c r="I52" s="230"/>
      <c r="J52" s="11"/>
      <c r="M52" s="365"/>
      <c r="N52" s="56"/>
    </row>
    <row r="53" spans="2:17">
      <c r="E53" s="360"/>
      <c r="F53" s="360"/>
      <c r="G53" s="767"/>
      <c r="H53" s="767"/>
      <c r="I53" s="767"/>
      <c r="J53" s="767"/>
      <c r="K53" s="767"/>
      <c r="L53" s="243"/>
      <c r="M53" s="382"/>
      <c r="N53" s="363"/>
    </row>
    <row r="54" spans="2:17">
      <c r="E54" s="365"/>
      <c r="F54" s="381"/>
      <c r="G54" s="11"/>
      <c r="H54" s="38"/>
      <c r="I54" s="89"/>
      <c r="J54" s="368"/>
      <c r="L54" s="243"/>
      <c r="N54" s="364"/>
      <c r="O54" s="275"/>
      <c r="P54" s="275"/>
    </row>
    <row r="55" spans="2:17">
      <c r="B55" s="11"/>
      <c r="E55" s="365"/>
      <c r="F55" s="365"/>
      <c r="G55" s="11"/>
      <c r="H55" s="38"/>
      <c r="I55" s="11"/>
      <c r="J55" s="11"/>
      <c r="L55" s="243"/>
      <c r="N55" s="364"/>
    </row>
    <row r="56" spans="2:17" ht="14.4">
      <c r="B56" s="11"/>
      <c r="E56"/>
      <c r="F56"/>
      <c r="G56" s="11"/>
      <c r="H56" s="38"/>
      <c r="I56" s="11"/>
      <c r="J56" s="11"/>
      <c r="K56" s="11"/>
      <c r="L56" s="79"/>
      <c r="O56"/>
      <c r="P56"/>
    </row>
    <row r="57" spans="2:17">
      <c r="E57"/>
      <c r="F57"/>
      <c r="G57" s="11"/>
      <c r="H57" s="38"/>
      <c r="I57" s="11"/>
      <c r="J57" s="353"/>
      <c r="K57" s="243"/>
      <c r="L57" s="243"/>
      <c r="N57" s="278"/>
      <c r="O57" s="212"/>
      <c r="P57" s="212"/>
    </row>
    <row r="58" spans="2:17">
      <c r="B58" s="212"/>
      <c r="C58" s="212"/>
      <c r="E58" s="243"/>
      <c r="F58"/>
      <c r="G58" s="11"/>
      <c r="H58" s="38"/>
      <c r="I58" s="11"/>
      <c r="J58" s="349"/>
      <c r="K58" s="243"/>
      <c r="N58" s="376"/>
      <c r="O58" s="214"/>
      <c r="P58" s="214"/>
    </row>
    <row r="59" spans="2:17">
      <c r="C59" s="56"/>
      <c r="D59" s="243"/>
      <c r="E59"/>
      <c r="F59"/>
      <c r="G59" s="11"/>
      <c r="H59" s="38"/>
      <c r="I59" s="11"/>
      <c r="J59" s="349"/>
      <c r="K59" s="243"/>
      <c r="N59" s="365"/>
      <c r="O59"/>
      <c r="P59"/>
    </row>
    <row r="60" spans="2:17">
      <c r="C60" s="56"/>
      <c r="E60"/>
      <c r="F60"/>
      <c r="G60" s="243"/>
      <c r="H60" s="38"/>
      <c r="I60" s="11"/>
      <c r="J60" s="349"/>
      <c r="K60" s="243"/>
      <c r="N60" s="278"/>
      <c r="O60" s="212"/>
      <c r="P60" s="212"/>
    </row>
    <row r="61" spans="2:17">
      <c r="C61" s="56"/>
      <c r="E61"/>
      <c r="F61"/>
      <c r="G61" s="11"/>
      <c r="H61" s="38"/>
      <c r="I61" s="11"/>
      <c r="J61" s="11"/>
      <c r="K61" s="11"/>
      <c r="N61" s="365"/>
      <c r="O61" s="56"/>
      <c r="P61" s="56"/>
    </row>
    <row r="62" spans="2:17">
      <c r="C62" s="56"/>
      <c r="E62"/>
      <c r="F62"/>
      <c r="G62" s="11"/>
      <c r="H62" s="38"/>
      <c r="I62" s="11"/>
      <c r="N62" s="365"/>
      <c r="O62"/>
      <c r="P62"/>
    </row>
    <row r="63" spans="2:17">
      <c r="C63" s="56"/>
      <c r="E63" s="243"/>
      <c r="F63"/>
      <c r="G63" s="11"/>
      <c r="H63" s="38"/>
      <c r="I63" s="11"/>
      <c r="J63" s="349"/>
      <c r="N63" s="278"/>
      <c r="O63" s="212"/>
      <c r="P63" s="212"/>
    </row>
    <row r="64" spans="2:17">
      <c r="C64" s="56"/>
      <c r="D64" s="243"/>
      <c r="E64"/>
      <c r="F64"/>
      <c r="G64" s="11"/>
      <c r="H64" s="38"/>
      <c r="I64" s="11"/>
      <c r="J64" s="349"/>
      <c r="N64" s="365"/>
      <c r="O64" s="38"/>
      <c r="P64" s="56"/>
    </row>
    <row r="65" spans="2:15" ht="14.4">
      <c r="C65" s="56"/>
      <c r="E65"/>
      <c r="F65"/>
      <c r="H65" s="38"/>
      <c r="I65" s="11"/>
      <c r="O65"/>
    </row>
    <row r="66" spans="2:15" ht="14.4">
      <c r="C66" s="56"/>
      <c r="E66" s="347"/>
      <c r="F66"/>
      <c r="H66" s="38"/>
      <c r="I66" s="11"/>
    </row>
    <row r="67" spans="2:15" ht="14.4">
      <c r="C67" s="56"/>
      <c r="E67" s="332"/>
      <c r="F67" s="332"/>
      <c r="G67" s="212"/>
    </row>
    <row r="68" spans="2:15" ht="14.4">
      <c r="C68" s="56"/>
      <c r="E68"/>
      <c r="F68"/>
      <c r="G68" s="243"/>
    </row>
    <row r="69" spans="2:15" ht="14.4">
      <c r="C69" s="56"/>
      <c r="E69"/>
      <c r="F69"/>
      <c r="G69" s="243"/>
    </row>
    <row r="70" spans="2:15">
      <c r="E70" s="365"/>
      <c r="F70" s="365"/>
      <c r="G70" s="243"/>
    </row>
    <row r="71" spans="2:15" ht="14.4">
      <c r="B71" s="212"/>
      <c r="C71" s="294"/>
      <c r="D71" s="212"/>
      <c r="E71" s="212"/>
      <c r="F71" s="212"/>
      <c r="G71" s="243"/>
      <c r="H71" s="212"/>
    </row>
    <row r="72" spans="2:15" ht="14.4">
      <c r="C72" s="56"/>
      <c r="D72" s="56"/>
      <c r="E72" s="56"/>
      <c r="F72" s="56"/>
      <c r="G72" s="56"/>
      <c r="H72" s="56"/>
    </row>
    <row r="73" spans="2:15" ht="14.4">
      <c r="C73" s="56"/>
      <c r="D73" s="56"/>
      <c r="E73" s="56"/>
      <c r="F73" s="56"/>
      <c r="G73" s="56"/>
      <c r="H73" s="56"/>
    </row>
    <row r="74" spans="2:15" ht="14.4">
      <c r="C74" s="56"/>
      <c r="D74" s="56"/>
      <c r="E74" s="56"/>
      <c r="F74" s="56"/>
      <c r="G74" s="56"/>
      <c r="H74" s="56"/>
    </row>
    <row r="75" spans="2:15" ht="14.4">
      <c r="C75" s="56"/>
      <c r="D75" s="56"/>
      <c r="E75" s="56"/>
      <c r="F75" s="56"/>
      <c r="G75" s="56"/>
      <c r="H75" s="56"/>
    </row>
    <row r="76" spans="2:15" ht="14.4">
      <c r="C76" s="56"/>
      <c r="D76" s="56"/>
      <c r="E76" s="56"/>
      <c r="F76" s="56"/>
      <c r="G76" s="56"/>
      <c r="H76" s="56"/>
    </row>
    <row r="77" spans="2:15" ht="14.4">
      <c r="C77" s="56"/>
      <c r="E77" s="56"/>
      <c r="F77" s="56"/>
    </row>
    <row r="79" spans="2:15" ht="14.4">
      <c r="E79" s="212"/>
      <c r="F79" s="212"/>
      <c r="G79" s="212"/>
      <c r="H79" s="212"/>
    </row>
    <row r="80" spans="2:15" ht="14.4">
      <c r="E80" s="56"/>
      <c r="F80" s="56"/>
      <c r="G80" s="56"/>
      <c r="H80" s="56"/>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row>
    <row r="87" spans="5:8" ht="14.4">
      <c r="E87" s="212"/>
      <c r="F87" s="212"/>
      <c r="G87" s="212"/>
      <c r="H87" s="212"/>
    </row>
    <row r="88" spans="5:8" ht="14.4">
      <c r="E88" s="56"/>
      <c r="F88" s="56"/>
      <c r="G88" s="56"/>
      <c r="H88" s="56"/>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row>
    <row r="94" spans="5:8">
      <c r="E94" s="365"/>
      <c r="F94" s="365"/>
    </row>
  </sheetData>
  <mergeCells count="26">
    <mergeCell ref="B4:E4"/>
    <mergeCell ref="B1:O1"/>
    <mergeCell ref="G3:H3"/>
    <mergeCell ref="I3:J3"/>
    <mergeCell ref="K3:L3"/>
    <mergeCell ref="M3:N3"/>
    <mergeCell ref="B41:D41"/>
    <mergeCell ref="B5:C5"/>
    <mergeCell ref="D5:E5"/>
    <mergeCell ref="B6:B21"/>
    <mergeCell ref="C6:C21"/>
    <mergeCell ref="B23:E23"/>
    <mergeCell ref="B24:C24"/>
    <mergeCell ref="D24:E24"/>
    <mergeCell ref="B31:E31"/>
    <mergeCell ref="B32:C32"/>
    <mergeCell ref="D32:E32"/>
    <mergeCell ref="B33:B38"/>
    <mergeCell ref="C33:C38"/>
    <mergeCell ref="G53:K53"/>
    <mergeCell ref="B43:G43"/>
    <mergeCell ref="K43:O43"/>
    <mergeCell ref="B44:C44"/>
    <mergeCell ref="D44:E44"/>
    <mergeCell ref="G47:K47"/>
    <mergeCell ref="G51:K51"/>
  </mergeCells>
  <pageMargins left="0.7" right="0.7" top="0.75" bottom="0.75" header="0.3" footer="0.3"/>
  <pageSetup orientation="portrait" r:id="rId1"/>
  <legacy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0FAF0-2DB0-4AD9-A670-1BFC431D32A2}">
  <dimension ref="A1:T94"/>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MAR-APR 2022</v>
      </c>
      <c r="B1" s="730" t="str">
        <f ca="1">MID(CELL("filename",B1),FIND("]",CELL("filename",B1))+1,255)</f>
        <v>APR-MAY 2022</v>
      </c>
      <c r="C1" s="731"/>
      <c r="D1" s="731"/>
      <c r="E1" s="731"/>
      <c r="F1" s="731"/>
      <c r="G1" s="731"/>
      <c r="H1" s="731"/>
      <c r="I1" s="731"/>
      <c r="J1" s="731"/>
      <c r="K1" s="731"/>
      <c r="L1" s="731"/>
      <c r="M1" s="731"/>
      <c r="N1" s="731"/>
      <c r="O1" s="731"/>
      <c r="P1" s="298"/>
      <c r="Q1" s="281"/>
      <c r="R1" s="272"/>
      <c r="S1" s="272"/>
      <c r="T1" s="272"/>
    </row>
    <row r="2" spans="1:20">
      <c r="B2" s="118"/>
      <c r="C2" s="118"/>
      <c r="E2" s="365">
        <f>2742.7-F2</f>
        <v>-181.16000000000031</v>
      </c>
      <c r="F2" s="365">
        <f>2590.53+H4</f>
        <v>2923.86</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ROUND(O5+O32+O24+IF(O38&lt;0,0,O38)+O39+O4,2) &amp; " / " &amp; "£" &amp; E41</f>
        <v>£3663.86 / £4842.87</v>
      </c>
      <c r="E3" s="365">
        <f>2802.81-2787.81</f>
        <v>15</v>
      </c>
      <c r="F3" s="365"/>
      <c r="G3" s="732">
        <v>44676</v>
      </c>
      <c r="H3" s="732"/>
      <c r="I3" s="732">
        <f>G3+7</f>
        <v>44683</v>
      </c>
      <c r="J3" s="732"/>
      <c r="K3" s="732">
        <f>I3+7</f>
        <v>44690</v>
      </c>
      <c r="L3" s="732"/>
      <c r="M3" s="732">
        <f>K3+7</f>
        <v>44697</v>
      </c>
      <c r="N3" s="732"/>
      <c r="O3" s="325"/>
      <c r="P3" s="325"/>
      <c r="Q3" s="282"/>
    </row>
    <row r="4" spans="1:20" ht="15" customHeight="1">
      <c r="B4" s="727" t="str">
        <f>_xlfn.CONCAT("Expenses - 50 - ",G41*0.5," / Actual = ",D5," (",ROUND((D5/G41)*100,2),")")</f>
        <v>Expenses - 50 - 2094 / Actual = 1852.52 (44.23)</v>
      </c>
      <c r="C4" s="727"/>
      <c r="D4" s="727"/>
      <c r="E4" s="727"/>
      <c r="F4" s="318"/>
      <c r="H4" s="243">
        <f>SUM(H5:H39)</f>
        <v>333.33000000000004</v>
      </c>
      <c r="J4" s="243">
        <f>SUM(J5:J39)</f>
        <v>0</v>
      </c>
      <c r="L4" s="243">
        <f>SUM(L5:L39)</f>
        <v>0</v>
      </c>
      <c r="N4" s="243">
        <f>SUM(N5:N39)</f>
        <v>0</v>
      </c>
      <c r="O4" s="308">
        <f>IF(H40&lt;&gt;"PAID",H4,0)+IF(J40&lt;&gt;"PAID",J4,0)+IF(L40&lt;&gt;"PAID",L4,0)+IF(N40&lt;&gt;"PAID",N4,0)</f>
        <v>333.33000000000004</v>
      </c>
      <c r="P4" s="309" t="s">
        <v>973</v>
      </c>
      <c r="Q4" s="282"/>
      <c r="R4" s="243"/>
      <c r="S4" s="243"/>
    </row>
    <row r="5" spans="1:20" ht="15" customHeight="1">
      <c r="B5" s="733" t="str">
        <f>IF(D5&gt;E$41*0.5,ROUND(D5-E$41*0.5,2) &amp; " Over",ROUND(E$41*0.5-D5,2) &amp; " Under")</f>
        <v>568.92 Under</v>
      </c>
      <c r="C5" s="733"/>
      <c r="D5" s="761">
        <f>SUM(F6:F21)</f>
        <v>1852.5199999999998</v>
      </c>
      <c r="E5" s="761"/>
      <c r="F5" s="321"/>
      <c r="G5" s="284"/>
      <c r="H5" s="306"/>
      <c r="I5" s="79"/>
      <c r="J5" s="306"/>
      <c r="K5" s="79"/>
      <c r="L5" s="306"/>
      <c r="M5" s="79"/>
      <c r="N5" s="305"/>
      <c r="O5" s="285">
        <f>SUMIF(O6:O21,"&gt;0")</f>
        <v>1750.37</v>
      </c>
      <c r="P5" s="285" t="s">
        <v>892</v>
      </c>
      <c r="Q5" s="282">
        <f>SUM(Q6:Q21)</f>
        <v>0</v>
      </c>
      <c r="R5" s="243"/>
    </row>
    <row r="6" spans="1:20" ht="15" customHeight="1">
      <c r="B6" s="734" t="str">
        <f>"50%: " &amp; E$41*0.5</f>
        <v>50%: 2421.435</v>
      </c>
      <c r="C6" s="734" t="str">
        <f>ROUND((D5/E$41)*100,2) &amp; "%: " &amp;D5</f>
        <v>38.25%: 1852.52</v>
      </c>
      <c r="D6" s="13" t="s">
        <v>805</v>
      </c>
      <c r="E6" s="365">
        <v>0</v>
      </c>
      <c r="F6" s="374">
        <v>200</v>
      </c>
      <c r="H6" s="305">
        <v>50.03</v>
      </c>
      <c r="J6" s="305"/>
      <c r="L6" s="305"/>
      <c r="N6" s="305"/>
      <c r="O6" s="274">
        <f>SUM(E6:F6)-SUM(G6:N6)</f>
        <v>149.97</v>
      </c>
      <c r="P6" s="274" t="str">
        <f t="shared" ref="P6:P21" si="0">D6</f>
        <v>Car Petrol / commuting</v>
      </c>
      <c r="Q6" s="282">
        <f t="shared" ref="Q6:Q21" si="1">IF(O6&lt;0,O6*-1,0)</f>
        <v>0</v>
      </c>
      <c r="R6" s="243"/>
    </row>
    <row r="7" spans="1:20" ht="15" customHeight="1">
      <c r="B7" s="734"/>
      <c r="C7" s="734"/>
      <c r="D7" s="13" t="s">
        <v>169</v>
      </c>
      <c r="E7" s="365">
        <v>0</v>
      </c>
      <c r="F7" s="365">
        <v>400</v>
      </c>
      <c r="G7">
        <f>7.94+29.45</f>
        <v>37.39</v>
      </c>
      <c r="H7" s="305">
        <v>31.35</v>
      </c>
      <c r="J7" s="305"/>
      <c r="L7" s="305"/>
      <c r="N7" s="305"/>
      <c r="O7" s="274">
        <f>SUM(E7:F7)-SUM(G7:N7)</f>
        <v>331.26</v>
      </c>
      <c r="P7" s="274" t="str">
        <f t="shared" si="0"/>
        <v>Food</v>
      </c>
      <c r="Q7" s="282">
        <f t="shared" si="1"/>
        <v>0</v>
      </c>
      <c r="R7" s="243"/>
    </row>
    <row r="8" spans="1:20" ht="15" customHeight="1">
      <c r="B8" s="734"/>
      <c r="C8" s="734"/>
      <c r="D8" s="13" t="s">
        <v>153</v>
      </c>
      <c r="E8" s="365">
        <v>13.170000000000016</v>
      </c>
      <c r="F8" s="365">
        <f>100+60</f>
        <v>160</v>
      </c>
      <c r="G8">
        <v>27.14</v>
      </c>
      <c r="H8" s="305">
        <v>12.34</v>
      </c>
      <c r="J8" s="362"/>
      <c r="L8" s="305"/>
      <c r="N8" s="305"/>
      <c r="O8" s="274">
        <f>SUM(E8:F8)-SUM(G8:N8)</f>
        <v>133.69</v>
      </c>
      <c r="P8" s="274" t="str">
        <f t="shared" si="0"/>
        <v>Luna</v>
      </c>
      <c r="Q8" s="282">
        <f t="shared" si="1"/>
        <v>0</v>
      </c>
    </row>
    <row r="9" spans="1:20" ht="15" customHeight="1">
      <c r="B9" s="734"/>
      <c r="C9" s="734"/>
      <c r="D9" s="13" t="s">
        <v>1079</v>
      </c>
      <c r="E9" s="365">
        <v>0</v>
      </c>
      <c r="F9" s="365">
        <v>40</v>
      </c>
      <c r="H9" s="305"/>
      <c r="J9" s="305"/>
      <c r="L9" s="305"/>
      <c r="N9" s="305"/>
      <c r="O9" s="274">
        <f>SUM(E9:F9)-SUM(G9:N9)</f>
        <v>40</v>
      </c>
      <c r="P9" s="274" t="str">
        <f t="shared" si="0"/>
        <v>Creamy</v>
      </c>
      <c r="Q9" s="282">
        <f t="shared" si="1"/>
        <v>0</v>
      </c>
    </row>
    <row r="10" spans="1:20" ht="15" customHeight="1" outlineLevel="1">
      <c r="B10" s="734"/>
      <c r="C10" s="734"/>
      <c r="D10" s="201" t="s">
        <v>595</v>
      </c>
      <c r="E10" s="365">
        <v>0</v>
      </c>
      <c r="F10" s="365">
        <f>452.64</f>
        <v>452.64</v>
      </c>
      <c r="H10" s="305"/>
      <c r="J10" s="305"/>
      <c r="L10" s="305"/>
      <c r="N10" s="305"/>
      <c r="O10" s="274">
        <f t="shared" ref="O10:O16" si="2">SUM(E10:F10)-SUM(G10:N10)</f>
        <v>452.64</v>
      </c>
      <c r="P10" s="274" t="str">
        <f t="shared" si="0"/>
        <v>Mortgage</v>
      </c>
      <c r="Q10" s="282">
        <f t="shared" si="1"/>
        <v>0</v>
      </c>
      <c r="R10" s="243"/>
    </row>
    <row r="11" spans="1:20" ht="15" customHeight="1" outlineLevel="1">
      <c r="B11" s="734"/>
      <c r="C11" s="734"/>
      <c r="D11" s="201" t="s">
        <v>596</v>
      </c>
      <c r="E11" s="365">
        <v>0</v>
      </c>
      <c r="F11" s="365">
        <v>144.26</v>
      </c>
      <c r="H11" s="305"/>
      <c r="J11" s="305"/>
      <c r="L11" s="305"/>
      <c r="N11" s="305"/>
      <c r="O11" s="274">
        <f t="shared" si="2"/>
        <v>144.26</v>
      </c>
      <c r="P11" s="274" t="str">
        <f t="shared" si="0"/>
        <v>Council tax</v>
      </c>
      <c r="Q11" s="282">
        <f t="shared" si="1"/>
        <v>0</v>
      </c>
    </row>
    <row r="12" spans="1:20" ht="15" customHeight="1" outlineLevel="1">
      <c r="B12" s="734"/>
      <c r="C12" s="734"/>
      <c r="D12" s="201" t="s">
        <v>1002</v>
      </c>
      <c r="E12" s="365">
        <v>0</v>
      </c>
      <c r="F12" s="365">
        <f>46+107.57+1</f>
        <v>154.57</v>
      </c>
      <c r="H12" s="305"/>
      <c r="J12" s="305"/>
      <c r="L12" s="305"/>
      <c r="N12" s="305"/>
      <c r="O12" s="274">
        <f>SUM(E12:F12)-SUM(G12:N12)</f>
        <v>154.57</v>
      </c>
      <c r="P12" s="274" t="str">
        <f t="shared" si="0"/>
        <v>Utilities (G,W,E,HTB)</v>
      </c>
      <c r="Q12" s="282">
        <f t="shared" si="1"/>
        <v>0</v>
      </c>
    </row>
    <row r="13" spans="1:20" ht="15" customHeight="1" outlineLevel="1">
      <c r="B13" s="734"/>
      <c r="C13" s="734"/>
      <c r="D13" s="201" t="s">
        <v>996</v>
      </c>
      <c r="E13" s="365">
        <v>13.07</v>
      </c>
      <c r="F13" s="365">
        <f>13.07</f>
        <v>13.07</v>
      </c>
      <c r="H13" s="305"/>
      <c r="J13" s="305"/>
      <c r="L13" s="305"/>
      <c r="N13" s="305"/>
      <c r="O13" s="274">
        <f>SUM(E13:F13)-SUM(G13:N13)</f>
        <v>26.14</v>
      </c>
      <c r="P13" s="274" t="str">
        <f t="shared" si="0"/>
        <v>Home Insurance</v>
      </c>
      <c r="Q13" s="282">
        <f t="shared" si="1"/>
        <v>0</v>
      </c>
    </row>
    <row r="14" spans="1:20" ht="15" customHeight="1" outlineLevel="1">
      <c r="B14" s="734"/>
      <c r="C14" s="734"/>
      <c r="D14" s="201" t="s">
        <v>359</v>
      </c>
      <c r="E14" s="365">
        <v>30</v>
      </c>
      <c r="F14" s="365">
        <f>15</f>
        <v>15</v>
      </c>
      <c r="H14" s="305"/>
      <c r="J14" s="305"/>
      <c r="L14" s="305"/>
      <c r="N14" s="305"/>
      <c r="O14" s="274">
        <f t="shared" si="2"/>
        <v>45</v>
      </c>
      <c r="P14" s="274" t="str">
        <f t="shared" si="0"/>
        <v>TV License</v>
      </c>
      <c r="Q14" s="282">
        <f t="shared" si="1"/>
        <v>0</v>
      </c>
    </row>
    <row r="15" spans="1:20" ht="15" customHeight="1" outlineLevel="1">
      <c r="B15" s="734"/>
      <c r="C15" s="734"/>
      <c r="D15" s="201" t="s">
        <v>1056</v>
      </c>
      <c r="E15" s="365">
        <v>1.9999999999996021E-2</v>
      </c>
      <c r="F15" s="365">
        <f>8+36.79+16.6</f>
        <v>61.39</v>
      </c>
      <c r="H15" s="305"/>
      <c r="J15" s="305"/>
      <c r="L15" s="305"/>
      <c r="N15" s="305"/>
      <c r="O15" s="274">
        <f>SUM(E15:F15)-SUM(G15:N15)</f>
        <v>61.41</v>
      </c>
      <c r="P15" s="274" t="str">
        <f t="shared" si="0"/>
        <v>Pet Health / Insurance</v>
      </c>
      <c r="Q15" s="282">
        <f t="shared" si="1"/>
        <v>0</v>
      </c>
    </row>
    <row r="16" spans="1:20" ht="15" customHeight="1" outlineLevel="1">
      <c r="B16" s="734"/>
      <c r="C16" s="734"/>
      <c r="D16" s="201" t="s">
        <v>1057</v>
      </c>
      <c r="E16" s="365">
        <v>0</v>
      </c>
      <c r="F16" s="365">
        <f>4.52+15.97+8.56</f>
        <v>29.050000000000004</v>
      </c>
      <c r="H16" s="305"/>
      <c r="I16" s="11"/>
      <c r="J16" s="305"/>
      <c r="L16" s="305"/>
      <c r="N16" s="305"/>
      <c r="O16" s="274">
        <f t="shared" si="2"/>
        <v>29.050000000000004</v>
      </c>
      <c r="P16" s="274" t="str">
        <f t="shared" si="0"/>
        <v>Life / Income Insurance</v>
      </c>
      <c r="Q16" s="282">
        <f t="shared" si="1"/>
        <v>0</v>
      </c>
    </row>
    <row r="17" spans="2:17" ht="15" customHeight="1" outlineLevel="1">
      <c r="B17" s="734"/>
      <c r="C17" s="734"/>
      <c r="D17" s="201" t="s">
        <v>602</v>
      </c>
      <c r="E17" s="365">
        <v>28.340000000000003</v>
      </c>
      <c r="F17" s="365">
        <v>28.5</v>
      </c>
      <c r="G17">
        <v>28.5</v>
      </c>
      <c r="H17" s="305"/>
      <c r="J17" s="305"/>
      <c r="L17" s="305"/>
      <c r="N17" s="305"/>
      <c r="O17" s="274">
        <f>SUM(E17:F17)-SUM(G17:N17)</f>
        <v>28.340000000000003</v>
      </c>
      <c r="P17" s="274" t="str">
        <f t="shared" si="0"/>
        <v>Broadband / TV</v>
      </c>
      <c r="Q17" s="282">
        <f t="shared" si="1"/>
        <v>0</v>
      </c>
    </row>
    <row r="18" spans="2:17" ht="15" customHeight="1" outlineLevel="1">
      <c r="B18" s="734"/>
      <c r="C18" s="734"/>
      <c r="D18" s="201" t="s">
        <v>582</v>
      </c>
      <c r="E18" s="365">
        <v>0</v>
      </c>
      <c r="F18" s="365">
        <v>7.99</v>
      </c>
      <c r="H18" s="305"/>
      <c r="J18" s="305"/>
      <c r="L18" s="305"/>
      <c r="N18" s="305"/>
      <c r="O18" s="274">
        <f>SUM(E18:F18)-SUM(G18:N18)</f>
        <v>7.99</v>
      </c>
      <c r="P18" s="274" t="str">
        <f t="shared" si="0"/>
        <v>Onedrive (6th)</v>
      </c>
      <c r="Q18" s="282">
        <f t="shared" si="1"/>
        <v>0</v>
      </c>
    </row>
    <row r="19" spans="2:17" ht="15" customHeight="1" outlineLevel="1">
      <c r="B19" s="734"/>
      <c r="C19" s="734"/>
      <c r="D19" s="201" t="s">
        <v>788</v>
      </c>
      <c r="E19" s="365">
        <v>0</v>
      </c>
      <c r="F19" s="365">
        <v>10.56</v>
      </c>
      <c r="H19" s="305"/>
      <c r="J19" s="305"/>
      <c r="L19" s="305"/>
      <c r="N19" s="305"/>
      <c r="O19" s="274">
        <f>SUM(E19:F19)-SUM(G19:N19)</f>
        <v>10.56</v>
      </c>
      <c r="P19" s="274" t="str">
        <f t="shared" si="0"/>
        <v>Matt Phone</v>
      </c>
      <c r="Q19" s="282">
        <f t="shared" si="1"/>
        <v>0</v>
      </c>
    </row>
    <row r="20" spans="2:17" ht="15" customHeight="1" outlineLevel="1">
      <c r="B20" s="734"/>
      <c r="C20" s="734"/>
      <c r="D20" s="201" t="s">
        <v>985</v>
      </c>
      <c r="E20" s="365">
        <v>0</v>
      </c>
      <c r="F20" s="365">
        <f>29.75+34.68+42.5+13.56</f>
        <v>120.49000000000001</v>
      </c>
      <c r="H20" s="305"/>
      <c r="J20" s="305"/>
      <c r="L20" s="305"/>
      <c r="N20" s="305"/>
      <c r="O20" s="274">
        <f>SUM(E20:F20)-SUM(G20:N20)</f>
        <v>120.49000000000001</v>
      </c>
      <c r="P20" s="274" t="str">
        <f t="shared" si="0"/>
        <v>Car Tax / Insurance</v>
      </c>
      <c r="Q20" s="282">
        <f t="shared" si="1"/>
        <v>0</v>
      </c>
    </row>
    <row r="21" spans="2:17" ht="15" customHeight="1" outlineLevel="1">
      <c r="B21" s="734"/>
      <c r="C21" s="734"/>
      <c r="D21" s="201" t="s">
        <v>944</v>
      </c>
      <c r="E21" s="365">
        <v>0</v>
      </c>
      <c r="F21" s="365">
        <v>15</v>
      </c>
      <c r="H21" s="305"/>
      <c r="J21" s="305"/>
      <c r="L21" s="305"/>
      <c r="N21" s="305"/>
      <c r="O21" s="274">
        <f>SUM(E21:F21)-SUM(G21:N21)</f>
        <v>15</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",G41*0.2," / Actual = ",D24," (",ROUND((D24/G41)*100,2),")")</f>
        <v>Savings - 20 - 837.6 / Actual = 150 (3.58)</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150</v>
      </c>
      <c r="E24" s="759"/>
      <c r="F24" s="319"/>
      <c r="H24" s="305"/>
      <c r="J24" s="305"/>
      <c r="L24" s="305"/>
      <c r="N24" s="305"/>
      <c r="O24" s="285">
        <f>SUMIF(O25:O29,"&gt;0")</f>
        <v>321.36000000000041</v>
      </c>
      <c r="P24" s="285" t="s">
        <v>895</v>
      </c>
      <c r="Q24" s="282">
        <f>SUM(Q25:Q29)</f>
        <v>0</v>
      </c>
    </row>
    <row r="25" spans="2:17" ht="15" customHeight="1" outlineLevel="1">
      <c r="B25" s="7" t="str">
        <f>"20% : " &amp; E$41*0.2</f>
        <v>20% : 968.574</v>
      </c>
      <c r="C25" s="7" t="str">
        <f>"20% : " &amp; E$41*0.2</f>
        <v>20% : 968.574</v>
      </c>
      <c r="D25" s="300" t="s">
        <v>590</v>
      </c>
      <c r="E25" s="365">
        <v>21.360000000000412</v>
      </c>
      <c r="F25" s="365">
        <v>75</v>
      </c>
      <c r="H25" s="305"/>
      <c r="J25" s="305"/>
      <c r="L25" s="315"/>
      <c r="N25" s="305"/>
      <c r="O25" s="274">
        <f>SUM(E25:F25)-SUM(G25:N25)-Q41</f>
        <v>96.360000000000412</v>
      </c>
      <c r="P25" s="274" t="str">
        <f t="shared" ref="P25:P29" si="3">D25</f>
        <v>Contingency</v>
      </c>
      <c r="Q25" s="282">
        <v>0</v>
      </c>
    </row>
    <row r="26" spans="2:17" ht="15" customHeight="1" outlineLevel="1">
      <c r="B26" s="7"/>
      <c r="C26" s="7"/>
      <c r="D26" s="300" t="s">
        <v>998</v>
      </c>
      <c r="E26" s="365">
        <v>150</v>
      </c>
      <c r="F26" s="365">
        <v>75</v>
      </c>
      <c r="G26" s="11"/>
      <c r="H26" s="306"/>
      <c r="J26" s="305"/>
      <c r="L26" s="305"/>
      <c r="N26" s="305"/>
      <c r="O26" s="274">
        <f>SUM(E26:F26)-SUM(G26:N26)</f>
        <v>225</v>
      </c>
      <c r="P26" s="274" t="str">
        <f t="shared" si="3"/>
        <v>Cars (Service / MOT)</v>
      </c>
      <c r="Q26" s="282">
        <f t="shared" ref="Q26:Q29" si="4">IF(O26&lt;0,O26*-1,0)</f>
        <v>0</v>
      </c>
    </row>
    <row r="27" spans="2:17" ht="15" customHeight="1" outlineLevel="1">
      <c r="B27" s="7"/>
      <c r="C27" s="7"/>
      <c r="D27" s="300" t="s">
        <v>999</v>
      </c>
      <c r="E27" s="365">
        <v>0</v>
      </c>
      <c r="F27" s="365">
        <v>0</v>
      </c>
      <c r="G27" s="11"/>
      <c r="H27" s="306"/>
      <c r="J27" s="305"/>
      <c r="L27" s="305"/>
      <c r="N27" s="305"/>
      <c r="O27" s="274">
        <f t="shared" ref="O27:O29" si="5">SUM(E27:F27)-SUM(G27:N27)</f>
        <v>0</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",G41*0.3," / Actual = ",D32," (",ROUND((D32/G41)*100,2),")")</f>
        <v>Wants - 30 - 1256.4 / Actual = 2185.48 (52.18)</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(E$41-D5-D24-E40)</f>
        <v>2185.4800000000005</v>
      </c>
      <c r="E32" s="727"/>
      <c r="F32" s="319">
        <f>SUM(F33:F38)</f>
        <v>2025.4800000000005</v>
      </c>
      <c r="H32" s="305"/>
      <c r="J32" s="305"/>
      <c r="L32" s="305"/>
      <c r="N32" s="305"/>
      <c r="O32" s="285">
        <f>SUMIF(O33:O37,"&gt;0")-O35</f>
        <v>1159.8799999999992</v>
      </c>
      <c r="P32" s="285" t="s">
        <v>899</v>
      </c>
      <c r="Q32" s="282">
        <f>SUM(Q33:Q38)</f>
        <v>0</v>
      </c>
    </row>
    <row r="33" spans="2:19" ht="15" customHeight="1" outlineLevel="1">
      <c r="B33" s="734"/>
      <c r="C33" s="760"/>
      <c r="D33" s="300" t="s">
        <v>873</v>
      </c>
      <c r="E33" s="365">
        <v>324.72000000000003</v>
      </c>
      <c r="F33" s="365">
        <f>33+500</f>
        <v>533</v>
      </c>
      <c r="H33" s="305"/>
      <c r="J33" s="305"/>
      <c r="L33" s="305"/>
      <c r="N33" s="305"/>
      <c r="O33" s="274">
        <f>SUM(E33:F33)-SUM(G33:N33)</f>
        <v>857.72</v>
      </c>
      <c r="P33" s="274" t="str">
        <f t="shared" ref="P33:P39" si="6">D33</f>
        <v>Maldives</v>
      </c>
      <c r="Q33" s="282">
        <f t="shared" ref="Q33:Q35" si="7">IF(O33&lt;0,O33*-1,0)</f>
        <v>0</v>
      </c>
      <c r="R33" s="11"/>
      <c r="S33" s="11"/>
    </row>
    <row r="34" spans="2:19" ht="15" customHeight="1" outlineLevel="1">
      <c r="B34" s="734"/>
      <c r="C34" s="760"/>
      <c r="D34" s="300" t="s">
        <v>170</v>
      </c>
      <c r="E34" s="365">
        <v>74.19</v>
      </c>
      <c r="F34" s="365">
        <f>263-70</f>
        <v>193</v>
      </c>
      <c r="H34" s="305"/>
      <c r="J34" s="305"/>
      <c r="L34" s="305"/>
      <c r="N34" s="305"/>
      <c r="O34" s="274">
        <f>SUM(E34:F34)-SUM(G34:N34)</f>
        <v>267.19</v>
      </c>
      <c r="P34" s="274" t="str">
        <f t="shared" si="6"/>
        <v>Gift Fund</v>
      </c>
      <c r="Q34" s="282">
        <f t="shared" si="7"/>
        <v>0</v>
      </c>
      <c r="R34" s="11"/>
      <c r="S34" s="11"/>
    </row>
    <row r="35" spans="2:19" ht="15" customHeight="1" outlineLevel="1">
      <c r="B35" s="734"/>
      <c r="C35" s="760"/>
      <c r="D35" s="300" t="s">
        <v>812</v>
      </c>
      <c r="E35" s="365">
        <v>6851.8200000000006</v>
      </c>
      <c r="F35" s="365">
        <f>800+70+70+20</f>
        <v>960</v>
      </c>
      <c r="G35">
        <f>56.01+50.7+204</f>
        <v>310.71000000000004</v>
      </c>
      <c r="H35" s="366"/>
      <c r="J35" s="305"/>
      <c r="L35" s="305"/>
      <c r="N35" s="305"/>
      <c r="O35" s="274">
        <f>SUM(E35:F35)-SUM(G35:N35)</f>
        <v>7501.1100000000006</v>
      </c>
      <c r="P35" s="274" t="str">
        <f t="shared" si="6"/>
        <v>Wedding</v>
      </c>
      <c r="Q35" s="282">
        <f t="shared" si="7"/>
        <v>0</v>
      </c>
      <c r="R35" s="11"/>
      <c r="S35" s="349"/>
    </row>
    <row r="36" spans="2:19" ht="15" customHeight="1" outlineLevel="1">
      <c r="B36" s="734"/>
      <c r="C36" s="760"/>
      <c r="D36" s="300" t="s">
        <v>772</v>
      </c>
      <c r="E36" s="365">
        <v>0</v>
      </c>
      <c r="F36" s="365">
        <v>0</v>
      </c>
      <c r="H36" s="305"/>
      <c r="J36" s="305"/>
      <c r="L36" s="305"/>
      <c r="N36" s="305"/>
      <c r="O36" s="274">
        <f>SUM(E36:F36)-SUM(G36:N36)</f>
        <v>0</v>
      </c>
      <c r="P36" s="274" t="str">
        <f t="shared" si="6"/>
        <v>Home</v>
      </c>
      <c r="Q36" s="282"/>
      <c r="R36" s="11"/>
      <c r="S36" s="349"/>
    </row>
    <row r="37" spans="2:19" ht="15.75" customHeight="1" outlineLevel="1">
      <c r="B37" s="734"/>
      <c r="C37" s="760"/>
      <c r="D37" s="13" t="s">
        <v>781</v>
      </c>
      <c r="E37" s="365">
        <v>0</v>
      </c>
      <c r="F37" s="365">
        <f>13+2+6.99+10.99+1.99</f>
        <v>34.970000000000006</v>
      </c>
      <c r="H37" s="305"/>
      <c r="J37" s="305"/>
      <c r="L37" s="305"/>
      <c r="N37" s="305"/>
      <c r="O37" s="274">
        <f t="shared" ref="O37:O39" si="8">SUM(E37:F37)-SUM(G37:N37)</f>
        <v>34.970000000000006</v>
      </c>
      <c r="P37" s="274" t="str">
        <f t="shared" si="6"/>
        <v>Subscriptions</v>
      </c>
      <c r="Q37" s="282">
        <f>IF(O37&lt;0,O37*-1,0)</f>
        <v>0</v>
      </c>
      <c r="S37" s="349"/>
    </row>
    <row r="38" spans="2:19" ht="18" outlineLevel="1">
      <c r="B38" s="734"/>
      <c r="C38" s="760"/>
      <c r="D38" s="13" t="s">
        <v>922</v>
      </c>
      <c r="E38" s="365">
        <v>0</v>
      </c>
      <c r="F38" s="365">
        <f>(D32-SUM(F33:F37))-F39</f>
        <v>304.51000000000045</v>
      </c>
      <c r="G38">
        <f>4.35+30+6.4+11-0.81</f>
        <v>50.94</v>
      </c>
      <c r="H38" s="305">
        <f>44.62+8+(82.1-48)+12+14.99</f>
        <v>113.71</v>
      </c>
      <c r="J38" s="305"/>
      <c r="L38" s="305"/>
      <c r="N38" s="305"/>
      <c r="O38" s="274">
        <f>SUM(E38:F38)-SUM(G38:N38)</f>
        <v>139.86000000000047</v>
      </c>
      <c r="P38" s="274" t="str">
        <f t="shared" si="6"/>
        <v>Matt Fun</v>
      </c>
      <c r="Q38" s="282">
        <f>IF(SUM(E38:F38)-SUM(G38:N38)&lt;=0,(SUM(E38:F38)-SUM(G38:N38))*-1,0)</f>
        <v>0</v>
      </c>
    </row>
    <row r="39" spans="2:19" ht="18" outlineLevel="1">
      <c r="B39" s="7"/>
      <c r="C39" s="284"/>
      <c r="D39" s="13" t="s">
        <v>152</v>
      </c>
      <c r="E39" s="365">
        <v>0</v>
      </c>
      <c r="F39" s="365">
        <f>50+40+70</f>
        <v>160</v>
      </c>
      <c r="G39">
        <f>43.29+31.75</f>
        <v>75.039999999999992</v>
      </c>
      <c r="H39" s="305">
        <f>54+71.9</f>
        <v>125.9</v>
      </c>
      <c r="J39" s="305"/>
      <c r="L39" s="305"/>
      <c r="N39" s="305"/>
      <c r="O39" s="274">
        <f t="shared" si="8"/>
        <v>-40.94</v>
      </c>
      <c r="P39" s="274" t="str">
        <f t="shared" si="6"/>
        <v>Kris</v>
      </c>
      <c r="Q39" s="271">
        <f>IF(F39-SUM(G39:N39)&lt;=0,(F39-SUM(G39:N39))*-1,0)</f>
        <v>40.94</v>
      </c>
    </row>
    <row r="40" spans="2:19">
      <c r="B40" s="118"/>
      <c r="C40" s="118"/>
      <c r="E40" s="365">
        <f>SUM(E33:E39)+SUM(E25:E29)+SUM(E6:E21)-E35</f>
        <v>654.8700000000008</v>
      </c>
      <c r="F40" s="365"/>
      <c r="H40" s="7"/>
      <c r="J40" s="7"/>
      <c r="L40" s="7"/>
      <c r="N40" s="7"/>
      <c r="O40" s="273"/>
      <c r="P40" s="273"/>
      <c r="Q40" s="282"/>
    </row>
    <row r="41" spans="2:19" ht="18">
      <c r="B41" s="728" t="s">
        <v>817</v>
      </c>
      <c r="C41" s="728"/>
      <c r="D41" s="728"/>
      <c r="E41" s="375">
        <f>G41+I41+K41+M41+N41+E40</f>
        <v>4842.8700000000008</v>
      </c>
      <c r="F41" s="379"/>
      <c r="G41" s="271">
        <f>(2695)+(1080+50+30+50)+(33+50+70+40+70+20)</f>
        <v>4188</v>
      </c>
      <c r="H41" s="271"/>
      <c r="I41" s="271"/>
      <c r="J41" s="271"/>
      <c r="K41" s="271"/>
      <c r="L41" s="271"/>
      <c r="M41" s="271"/>
      <c r="N41" s="271"/>
      <c r="O41" s="314" t="str">
        <f>"£" &amp; ROUND(O5+O32+O24+IF(O38&lt;0,0,O38)+O39+O4,2) &amp; " / " &amp; "£" &amp; E41</f>
        <v>£3663.86 / £4842.87</v>
      </c>
      <c r="P41" s="274"/>
      <c r="Q41" s="282">
        <f>SUM(Q32,Q24,Q5)</f>
        <v>0</v>
      </c>
    </row>
    <row r="42" spans="2:19">
      <c r="B42" s="118"/>
      <c r="C42" s="7"/>
      <c r="E42" s="365"/>
      <c r="F42" s="365"/>
      <c r="G42" s="365"/>
      <c r="H42" s="365"/>
    </row>
    <row r="43" spans="2:19" ht="14.4">
      <c r="B43" s="729"/>
      <c r="C43" s="729"/>
      <c r="D43" s="729"/>
      <c r="E43" s="729"/>
      <c r="F43" s="729"/>
      <c r="G43" s="729"/>
      <c r="H43" s="297"/>
      <c r="K43" s="729"/>
      <c r="L43" s="729"/>
      <c r="M43" s="729"/>
      <c r="N43" s="729"/>
      <c r="O43" s="729"/>
      <c r="P43" s="297"/>
    </row>
    <row r="44" spans="2:19" ht="15" customHeight="1">
      <c r="B44" s="726" t="s">
        <v>955</v>
      </c>
      <c r="C44" s="726"/>
      <c r="D44" s="726"/>
      <c r="E44" s="726"/>
      <c r="F44" s="348"/>
      <c r="K44" s="212"/>
      <c r="L44" s="212"/>
      <c r="N44" s="118" t="s">
        <v>991</v>
      </c>
      <c r="O44" s="316">
        <v>44679</v>
      </c>
      <c r="P44" s="7">
        <f ca="1">DATEDIF(O44,NOW(),"d")</f>
        <v>1572</v>
      </c>
      <c r="Q44">
        <v>310.70999999999998</v>
      </c>
      <c r="R44" t="s">
        <v>183</v>
      </c>
    </row>
    <row r="45" spans="2:19">
      <c r="B45" s="365"/>
      <c r="C45" s="38"/>
      <c r="E45" s="11"/>
      <c r="F45" s="11"/>
      <c r="G45" s="367"/>
      <c r="H45" s="243">
        <f>(254.91-62.97)</f>
        <v>191.94</v>
      </c>
      <c r="I45" t="s">
        <v>1141</v>
      </c>
      <c r="K45" s="11">
        <f>(62.17-29.99)+11.99</f>
        <v>44.170000000000009</v>
      </c>
      <c r="L45" t="s">
        <v>1142</v>
      </c>
      <c r="N45" s="322" t="s">
        <v>992</v>
      </c>
      <c r="O45" s="42">
        <v>44678</v>
      </c>
      <c r="P45" s="7">
        <f ca="1">DATEDIF(O45,NOW(),"d")</f>
        <v>1573</v>
      </c>
      <c r="Q45">
        <v>25.02</v>
      </c>
      <c r="R45" t="s">
        <v>1073</v>
      </c>
    </row>
    <row r="46" spans="2:19">
      <c r="E46" s="365"/>
      <c r="F46" s="365"/>
      <c r="G46" s="11"/>
      <c r="H46" s="243">
        <f>H45+29.99</f>
        <v>221.93</v>
      </c>
      <c r="I46" t="s">
        <v>1143</v>
      </c>
      <c r="K46">
        <f>82-34</f>
        <v>48</v>
      </c>
      <c r="L46" s="243" t="s">
        <v>1144</v>
      </c>
      <c r="O46"/>
      <c r="P46"/>
    </row>
    <row r="47" spans="2:19" ht="16.2" customHeight="1">
      <c r="D47" s="212"/>
      <c r="E47" s="278"/>
      <c r="F47" s="278"/>
      <c r="G47" s="213"/>
      <c r="H47" s="213">
        <f>H46+23.87</f>
        <v>245.8</v>
      </c>
      <c r="I47" s="213" t="s">
        <v>1145</v>
      </c>
      <c r="J47" s="213"/>
      <c r="K47" s="213"/>
      <c r="O47" s="292">
        <f>O35+500+1260</f>
        <v>9261.11</v>
      </c>
      <c r="P47" s="212"/>
    </row>
    <row r="48" spans="2:19">
      <c r="B48" s="378"/>
      <c r="E48" s="230"/>
      <c r="F48" s="361"/>
      <c r="G48" s="11"/>
      <c r="H48" s="89"/>
      <c r="I48" s="7"/>
      <c r="J48" s="284"/>
      <c r="K48" s="342"/>
      <c r="L48" s="56"/>
      <c r="M48" s="365">
        <f>792+600</f>
        <v>1392</v>
      </c>
      <c r="N48" s="56" t="s">
        <v>1146</v>
      </c>
      <c r="O48" s="243"/>
      <c r="P48" s="56"/>
    </row>
    <row r="49" spans="2:17">
      <c r="E49" s="230"/>
      <c r="F49" s="361"/>
      <c r="G49">
        <f>3513.15-3617.15</f>
        <v>-104</v>
      </c>
      <c r="I49" s="230"/>
      <c r="J49" s="11"/>
      <c r="K49" s="230"/>
      <c r="L49" s="243"/>
      <c r="M49" s="365">
        <v>1446</v>
      </c>
      <c r="N49" s="243" t="s">
        <v>1147</v>
      </c>
      <c r="O49" s="11"/>
      <c r="P49"/>
    </row>
    <row r="50" spans="2:17">
      <c r="E50" s="380"/>
      <c r="F50" s="381"/>
      <c r="I50" s="230"/>
      <c r="J50" s="11"/>
      <c r="M50" s="365"/>
      <c r="N50" s="56"/>
      <c r="O50" s="284"/>
      <c r="P50" s="212"/>
      <c r="Q50" s="212"/>
    </row>
    <row r="51" spans="2:17">
      <c r="E51" s="89"/>
      <c r="F51" s="89"/>
      <c r="G51" s="767"/>
      <c r="H51" s="767"/>
      <c r="I51" s="767"/>
      <c r="J51" s="767"/>
      <c r="K51" s="767"/>
      <c r="M51" s="365">
        <v>200</v>
      </c>
      <c r="N51" s="56" t="s">
        <v>1148</v>
      </c>
      <c r="O51" s="56"/>
      <c r="P51" s="56"/>
      <c r="Q51" s="38"/>
    </row>
    <row r="52" spans="2:17">
      <c r="E52" s="380"/>
      <c r="F52" s="360"/>
      <c r="G52" s="11"/>
      <c r="H52" s="230"/>
      <c r="I52" s="230"/>
      <c r="J52" s="11"/>
      <c r="M52" s="365">
        <v>68</v>
      </c>
      <c r="N52" s="56" t="s">
        <v>1146</v>
      </c>
    </row>
    <row r="53" spans="2:17">
      <c r="E53" s="360"/>
      <c r="F53" s="360"/>
      <c r="G53" s="767"/>
      <c r="H53" s="767"/>
      <c r="I53" s="767"/>
      <c r="J53" s="767"/>
      <c r="K53" s="767"/>
      <c r="L53" s="243"/>
      <c r="M53" s="382"/>
      <c r="N53" s="363"/>
    </row>
    <row r="54" spans="2:17">
      <c r="E54" s="365"/>
      <c r="F54" s="381"/>
      <c r="G54" s="11" t="s">
        <v>931</v>
      </c>
      <c r="H54" s="11" t="s">
        <v>1149</v>
      </c>
      <c r="I54" s="89" t="s">
        <v>1150</v>
      </c>
      <c r="J54" s="368"/>
      <c r="L54" s="243"/>
      <c r="N54" s="364"/>
      <c r="O54" s="275"/>
      <c r="P54" s="275"/>
    </row>
    <row r="55" spans="2:17">
      <c r="B55" s="11"/>
      <c r="E55" s="365"/>
      <c r="F55" s="365" t="s">
        <v>935</v>
      </c>
      <c r="G55" s="11">
        <f>29.75</f>
        <v>29.75</v>
      </c>
      <c r="H55" s="89" t="s">
        <v>98</v>
      </c>
      <c r="I55" s="11">
        <f>165/12</f>
        <v>13.75</v>
      </c>
      <c r="J55" s="11"/>
      <c r="L55" s="243"/>
      <c r="N55" s="364"/>
    </row>
    <row r="56" spans="2:17" ht="14.4">
      <c r="B56" s="11"/>
      <c r="E56"/>
      <c r="F56" s="79" t="s">
        <v>1008</v>
      </c>
      <c r="G56" s="38">
        <v>250</v>
      </c>
      <c r="H56" s="361">
        <f>G56*0.66</f>
        <v>165</v>
      </c>
      <c r="I56" s="11">
        <f>G56*0.66</f>
        <v>165</v>
      </c>
      <c r="J56" s="11"/>
      <c r="K56" s="11"/>
      <c r="L56" s="79"/>
      <c r="O56"/>
      <c r="P56"/>
    </row>
    <row r="57" spans="2:17">
      <c r="E57"/>
      <c r="F57" s="79" t="s">
        <v>1151</v>
      </c>
      <c r="G57" s="11">
        <v>0</v>
      </c>
      <c r="H57" s="38">
        <v>175</v>
      </c>
      <c r="I57" s="11">
        <v>285</v>
      </c>
      <c r="J57" s="353"/>
      <c r="K57" s="243"/>
      <c r="L57" s="243"/>
      <c r="N57" s="278"/>
      <c r="O57" s="212"/>
      <c r="P57" s="212"/>
    </row>
    <row r="58" spans="2:17">
      <c r="B58" s="212"/>
      <c r="C58" s="212"/>
      <c r="E58" s="243"/>
      <c r="F58" s="7" t="s">
        <v>131</v>
      </c>
      <c r="G58" s="11">
        <f>SUM(G55:G57)</f>
        <v>279.75</v>
      </c>
      <c r="H58" s="11">
        <f>SUM(H55:H57)</f>
        <v>340</v>
      </c>
      <c r="I58" s="11">
        <f>SUM(I55:I57)</f>
        <v>463.75</v>
      </c>
      <c r="J58" s="349"/>
      <c r="K58" s="243"/>
      <c r="N58" s="376"/>
      <c r="O58" s="214"/>
      <c r="P58" s="214"/>
    </row>
    <row r="59" spans="2:17">
      <c r="C59" s="56"/>
      <c r="D59" s="243"/>
      <c r="E59"/>
      <c r="F59"/>
      <c r="G59" s="11"/>
      <c r="H59" s="38"/>
      <c r="I59" s="11"/>
      <c r="J59" s="349"/>
      <c r="K59" s="243"/>
      <c r="N59" s="365"/>
      <c r="O59"/>
      <c r="P59"/>
    </row>
    <row r="60" spans="2:17">
      <c r="C60" s="56"/>
      <c r="E60"/>
      <c r="F60"/>
      <c r="G60" s="243"/>
      <c r="H60" s="38"/>
      <c r="I60" s="11"/>
      <c r="J60" s="349"/>
      <c r="K60" s="243"/>
      <c r="N60" s="278"/>
      <c r="O60" s="212"/>
      <c r="P60" s="212"/>
    </row>
    <row r="61" spans="2:17">
      <c r="C61" s="56"/>
      <c r="E61"/>
      <c r="F61"/>
      <c r="G61" s="11"/>
      <c r="H61" s="38"/>
      <c r="I61" s="11"/>
      <c r="J61" s="11"/>
      <c r="K61" s="11"/>
      <c r="N61" s="365"/>
      <c r="O61" s="56"/>
      <c r="P61" s="56"/>
    </row>
    <row r="62" spans="2:17">
      <c r="C62" s="56"/>
      <c r="E62"/>
      <c r="F62"/>
      <c r="G62" s="11"/>
      <c r="H62" s="38"/>
      <c r="I62" s="11"/>
      <c r="N62" s="365"/>
      <c r="O62"/>
      <c r="P62"/>
    </row>
    <row r="63" spans="2:17">
      <c r="C63" s="56"/>
      <c r="E63" s="243"/>
      <c r="F63"/>
      <c r="G63" s="11"/>
      <c r="H63" s="38"/>
      <c r="I63" s="11"/>
      <c r="J63" s="349"/>
      <c r="N63" s="278"/>
      <c r="O63" s="212"/>
      <c r="P63" s="212"/>
    </row>
    <row r="64" spans="2:17">
      <c r="C64" s="56"/>
      <c r="D64" s="243"/>
      <c r="E64"/>
      <c r="F64"/>
      <c r="G64" s="11"/>
      <c r="H64" s="38"/>
      <c r="I64" s="11"/>
      <c r="J64" s="349"/>
      <c r="M64" t="s">
        <v>98</v>
      </c>
      <c r="N64" s="365"/>
      <c r="O64" s="38"/>
      <c r="P64" s="56"/>
    </row>
    <row r="65" spans="2:15" ht="14.4">
      <c r="C65" s="56"/>
      <c r="E65"/>
      <c r="F65"/>
      <c r="H65" s="38"/>
      <c r="I65" s="11"/>
      <c r="O65"/>
    </row>
    <row r="66" spans="2:15" ht="14.4">
      <c r="C66" s="56"/>
      <c r="E66" s="347"/>
      <c r="F66"/>
      <c r="H66" s="38"/>
      <c r="I66" s="11"/>
    </row>
    <row r="67" spans="2:15" ht="14.4">
      <c r="C67" s="56"/>
      <c r="E67" s="332"/>
      <c r="F67" s="332"/>
      <c r="G67" s="212"/>
    </row>
    <row r="68" spans="2:15" ht="14.4">
      <c r="C68" s="56"/>
      <c r="E68"/>
      <c r="F68"/>
      <c r="G68" s="243"/>
    </row>
    <row r="69" spans="2:15" ht="14.4">
      <c r="C69" s="56"/>
      <c r="E69"/>
      <c r="F69"/>
      <c r="G69" s="243"/>
    </row>
    <row r="70" spans="2:15">
      <c r="E70" s="365"/>
      <c r="F70" s="365"/>
      <c r="G70" s="243"/>
    </row>
    <row r="71" spans="2:15" ht="14.4">
      <c r="B71" s="212"/>
      <c r="C71" s="294"/>
      <c r="D71" s="212"/>
      <c r="E71" s="212"/>
      <c r="F71" s="212"/>
      <c r="G71" s="243"/>
      <c r="H71" s="212"/>
    </row>
    <row r="72" spans="2:15" ht="14.4">
      <c r="C72" s="56"/>
      <c r="D72" s="56"/>
      <c r="E72" s="56"/>
      <c r="F72" s="56"/>
      <c r="G72" s="56"/>
      <c r="H72" s="56"/>
    </row>
    <row r="73" spans="2:15" ht="14.4">
      <c r="C73" s="56"/>
      <c r="D73" s="56"/>
      <c r="E73" s="56"/>
      <c r="F73" s="56"/>
      <c r="G73" s="56"/>
      <c r="H73" s="56"/>
    </row>
    <row r="74" spans="2:15" ht="14.4">
      <c r="C74" s="56"/>
      <c r="D74" s="56"/>
      <c r="E74" s="56"/>
      <c r="F74" s="56"/>
      <c r="G74" s="56"/>
      <c r="H74" s="56"/>
    </row>
    <row r="75" spans="2:15" ht="14.4">
      <c r="C75" s="56"/>
      <c r="D75" s="56"/>
      <c r="E75" s="56"/>
      <c r="F75" s="56"/>
      <c r="G75" s="56"/>
      <c r="H75" s="56"/>
    </row>
    <row r="76" spans="2:15" ht="14.4">
      <c r="C76" s="56"/>
      <c r="D76" s="56"/>
      <c r="E76" s="56"/>
      <c r="F76" s="56"/>
      <c r="G76" s="56"/>
      <c r="H76" s="56"/>
    </row>
    <row r="77" spans="2:15" ht="14.4">
      <c r="C77" s="56"/>
      <c r="E77" s="56"/>
      <c r="F77" s="56"/>
    </row>
    <row r="79" spans="2:15" ht="14.4">
      <c r="E79" s="212"/>
      <c r="F79" s="212"/>
      <c r="G79" s="212"/>
      <c r="H79" s="212"/>
    </row>
    <row r="80" spans="2:15" ht="14.4">
      <c r="E80" s="56"/>
      <c r="F80" s="56"/>
      <c r="G80" s="56"/>
      <c r="H80" s="56"/>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row>
    <row r="87" spans="5:8" ht="14.4">
      <c r="E87" s="212"/>
      <c r="F87" s="212"/>
      <c r="G87" s="212"/>
      <c r="H87" s="212"/>
    </row>
    <row r="88" spans="5:8" ht="14.4">
      <c r="E88" s="56"/>
      <c r="F88" s="56"/>
      <c r="G88" s="56"/>
      <c r="H88" s="56"/>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row>
    <row r="94" spans="5:8">
      <c r="E94" s="365"/>
      <c r="F94" s="365"/>
    </row>
  </sheetData>
  <mergeCells count="25">
    <mergeCell ref="B4:E4"/>
    <mergeCell ref="B1:O1"/>
    <mergeCell ref="G3:H3"/>
    <mergeCell ref="I3:J3"/>
    <mergeCell ref="K3:L3"/>
    <mergeCell ref="M3:N3"/>
    <mergeCell ref="B41:D41"/>
    <mergeCell ref="B5:C5"/>
    <mergeCell ref="D5:E5"/>
    <mergeCell ref="B6:B21"/>
    <mergeCell ref="C6:C21"/>
    <mergeCell ref="B23:E23"/>
    <mergeCell ref="B24:C24"/>
    <mergeCell ref="D24:E24"/>
    <mergeCell ref="B31:E31"/>
    <mergeCell ref="B32:C32"/>
    <mergeCell ref="D32:E32"/>
    <mergeCell ref="B33:B38"/>
    <mergeCell ref="C33:C38"/>
    <mergeCell ref="G53:K53"/>
    <mergeCell ref="B43:G43"/>
    <mergeCell ref="K43:O43"/>
    <mergeCell ref="B44:C44"/>
    <mergeCell ref="D44:E44"/>
    <mergeCell ref="G51:K51"/>
  </mergeCells>
  <pageMargins left="0.7" right="0.7" top="0.75" bottom="0.75" header="0.3" footer="0.3"/>
  <pageSetup orientation="portrait" r:id="rId1"/>
  <legacy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08E2-87C2-6346-922D-F43DABE615F9}">
  <dimension ref="A1"/>
  <sheetViews>
    <sheetView workbookViewId="0"/>
  </sheetViews>
  <sheetFormatPr defaultColWidth="10.33203125" defaultRowHeight="14.4"/>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819C2-F63C-824B-8251-8BEADE64ACBE}">
  <dimension ref="A1:U93"/>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str">
        <f ca="1">UPPER(TEXT((1&amp;LEFT(B$1,3))-1,"MMM"))&amp;"-"&amp;UPPER(TEXT((1&amp;RIGHT(LEFT(B$1,7),3))-1,"MMM"))&amp;" "&amp;RIGHT(B$1,4)</f>
        <v>SEP-APR  ONW</v>
      </c>
      <c r="B1" s="730" t="str">
        <f ca="1">MID(CELL("filename",B1),FIND("]",CELL("filename",B1))+1,255)</f>
        <v>OCT-2021 ONW</v>
      </c>
      <c r="C1" s="731"/>
      <c r="D1" s="731"/>
      <c r="E1" s="731"/>
      <c r="F1" s="731"/>
      <c r="G1" s="731"/>
      <c r="H1" s="731"/>
      <c r="I1" s="731"/>
      <c r="J1" s="731"/>
      <c r="K1" s="731"/>
      <c r="L1" s="731"/>
      <c r="M1" s="731"/>
      <c r="N1" s="731"/>
      <c r="O1" s="731"/>
      <c r="P1" s="298"/>
      <c r="Q1" s="281"/>
      <c r="R1" s="272"/>
      <c r="S1" s="272"/>
      <c r="T1" s="272"/>
    </row>
    <row r="2" spans="1:21">
      <c r="B2" s="118"/>
      <c r="C2" s="118"/>
      <c r="D2">
        <f>1810.29-650</f>
        <v>1160.29</v>
      </c>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44036</v>
      </c>
      <c r="H3" s="732"/>
      <c r="I3" s="732">
        <f>G3+7</f>
        <v>44043</v>
      </c>
      <c r="J3" s="732"/>
      <c r="K3" s="732">
        <f>I3+7</f>
        <v>44050</v>
      </c>
      <c r="L3" s="732"/>
      <c r="M3" s="732">
        <f>K3+7</f>
        <v>44057</v>
      </c>
      <c r="N3" s="732"/>
      <c r="O3" s="325" t="str">
        <f>0 &amp; " / " &amp; ROUND(0-O4,2)</f>
        <v>0 / 0</v>
      </c>
      <c r="P3" s="325" t="s">
        <v>994</v>
      </c>
      <c r="Q3" s="282"/>
    </row>
    <row r="4" spans="1:21" ht="15" customHeight="1">
      <c r="B4" s="727" t="str">
        <f>_xlfn.CONCAT("Expenses - 50 - ",G40*0.5," / Actual = ",D5," (",ROUND((D5/G40)*100,2),")")</f>
        <v>Expenses - 50 - 1778.44 / Actual = 1769.23 (49.74)</v>
      </c>
      <c r="C4" s="727"/>
      <c r="D4" s="727"/>
      <c r="E4" s="727"/>
      <c r="F4" s="318"/>
      <c r="H4" s="243">
        <f>SUM(H5:H38)</f>
        <v>0</v>
      </c>
      <c r="J4" s="243">
        <f>SUM(J5:J38)</f>
        <v>0</v>
      </c>
      <c r="L4" s="243">
        <f>SUM(L5:L38)</f>
        <v>0</v>
      </c>
      <c r="N4" s="243">
        <f>SUM(N5:N38)</f>
        <v>0</v>
      </c>
      <c r="O4" s="308">
        <f>IF(H39&lt;&gt;"PAID",H4,0)+IF(J39&lt;&gt;"PAID",J4,0)+IF(L39&lt;&gt;"PAID",L4,0)+IF(N39&lt;&gt;"PAID",N4,0)</f>
        <v>0</v>
      </c>
      <c r="P4" s="309" t="s">
        <v>973</v>
      </c>
      <c r="Q4" s="282"/>
    </row>
    <row r="5" spans="1:21" ht="15" customHeight="1">
      <c r="B5" s="733" t="str">
        <f>IF(D5&gt;E$40*0.5,ROUND(D5-E$40*0.5,2) &amp; " Over",ROUND(E$40*0.5-D5,2) &amp; " Under")</f>
        <v>9.21 Under</v>
      </c>
      <c r="C5" s="733"/>
      <c r="D5" s="761">
        <f>SUM(F6:F18)</f>
        <v>1769.2299999999998</v>
      </c>
      <c r="E5" s="761"/>
      <c r="F5" s="321"/>
      <c r="G5" s="284"/>
      <c r="H5" s="306"/>
      <c r="I5" s="79"/>
      <c r="J5" s="306"/>
      <c r="K5" s="79"/>
      <c r="L5" s="306"/>
      <c r="M5" s="79"/>
      <c r="N5" s="305"/>
      <c r="O5" s="285">
        <f>SUMIF(O6:O18,"&gt;0")</f>
        <v>1769.2299999999998</v>
      </c>
      <c r="P5" s="285" t="s">
        <v>892</v>
      </c>
      <c r="Q5" s="282">
        <f>SUM(Q6:Q18)</f>
        <v>0</v>
      </c>
    </row>
    <row r="6" spans="1:21" ht="15" customHeight="1">
      <c r="B6" s="734" t="str">
        <f>"50%: " &amp; E$40*0.5</f>
        <v>50%: 1778.44</v>
      </c>
      <c r="C6" s="734" t="str">
        <f>ROUND((D5/E$40)*100,2) &amp; "%: " &amp;D5</f>
        <v>49.74%: 1769.23</v>
      </c>
      <c r="D6" s="13" t="s">
        <v>805</v>
      </c>
      <c r="E6" s="365">
        <v>0</v>
      </c>
      <c r="F6" s="374">
        <f>150</f>
        <v>150</v>
      </c>
      <c r="H6" s="305"/>
      <c r="J6" s="305"/>
      <c r="L6" s="305"/>
      <c r="N6" s="305"/>
      <c r="O6" s="274">
        <f>SUM(E6:F6)-SUM(G6:N6)</f>
        <v>150</v>
      </c>
      <c r="P6" s="274" t="str">
        <f t="shared" ref="P6:P18" si="0">D6</f>
        <v>Car Petrol / commuting</v>
      </c>
      <c r="Q6" s="282">
        <f t="shared" ref="Q6:Q18" si="1">IF(O6&lt;0,O6*-1,0)</f>
        <v>0</v>
      </c>
    </row>
    <row r="7" spans="1:21" ht="15" customHeight="1">
      <c r="B7" s="734"/>
      <c r="C7" s="734"/>
      <c r="D7" s="13" t="s">
        <v>169</v>
      </c>
      <c r="E7" s="365">
        <v>0</v>
      </c>
      <c r="F7" s="365">
        <f>400</f>
        <v>400</v>
      </c>
      <c r="H7" s="305"/>
      <c r="J7" s="305"/>
      <c r="L7" s="305"/>
      <c r="N7" s="305"/>
      <c r="O7" s="274">
        <f t="shared" ref="O7:O18" si="2">SUM(E7:F7)-SUM(G7:N7)</f>
        <v>400</v>
      </c>
      <c r="P7" s="274" t="str">
        <f t="shared" si="0"/>
        <v>Food</v>
      </c>
      <c r="Q7" s="282">
        <f t="shared" si="1"/>
        <v>0</v>
      </c>
    </row>
    <row r="8" spans="1:21" ht="15" customHeight="1">
      <c r="B8" s="734"/>
      <c r="C8" s="734"/>
      <c r="D8" s="13" t="s">
        <v>919</v>
      </c>
      <c r="E8" s="365">
        <v>0</v>
      </c>
      <c r="F8" s="365">
        <f>40</f>
        <v>40</v>
      </c>
      <c r="H8" s="305"/>
      <c r="J8" s="305"/>
      <c r="L8" s="305"/>
      <c r="N8" s="305"/>
      <c r="O8" s="274">
        <f t="shared" si="2"/>
        <v>40</v>
      </c>
      <c r="P8" s="274" t="str">
        <f t="shared" si="0"/>
        <v>Bun</v>
      </c>
      <c r="Q8" s="282">
        <f t="shared" si="1"/>
        <v>0</v>
      </c>
    </row>
    <row r="9" spans="1:21" ht="15" customHeight="1" outlineLevel="1">
      <c r="B9" s="734"/>
      <c r="C9" s="734"/>
      <c r="D9" s="201" t="s">
        <v>595</v>
      </c>
      <c r="E9" s="365">
        <v>0</v>
      </c>
      <c r="F9" s="365">
        <f>452.64</f>
        <v>452.64</v>
      </c>
      <c r="H9" s="305"/>
      <c r="J9" s="305"/>
      <c r="L9" s="305"/>
      <c r="N9" s="305"/>
      <c r="O9" s="274">
        <f t="shared" si="2"/>
        <v>452.64</v>
      </c>
      <c r="P9" s="274" t="str">
        <f t="shared" si="0"/>
        <v>Mortgage</v>
      </c>
      <c r="Q9" s="282">
        <f t="shared" si="1"/>
        <v>0</v>
      </c>
    </row>
    <row r="10" spans="1:21" ht="15" customHeight="1" outlineLevel="1">
      <c r="B10" s="734"/>
      <c r="C10" s="734"/>
      <c r="D10" s="201" t="s">
        <v>596</v>
      </c>
      <c r="E10" s="365">
        <v>0</v>
      </c>
      <c r="F10" s="365">
        <v>129</v>
      </c>
      <c r="H10" s="305"/>
      <c r="J10" s="305"/>
      <c r="L10" s="305"/>
      <c r="N10" s="305"/>
      <c r="O10" s="274">
        <f t="shared" si="2"/>
        <v>129</v>
      </c>
      <c r="P10" s="274" t="str">
        <f t="shared" si="0"/>
        <v>Council tax</v>
      </c>
      <c r="Q10" s="282">
        <f t="shared" si="1"/>
        <v>0</v>
      </c>
    </row>
    <row r="11" spans="1:21" ht="15" customHeight="1" outlineLevel="1">
      <c r="B11" s="734"/>
      <c r="C11" s="734"/>
      <c r="D11" s="201" t="s">
        <v>785</v>
      </c>
      <c r="E11" s="365">
        <v>0</v>
      </c>
      <c r="F11" s="365">
        <f>16+55+1+15</f>
        <v>87</v>
      </c>
      <c r="H11" s="305"/>
      <c r="J11" s="305"/>
      <c r="L11" s="305"/>
      <c r="N11" s="305"/>
      <c r="O11" s="274">
        <f t="shared" si="2"/>
        <v>87</v>
      </c>
      <c r="P11" s="274" t="str">
        <f t="shared" si="0"/>
        <v>Utilities (G,W,E,TV)</v>
      </c>
      <c r="Q11" s="282">
        <f t="shared" si="1"/>
        <v>0</v>
      </c>
    </row>
    <row r="12" spans="1:21" ht="15" customHeight="1" outlineLevel="1">
      <c r="B12" s="734"/>
      <c r="C12" s="734"/>
      <c r="D12" s="201" t="s">
        <v>894</v>
      </c>
      <c r="E12" s="365">
        <v>0</v>
      </c>
      <c r="F12" s="365">
        <f>4.52+15.97+8.56+20.78+8</f>
        <v>57.830000000000005</v>
      </c>
      <c r="H12" s="305"/>
      <c r="J12" s="305"/>
      <c r="L12" s="305"/>
      <c r="N12" s="305"/>
      <c r="O12" s="274">
        <f t="shared" si="2"/>
        <v>57.830000000000005</v>
      </c>
      <c r="P12" s="274" t="str">
        <f t="shared" si="0"/>
        <v>Insurances</v>
      </c>
      <c r="Q12" s="282">
        <f t="shared" si="1"/>
        <v>0</v>
      </c>
    </row>
    <row r="13" spans="1:21" ht="15" customHeight="1" outlineLevel="1">
      <c r="B13" s="734"/>
      <c r="C13" s="734"/>
      <c r="D13" s="201" t="s">
        <v>602</v>
      </c>
      <c r="E13" s="365">
        <v>0</v>
      </c>
      <c r="F13" s="365">
        <v>39.99</v>
      </c>
      <c r="H13" s="305"/>
      <c r="J13" s="305"/>
      <c r="L13" s="305"/>
      <c r="N13" s="305"/>
      <c r="O13" s="274">
        <f t="shared" si="2"/>
        <v>39.99</v>
      </c>
      <c r="P13" s="274" t="str">
        <f t="shared" si="0"/>
        <v>Broadband / TV</v>
      </c>
      <c r="Q13" s="282">
        <f t="shared" si="1"/>
        <v>0</v>
      </c>
    </row>
    <row r="14" spans="1:21" ht="15" customHeight="1" outlineLevel="1">
      <c r="B14" s="734"/>
      <c r="C14" s="734"/>
      <c r="D14" s="201" t="s">
        <v>582</v>
      </c>
      <c r="E14" s="365">
        <v>0</v>
      </c>
      <c r="F14" s="365">
        <v>7.99</v>
      </c>
      <c r="H14" s="305"/>
      <c r="J14" s="305"/>
      <c r="L14" s="305"/>
      <c r="N14" s="305"/>
      <c r="O14" s="274">
        <f t="shared" si="2"/>
        <v>7.99</v>
      </c>
      <c r="P14" s="274" t="str">
        <f t="shared" si="0"/>
        <v>Onedrive (6th)</v>
      </c>
      <c r="Q14" s="282">
        <f t="shared" si="1"/>
        <v>0</v>
      </c>
    </row>
    <row r="15" spans="1:21" ht="15" customHeight="1" outlineLevel="1">
      <c r="B15" s="734"/>
      <c r="C15" s="734"/>
      <c r="D15" s="201" t="s">
        <v>788</v>
      </c>
      <c r="E15" s="365">
        <v>0</v>
      </c>
      <c r="F15" s="365">
        <v>10.44</v>
      </c>
      <c r="H15" s="305"/>
      <c r="J15" s="305"/>
      <c r="L15" s="305"/>
      <c r="N15" s="305"/>
      <c r="O15" s="274">
        <f t="shared" si="2"/>
        <v>10.44</v>
      </c>
      <c r="P15" s="274" t="str">
        <f t="shared" si="0"/>
        <v>Matt Phone</v>
      </c>
      <c r="Q15" s="282">
        <f t="shared" si="1"/>
        <v>0</v>
      </c>
    </row>
    <row r="16" spans="1:21" ht="15" customHeight="1" outlineLevel="1">
      <c r="B16" s="734"/>
      <c r="C16" s="734"/>
      <c r="D16" s="201" t="s">
        <v>985</v>
      </c>
      <c r="E16" s="365">
        <v>0</v>
      </c>
      <c r="F16" s="365">
        <f>28.43+12.25+65.87+93.72</f>
        <v>200.27</v>
      </c>
      <c r="H16" s="305"/>
      <c r="J16" s="305"/>
      <c r="L16" s="305"/>
      <c r="N16" s="305"/>
      <c r="O16" s="274">
        <f t="shared" si="2"/>
        <v>200.27</v>
      </c>
      <c r="P16" s="274" t="str">
        <f t="shared" si="0"/>
        <v>Car Tax / Insurance</v>
      </c>
      <c r="Q16" s="282">
        <f t="shared" si="1"/>
        <v>0</v>
      </c>
    </row>
    <row r="17" spans="2:20" ht="15" customHeight="1" outlineLevel="1">
      <c r="B17" s="734"/>
      <c r="C17" s="734"/>
      <c r="D17" s="201" t="s">
        <v>944</v>
      </c>
      <c r="E17" s="365">
        <v>0</v>
      </c>
      <c r="F17" s="365">
        <v>15</v>
      </c>
      <c r="H17" s="305"/>
      <c r="J17" s="305"/>
      <c r="L17" s="305"/>
      <c r="N17" s="305"/>
      <c r="O17" s="274">
        <f t="shared" si="2"/>
        <v>15</v>
      </c>
      <c r="P17" s="274" t="str">
        <f t="shared" si="0"/>
        <v>Windows</v>
      </c>
      <c r="Q17" s="282">
        <f t="shared" si="1"/>
        <v>0</v>
      </c>
    </row>
    <row r="18" spans="2:20" ht="15" customHeight="1" outlineLevel="1">
      <c r="B18" s="734"/>
      <c r="C18" s="734"/>
      <c r="D18" s="293" t="s">
        <v>920</v>
      </c>
      <c r="E18" s="365">
        <v>0</v>
      </c>
      <c r="F18" s="277">
        <f>179.07</f>
        <v>179.07</v>
      </c>
      <c r="H18" s="305"/>
      <c r="J18" s="305"/>
      <c r="L18" s="305"/>
      <c r="N18" s="305"/>
      <c r="O18" s="274">
        <f t="shared" si="2"/>
        <v>179.07</v>
      </c>
      <c r="P18" s="274" t="str">
        <f t="shared" si="0"/>
        <v>Finance</v>
      </c>
      <c r="Q18" s="282">
        <f t="shared" si="1"/>
        <v>0</v>
      </c>
    </row>
    <row r="19" spans="2:20" ht="15" customHeight="1">
      <c r="B19" s="118"/>
      <c r="C19" s="118"/>
      <c r="D19" s="188"/>
      <c r="E19" s="365"/>
      <c r="F19" s="365"/>
      <c r="H19" s="305"/>
      <c r="J19" s="305"/>
      <c r="L19" s="305"/>
      <c r="N19" s="305"/>
      <c r="O19" s="273"/>
      <c r="P19" s="273"/>
      <c r="Q19" s="282"/>
    </row>
    <row r="20" spans="2:20" ht="15" customHeight="1">
      <c r="B20" s="736" t="str">
        <f>_xlfn.CONCAT("Savings - 20 - ",G40*0.2," / Actual = ",D21," (",ROUND((D21/G40)*100,2),")")</f>
        <v>Savings - 20 - 711.376 / Actual = 589.97 (16.59)</v>
      </c>
      <c r="C20" s="736"/>
      <c r="D20" s="736"/>
      <c r="E20" s="736"/>
      <c r="F20" s="320"/>
      <c r="H20" s="305"/>
      <c r="J20" s="305"/>
      <c r="L20" s="305"/>
      <c r="N20" s="305"/>
      <c r="O20" s="274"/>
      <c r="P20" s="274"/>
      <c r="Q20" s="282"/>
    </row>
    <row r="21" spans="2:20" ht="15" customHeight="1">
      <c r="B21" s="727" t="str">
        <f>IF(ISNUMBER((SEARCH("Over",C$5))),"Operating under budget","Operating over budget")</f>
        <v>Operating over budget</v>
      </c>
      <c r="C21" s="727"/>
      <c r="D21" s="759">
        <f>SUM(F22:F26)</f>
        <v>589.97</v>
      </c>
      <c r="E21" s="759"/>
      <c r="F21" s="319"/>
      <c r="H21" s="305"/>
      <c r="J21" s="305"/>
      <c r="L21" s="305"/>
      <c r="N21" s="305"/>
      <c r="O21" s="285">
        <f>SUMIF(O22:O26,"&gt;0")</f>
        <v>589.97</v>
      </c>
      <c r="P21" s="285" t="s">
        <v>895</v>
      </c>
      <c r="Q21" s="282">
        <f>SUM(Q23:Q23)</f>
        <v>0</v>
      </c>
    </row>
    <row r="22" spans="2:20" ht="15" customHeight="1" outlineLevel="1">
      <c r="B22" s="7" t="str">
        <f>"20% : " &amp; E$40*0.2</f>
        <v>20% : 711.376</v>
      </c>
      <c r="C22" s="7" t="str">
        <f>"20% : " &amp; E$40*0.2</f>
        <v>20% : 711.376</v>
      </c>
      <c r="D22" s="300" t="s">
        <v>896</v>
      </c>
      <c r="E22" s="365">
        <v>0</v>
      </c>
      <c r="F22" s="365">
        <f>50</f>
        <v>50</v>
      </c>
      <c r="H22" s="305"/>
      <c r="J22" s="305"/>
      <c r="L22" s="315"/>
      <c r="N22" s="305"/>
      <c r="O22" s="274">
        <f>SUM(E22:F22)-SUM(G22:N22)-Q40</f>
        <v>50</v>
      </c>
      <c r="P22" s="274" t="str">
        <f t="shared" ref="P22:P26" si="3">D22</f>
        <v>Contingency 20%</v>
      </c>
      <c r="Q22" s="282">
        <f>SUM(Q23:Q27)</f>
        <v>0</v>
      </c>
    </row>
    <row r="23" spans="2:20" ht="15" customHeight="1" outlineLevel="1">
      <c r="B23" s="7"/>
      <c r="C23" s="7"/>
      <c r="D23" s="300" t="s">
        <v>953</v>
      </c>
      <c r="E23" s="365">
        <v>0</v>
      </c>
      <c r="F23" s="365">
        <v>50</v>
      </c>
      <c r="G23" s="11"/>
      <c r="H23" s="306"/>
      <c r="J23" s="305"/>
      <c r="L23" s="305"/>
      <c r="N23" s="305"/>
      <c r="O23" s="274">
        <f t="shared" ref="O23:O26" si="4">SUM(E23:F23)-SUM(G23:N23)</f>
        <v>50</v>
      </c>
      <c r="P23" s="274" t="str">
        <f t="shared" si="3"/>
        <v>Cars (Service / MOT) £45</v>
      </c>
      <c r="Q23" s="282">
        <f t="shared" ref="Q23:Q26" si="5">IF(O23&lt;0,O23*-1,0)</f>
        <v>0</v>
      </c>
    </row>
    <row r="24" spans="2:20" ht="15" customHeight="1" outlineLevel="1">
      <c r="B24" s="7"/>
      <c r="C24" s="7"/>
      <c r="D24" s="300" t="s">
        <v>999</v>
      </c>
      <c r="E24" s="365">
        <v>0</v>
      </c>
      <c r="F24" s="365">
        <f>129.97+150+100</f>
        <v>379.97</v>
      </c>
      <c r="G24" s="11"/>
      <c r="H24" s="306"/>
      <c r="J24" s="305"/>
      <c r="L24" s="305"/>
      <c r="N24" s="305"/>
      <c r="O24" s="274">
        <f t="shared" si="4"/>
        <v>379.97</v>
      </c>
      <c r="P24" s="274" t="str">
        <f t="shared" si="3"/>
        <v>Mortgage Overpayment</v>
      </c>
      <c r="Q24" s="282">
        <f t="shared" si="5"/>
        <v>0</v>
      </c>
    </row>
    <row r="25" spans="2:20" ht="15" customHeight="1" outlineLevel="1">
      <c r="B25" s="7"/>
      <c r="C25" s="7"/>
      <c r="D25" s="300" t="s">
        <v>1000</v>
      </c>
      <c r="E25" s="365">
        <v>0</v>
      </c>
      <c r="F25" s="365">
        <f>110</f>
        <v>110</v>
      </c>
      <c r="G25" s="11"/>
      <c r="H25" s="306"/>
      <c r="J25" s="305"/>
      <c r="L25" s="305"/>
      <c r="N25" s="305"/>
      <c r="O25" s="274">
        <f t="shared" si="4"/>
        <v>110</v>
      </c>
      <c r="P25" s="274" t="str">
        <f t="shared" si="3"/>
        <v>Finance Overpayment</v>
      </c>
      <c r="Q25" s="282">
        <f t="shared" si="5"/>
        <v>0</v>
      </c>
    </row>
    <row r="26" spans="2:20" ht="15" customHeight="1" outlineLevel="1">
      <c r="B26" s="7"/>
      <c r="C26" s="7"/>
      <c r="D26" s="300" t="s">
        <v>1001</v>
      </c>
      <c r="E26" s="365">
        <v>0</v>
      </c>
      <c r="F26" s="365">
        <v>0</v>
      </c>
      <c r="G26" s="11"/>
      <c r="H26" s="306"/>
      <c r="J26" s="305"/>
      <c r="L26" s="305"/>
      <c r="N26" s="305"/>
      <c r="O26" s="274">
        <f t="shared" si="4"/>
        <v>0</v>
      </c>
      <c r="P26" s="274" t="str">
        <f t="shared" si="3"/>
        <v>CC Overpayment</v>
      </c>
      <c r="Q26" s="282">
        <f t="shared" si="5"/>
        <v>0</v>
      </c>
    </row>
    <row r="27" spans="2:20" ht="15" customHeight="1">
      <c r="B27" s="118"/>
      <c r="C27" s="118"/>
      <c r="E27" s="365"/>
      <c r="F27" s="365"/>
      <c r="H27" s="305"/>
      <c r="J27" s="305"/>
      <c r="L27" s="305"/>
      <c r="N27" s="305"/>
      <c r="O27" s="273"/>
      <c r="P27" s="273"/>
      <c r="Q27" s="282"/>
    </row>
    <row r="28" spans="2:20" ht="15" customHeight="1">
      <c r="B28" s="727" t="str">
        <f>_xlfn.CONCAT("Wants - 30 - ",G40*0.3," / Actual = ",D29," (",ROUND((D29/G40)*100,2),")")</f>
        <v>Wants - 30 - 1067.064 / Actual = 1197.68 (33.67)</v>
      </c>
      <c r="C28" s="727"/>
      <c r="D28" s="727"/>
      <c r="E28" s="727"/>
      <c r="F28" s="318"/>
      <c r="H28" s="305"/>
      <c r="J28" s="305"/>
      <c r="L28" s="305"/>
      <c r="N28" s="305"/>
      <c r="O28" s="273"/>
      <c r="P28" s="273"/>
      <c r="Q28" s="282"/>
    </row>
    <row r="29" spans="2:20" ht="15" customHeight="1">
      <c r="B29" s="727" t="str">
        <f>IF(ISNUMBER((SEARCH("Over",B$5))),"Operating under budget","Operating over budget")</f>
        <v>Operating over budget</v>
      </c>
      <c r="C29" s="727"/>
      <c r="D29" s="759">
        <f>(E$40-D5-D21-E39)</f>
        <v>1197.6800000000003</v>
      </c>
      <c r="E29" s="727"/>
      <c r="F29" s="319">
        <f>SUM(F30:F37)</f>
        <v>1197.6800000000003</v>
      </c>
      <c r="H29" s="305"/>
      <c r="J29" s="305"/>
      <c r="L29" s="305"/>
      <c r="N29" s="305"/>
      <c r="O29" s="285">
        <f>SUMIF(O30:O36,"&gt;0")</f>
        <v>916.64</v>
      </c>
      <c r="P29" s="285" t="s">
        <v>899</v>
      </c>
      <c r="Q29" s="282">
        <f>SUM(Q30:Q37)</f>
        <v>0</v>
      </c>
    </row>
    <row r="30" spans="2:20" ht="15" customHeight="1" outlineLevel="1">
      <c r="B30" s="734"/>
      <c r="C30" s="760"/>
      <c r="D30" s="300" t="s">
        <v>354</v>
      </c>
      <c r="E30" s="365">
        <v>0</v>
      </c>
      <c r="F30" s="365">
        <v>700</v>
      </c>
      <c r="H30" s="305"/>
      <c r="J30" s="305"/>
      <c r="L30" s="305"/>
      <c r="N30" s="305"/>
      <c r="O30" s="274">
        <f t="shared" ref="O30:O33" si="6">SUM(E30:F30)-SUM(G30:N30)</f>
        <v>700</v>
      </c>
      <c r="P30" s="274" t="str">
        <f t="shared" ref="P30:P38" si="7">D30</f>
        <v>Holiday</v>
      </c>
      <c r="Q30" s="282">
        <f t="shared" ref="Q30:Q35" si="8">IF(O30&lt;0,O30*-1,0)</f>
        <v>0</v>
      </c>
      <c r="S30" s="11"/>
      <c r="T30" s="11"/>
    </row>
    <row r="31" spans="2:20" ht="15" customHeight="1" outlineLevel="1">
      <c r="B31" s="734"/>
      <c r="C31" s="760"/>
      <c r="D31" s="300" t="s">
        <v>170</v>
      </c>
      <c r="E31" s="365">
        <v>0</v>
      </c>
      <c r="F31" s="365">
        <v>185</v>
      </c>
      <c r="H31" s="305"/>
      <c r="J31" s="305"/>
      <c r="L31" s="305"/>
      <c r="N31" s="305"/>
      <c r="O31" s="274">
        <f t="shared" si="6"/>
        <v>185</v>
      </c>
      <c r="P31" s="274" t="str">
        <f t="shared" si="7"/>
        <v>Gift Fund</v>
      </c>
      <c r="Q31" s="282">
        <f t="shared" si="8"/>
        <v>0</v>
      </c>
    </row>
    <row r="32" spans="2:20" ht="15" customHeight="1" outlineLevel="1">
      <c r="B32" s="734"/>
      <c r="C32" s="760"/>
      <c r="D32" s="300" t="s">
        <v>812</v>
      </c>
      <c r="E32" s="365">
        <v>0</v>
      </c>
      <c r="F32" s="365">
        <v>0</v>
      </c>
      <c r="H32" s="305"/>
      <c r="J32" s="305"/>
      <c r="L32" s="305"/>
      <c r="N32" s="305"/>
      <c r="O32" s="274">
        <f t="shared" si="6"/>
        <v>0</v>
      </c>
      <c r="P32" s="274" t="str">
        <f t="shared" si="7"/>
        <v>Wedding</v>
      </c>
      <c r="Q32" s="282">
        <f t="shared" si="8"/>
        <v>0</v>
      </c>
    </row>
    <row r="33" spans="2:17" ht="15" customHeight="1" outlineLevel="1">
      <c r="B33" s="734"/>
      <c r="C33" s="760"/>
      <c r="D33" s="300" t="s">
        <v>174</v>
      </c>
      <c r="E33" s="365">
        <v>0</v>
      </c>
      <c r="F33" s="365">
        <v>0</v>
      </c>
      <c r="G33" s="11"/>
      <c r="H33" s="306"/>
      <c r="J33" s="305"/>
      <c r="L33" s="305"/>
      <c r="N33" s="305"/>
      <c r="O33" s="274">
        <f t="shared" si="6"/>
        <v>0</v>
      </c>
      <c r="P33" s="274" t="str">
        <f t="shared" si="7"/>
        <v>House</v>
      </c>
      <c r="Q33" s="282">
        <f t="shared" si="8"/>
        <v>0</v>
      </c>
    </row>
    <row r="34" spans="2:17" ht="18" outlineLevel="1">
      <c r="B34" s="734"/>
      <c r="C34" s="760"/>
      <c r="D34" s="13" t="s">
        <v>943</v>
      </c>
      <c r="E34" s="365">
        <v>0</v>
      </c>
      <c r="F34" s="365">
        <v>0</v>
      </c>
      <c r="H34" s="305"/>
      <c r="J34" s="305"/>
      <c r="L34" s="305"/>
      <c r="N34" s="305"/>
      <c r="O34" s="274">
        <f t="shared" ref="O34:O38" si="9">SUM(E34:F34)-SUM(G34:N34)</f>
        <v>0</v>
      </c>
      <c r="P34" s="274" t="str">
        <f t="shared" si="7"/>
        <v>Car wash</v>
      </c>
      <c r="Q34" s="282">
        <f t="shared" si="8"/>
        <v>0</v>
      </c>
    </row>
    <row r="35" spans="2:17" ht="18" outlineLevel="1">
      <c r="B35" s="734"/>
      <c r="C35" s="760"/>
      <c r="D35" s="13" t="s">
        <v>177</v>
      </c>
      <c r="E35" s="365">
        <v>0</v>
      </c>
      <c r="F35" s="365">
        <v>0</v>
      </c>
      <c r="H35" s="305"/>
      <c r="J35" s="305"/>
      <c r="L35" s="305"/>
      <c r="N35" s="305"/>
      <c r="O35" s="274">
        <f t="shared" si="9"/>
        <v>0</v>
      </c>
      <c r="P35" s="274" t="str">
        <f t="shared" si="7"/>
        <v>Gym</v>
      </c>
      <c r="Q35" s="282">
        <f t="shared" si="8"/>
        <v>0</v>
      </c>
    </row>
    <row r="36" spans="2:17" ht="15.75" customHeight="1" outlineLevel="1">
      <c r="B36" s="734"/>
      <c r="C36" s="760"/>
      <c r="D36" s="13" t="s">
        <v>781</v>
      </c>
      <c r="E36" s="365">
        <v>0</v>
      </c>
      <c r="F36" s="365">
        <f>13+2+10.65+5.99</f>
        <v>31.64</v>
      </c>
      <c r="H36" s="305"/>
      <c r="J36" s="305"/>
      <c r="L36" s="305"/>
      <c r="N36" s="305"/>
      <c r="O36" s="274">
        <f t="shared" si="9"/>
        <v>31.64</v>
      </c>
      <c r="P36" s="274" t="str">
        <f t="shared" si="7"/>
        <v>Subscriptions</v>
      </c>
      <c r="Q36" s="282">
        <f>IF(O36&lt;0,O36*-1,0)</f>
        <v>0</v>
      </c>
    </row>
    <row r="37" spans="2:17" ht="18" outlineLevel="1">
      <c r="B37" s="734"/>
      <c r="C37" s="760"/>
      <c r="D37" s="13" t="s">
        <v>922</v>
      </c>
      <c r="E37" s="365">
        <v>0</v>
      </c>
      <c r="F37" s="365">
        <f>(D29-SUM(F30:F36))-F38</f>
        <v>281.0400000000003</v>
      </c>
      <c r="H37" s="305"/>
      <c r="J37" s="305"/>
      <c r="L37" s="305"/>
      <c r="N37" s="305"/>
      <c r="O37" s="274">
        <f>SUM(E37:F37)-SUM(G37:N37)</f>
        <v>281.0400000000003</v>
      </c>
      <c r="P37" s="274" t="str">
        <f t="shared" si="7"/>
        <v>Matt Fun</v>
      </c>
      <c r="Q37" s="282">
        <f>IF(F37-SUM(G37:N37)&lt;=0,(F37-SUM(G37:N37))*-1,0)</f>
        <v>0</v>
      </c>
    </row>
    <row r="38" spans="2:17" ht="18" outlineLevel="1">
      <c r="B38" s="7"/>
      <c r="C38" s="284"/>
      <c r="D38" s="13" t="s">
        <v>152</v>
      </c>
      <c r="E38" s="365">
        <v>0</v>
      </c>
      <c r="F38" s="365"/>
      <c r="H38" s="305"/>
      <c r="J38" s="305"/>
      <c r="L38" s="305"/>
      <c r="N38" s="305"/>
      <c r="O38" s="274">
        <f t="shared" si="9"/>
        <v>0</v>
      </c>
      <c r="P38" s="274" t="str">
        <f t="shared" si="7"/>
        <v>Kris</v>
      </c>
      <c r="Q38" s="271"/>
    </row>
    <row r="39" spans="2:17">
      <c r="B39" s="118"/>
      <c r="C39" s="118"/>
      <c r="E39" s="365">
        <f>SUM(E30:E38)+SUM(E22:E26)+SUM(E6:E18)</f>
        <v>0</v>
      </c>
      <c r="F39" s="365"/>
      <c r="H39" s="7"/>
      <c r="J39" s="7"/>
      <c r="L39" s="7"/>
      <c r="N39" s="7"/>
      <c r="O39" s="273"/>
      <c r="P39" s="273"/>
      <c r="Q39" s="282"/>
    </row>
    <row r="40" spans="2:17" ht="18">
      <c r="B40" s="728" t="s">
        <v>817</v>
      </c>
      <c r="C40" s="728"/>
      <c r="D40" s="728"/>
      <c r="E40" s="375">
        <f>G40+I40+K40+M40+N40+E39</f>
        <v>3556.88</v>
      </c>
      <c r="F40" s="379"/>
      <c r="G40" s="271">
        <f>2509.88+1047</f>
        <v>3556.88</v>
      </c>
      <c r="H40" s="271"/>
      <c r="I40" s="271"/>
      <c r="J40" s="271"/>
      <c r="K40" s="271"/>
      <c r="L40" s="271"/>
      <c r="M40" s="271"/>
      <c r="N40" s="271"/>
      <c r="O40" s="314" t="str">
        <f>"£" &amp; ROUND(O5+O29+O21+O37+O38+O4,2)-1097 &amp; " / " &amp; "£" &amp; E40</f>
        <v>£2459.88 / £3556.88</v>
      </c>
      <c r="P40" s="274"/>
      <c r="Q40" s="282">
        <f>SUM(Q29,Q21,Q5)</f>
        <v>0</v>
      </c>
    </row>
    <row r="41" spans="2:17">
      <c r="B41" s="118"/>
      <c r="C41" s="7"/>
      <c r="E41" s="365"/>
      <c r="F41" s="365"/>
      <c r="G41" s="365"/>
      <c r="H41" s="365"/>
    </row>
    <row r="42" spans="2:17" ht="14.4">
      <c r="B42" s="729"/>
      <c r="C42" s="729"/>
      <c r="D42" s="729"/>
      <c r="E42" s="729"/>
      <c r="F42" s="729"/>
      <c r="G42" s="729"/>
      <c r="H42" s="297"/>
      <c r="K42" s="729"/>
      <c r="L42" s="729"/>
      <c r="M42" s="729"/>
      <c r="N42" s="729"/>
      <c r="O42" s="729"/>
      <c r="P42" s="297"/>
    </row>
    <row r="43" spans="2:17" ht="15" customHeight="1">
      <c r="B43" s="726" t="s">
        <v>955</v>
      </c>
      <c r="C43" s="726"/>
      <c r="D43" s="726"/>
      <c r="E43" s="726"/>
      <c r="F43" s="79"/>
      <c r="K43" s="212"/>
      <c r="L43" s="212"/>
      <c r="M43" s="278"/>
      <c r="N43" s="212"/>
      <c r="O43" s="118" t="s">
        <v>991</v>
      </c>
      <c r="P43" s="316">
        <v>44018</v>
      </c>
      <c r="Q43" s="7"/>
    </row>
    <row r="44" spans="2:17">
      <c r="B44" s="365"/>
      <c r="C44" s="38"/>
      <c r="E44" s="11"/>
      <c r="F44" s="11"/>
      <c r="K44" s="214"/>
      <c r="L44" s="214"/>
      <c r="M44" s="376"/>
      <c r="N44" s="214"/>
      <c r="O44" s="322" t="s">
        <v>992</v>
      </c>
      <c r="P44" s="42">
        <v>44018</v>
      </c>
      <c r="Q44" s="212"/>
    </row>
    <row r="45" spans="2:17">
      <c r="E45" s="11"/>
      <c r="F45"/>
      <c r="M45" s="365"/>
      <c r="O45" t="s">
        <v>993</v>
      </c>
      <c r="P45">
        <v>0</v>
      </c>
    </row>
    <row r="46" spans="2:17" ht="16.2" customHeight="1">
      <c r="E46" s="214"/>
      <c r="F46" s="214"/>
      <c r="I46" s="760"/>
      <c r="J46" s="760"/>
      <c r="K46" s="760"/>
      <c r="L46" s="760"/>
      <c r="M46" s="760"/>
      <c r="N46" s="212"/>
      <c r="O46" s="212"/>
      <c r="P46" s="212"/>
    </row>
    <row r="47" spans="2:17">
      <c r="B47" s="378"/>
      <c r="E47"/>
      <c r="F47"/>
      <c r="I47" s="11"/>
      <c r="J47" s="11"/>
      <c r="K47" s="56"/>
      <c r="L47" s="56"/>
      <c r="M47" s="365"/>
      <c r="N47" s="56"/>
      <c r="O47" s="56"/>
      <c r="P47" s="56"/>
    </row>
    <row r="48" spans="2:17">
      <c r="E48"/>
      <c r="F48"/>
      <c r="I48" s="11"/>
      <c r="J48" s="11"/>
      <c r="M48" s="365"/>
      <c r="N48" s="56"/>
      <c r="O48"/>
      <c r="P48"/>
    </row>
    <row r="49" spans="2:17">
      <c r="E49"/>
      <c r="F49"/>
      <c r="I49" s="11"/>
      <c r="J49" s="11"/>
      <c r="M49" s="365"/>
      <c r="N49" s="56"/>
      <c r="O49" s="212"/>
      <c r="P49" s="212"/>
      <c r="Q49" s="212"/>
    </row>
    <row r="50" spans="2:17">
      <c r="E50"/>
      <c r="F50"/>
      <c r="I50" s="11"/>
      <c r="J50" s="11"/>
      <c r="M50" s="365"/>
      <c r="N50" s="56"/>
      <c r="O50" s="56"/>
      <c r="P50" s="56"/>
      <c r="Q50" s="38"/>
    </row>
    <row r="51" spans="2:17" ht="14.4">
      <c r="E51"/>
      <c r="F51"/>
      <c r="I51" s="11"/>
      <c r="J51" s="11"/>
      <c r="N51" s="56"/>
    </row>
    <row r="52" spans="2:17">
      <c r="E52" s="365"/>
      <c r="F52" s="365"/>
      <c r="I52" s="11"/>
      <c r="J52" s="11"/>
      <c r="M52" s="365"/>
      <c r="N52" s="764"/>
    </row>
    <row r="53" spans="2:17">
      <c r="E53" s="365"/>
      <c r="F53" s="365"/>
      <c r="I53" s="11"/>
      <c r="J53" s="11"/>
      <c r="N53" s="765"/>
      <c r="O53" s="275"/>
      <c r="P53" s="275"/>
    </row>
    <row r="54" spans="2:17">
      <c r="B54" s="11"/>
      <c r="E54" s="365"/>
      <c r="F54" s="365"/>
      <c r="I54" s="11"/>
      <c r="J54" s="11"/>
      <c r="N54" s="765"/>
    </row>
    <row r="55" spans="2:17" ht="14.4">
      <c r="B55" s="11"/>
      <c r="D55" s="726"/>
      <c r="E55" s="726"/>
      <c r="F55" s="726"/>
      <c r="G55" s="726"/>
      <c r="H55" s="726"/>
      <c r="I55" s="726"/>
      <c r="J55" s="726"/>
      <c r="K55" s="726"/>
      <c r="L55" s="79"/>
      <c r="M55" s="726"/>
      <c r="N55" s="726"/>
      <c r="O55" s="726"/>
      <c r="P55" s="726"/>
    </row>
    <row r="56" spans="2:17">
      <c r="E56"/>
      <c r="F56"/>
      <c r="N56" s="278"/>
      <c r="O56" s="212"/>
      <c r="P56" s="212"/>
    </row>
    <row r="57" spans="2:17">
      <c r="B57" s="212"/>
      <c r="C57" s="212"/>
      <c r="E57"/>
      <c r="F57"/>
      <c r="N57" s="376"/>
      <c r="O57" s="214"/>
      <c r="P57" s="214"/>
    </row>
    <row r="58" spans="2:17">
      <c r="C58" s="56"/>
      <c r="D58" s="243"/>
      <c r="E58"/>
      <c r="F58"/>
      <c r="N58" s="365"/>
      <c r="O58"/>
      <c r="P58"/>
    </row>
    <row r="59" spans="2:17">
      <c r="C59" s="56"/>
      <c r="E59"/>
      <c r="F59"/>
      <c r="N59" s="278"/>
      <c r="O59" s="212"/>
      <c r="P59" s="212"/>
    </row>
    <row r="60" spans="2:17">
      <c r="C60" s="56"/>
      <c r="D60" s="56"/>
      <c r="E60"/>
      <c r="F60"/>
      <c r="N60" s="365"/>
      <c r="O60" s="56"/>
      <c r="P60" s="56"/>
    </row>
    <row r="61" spans="2:17">
      <c r="C61" s="56"/>
      <c r="E61"/>
      <c r="F61"/>
      <c r="N61" s="365"/>
      <c r="O61"/>
      <c r="P61"/>
    </row>
    <row r="62" spans="2:17">
      <c r="C62" s="56"/>
      <c r="E62"/>
      <c r="F62"/>
      <c r="N62" s="278"/>
      <c r="O62" s="212"/>
      <c r="P62" s="212"/>
    </row>
    <row r="63" spans="2:17">
      <c r="C63" s="56"/>
      <c r="E63"/>
      <c r="F63"/>
      <c r="N63" s="365"/>
      <c r="O63" s="38"/>
      <c r="P63" s="56"/>
    </row>
    <row r="64" spans="2:17" ht="14.4">
      <c r="C64" s="56"/>
      <c r="E64"/>
      <c r="F64"/>
      <c r="O64"/>
    </row>
    <row r="65" spans="2:8" ht="14.4">
      <c r="C65" s="56"/>
      <c r="E65"/>
      <c r="F65"/>
    </row>
    <row r="66" spans="2:8" ht="14.4">
      <c r="C66" s="56"/>
      <c r="E66"/>
      <c r="F66"/>
    </row>
    <row r="67" spans="2:8" ht="14.4">
      <c r="C67" s="56"/>
      <c r="E67"/>
      <c r="F67"/>
    </row>
    <row r="68" spans="2:8" ht="14.4">
      <c r="C68" s="56"/>
      <c r="E68"/>
      <c r="F68"/>
    </row>
    <row r="69" spans="2:8">
      <c r="E69" s="365"/>
      <c r="F69" s="365"/>
    </row>
    <row r="70" spans="2:8" ht="14.4">
      <c r="B70" s="212"/>
      <c r="C70" s="294"/>
      <c r="D70" s="212"/>
      <c r="E70" s="212"/>
      <c r="F70" s="212"/>
      <c r="G70" s="212"/>
      <c r="H70" s="212"/>
    </row>
    <row r="71" spans="2:8" ht="14.4">
      <c r="C71" s="56"/>
      <c r="D71" s="56"/>
      <c r="E71" s="56"/>
      <c r="F71" s="56"/>
      <c r="G71" s="56"/>
      <c r="H71" s="56"/>
    </row>
    <row r="72" spans="2:8" ht="14.4">
      <c r="C72" s="56"/>
      <c r="D72" s="56"/>
      <c r="E72" s="56"/>
      <c r="F72" s="56"/>
      <c r="G72" s="56"/>
      <c r="H72" s="56"/>
    </row>
    <row r="73" spans="2:8" ht="14.4">
      <c r="C73" s="56"/>
      <c r="D73" s="56"/>
      <c r="E73" s="56"/>
      <c r="F73" s="56"/>
      <c r="G73" s="56"/>
      <c r="H73" s="56"/>
    </row>
    <row r="74" spans="2:8" ht="14.4">
      <c r="C74" s="56"/>
      <c r="D74" s="56"/>
      <c r="E74" s="56"/>
      <c r="F74" s="56"/>
      <c r="G74" s="56"/>
      <c r="H74" s="56"/>
    </row>
    <row r="75" spans="2:8" ht="14.4">
      <c r="C75" s="56"/>
      <c r="D75" s="56"/>
      <c r="E75" s="56"/>
      <c r="F75" s="56"/>
      <c r="G75" s="56"/>
      <c r="H75" s="56"/>
    </row>
    <row r="76" spans="2:8" ht="14.4">
      <c r="C76" s="56"/>
      <c r="E76" s="56"/>
      <c r="F76" s="56"/>
    </row>
    <row r="78" spans="2:8" ht="14.4">
      <c r="E78" s="212"/>
      <c r="F78" s="212"/>
      <c r="G78" s="212"/>
      <c r="H78" s="212"/>
    </row>
    <row r="79" spans="2:8" ht="14.4">
      <c r="E79" s="56"/>
      <c r="F79" s="56"/>
      <c r="G79" s="56"/>
      <c r="H79" s="56"/>
    </row>
    <row r="80" spans="2:8" ht="14.4">
      <c r="E80" s="56"/>
      <c r="F80" s="56"/>
      <c r="G80" s="56"/>
      <c r="H80" s="56"/>
    </row>
    <row r="81" spans="5:8" ht="14.4">
      <c r="E81" s="56"/>
      <c r="F81" s="56"/>
      <c r="G81" s="56"/>
      <c r="H81" s="56"/>
    </row>
    <row r="82" spans="5:8" ht="14.4">
      <c r="E82" s="56"/>
      <c r="F82" s="56"/>
      <c r="G82" s="56"/>
      <c r="H82" s="56"/>
    </row>
    <row r="83" spans="5:8" ht="14.4">
      <c r="E83" s="56"/>
      <c r="F83" s="56"/>
      <c r="G83" s="56"/>
      <c r="H83" s="56"/>
    </row>
    <row r="84" spans="5:8" ht="14.4">
      <c r="E84" s="56"/>
      <c r="F84" s="56"/>
    </row>
    <row r="86" spans="5:8" ht="14.4">
      <c r="E86" s="212"/>
      <c r="F86" s="212"/>
      <c r="G86" s="212"/>
      <c r="H86" s="212"/>
    </row>
    <row r="87" spans="5:8" ht="14.4">
      <c r="E87" s="56"/>
      <c r="F87" s="56"/>
      <c r="G87" s="56"/>
      <c r="H87" s="56"/>
    </row>
    <row r="88" spans="5:8" ht="14.4">
      <c r="E88" s="56"/>
      <c r="F88" s="56"/>
      <c r="G88" s="56"/>
      <c r="H88" s="56"/>
    </row>
    <row r="89" spans="5:8" ht="14.4">
      <c r="E89" s="56"/>
      <c r="F89" s="56"/>
      <c r="G89" s="56"/>
      <c r="H89" s="56"/>
    </row>
    <row r="90" spans="5:8" ht="14.4">
      <c r="E90" s="56"/>
      <c r="F90" s="56"/>
      <c r="G90" s="56"/>
      <c r="H90" s="56"/>
    </row>
    <row r="91" spans="5:8" ht="14.4">
      <c r="E91" s="56"/>
      <c r="F91" s="56"/>
      <c r="G91" s="56"/>
      <c r="H91" s="56"/>
    </row>
    <row r="92" spans="5:8" ht="14.4">
      <c r="E92" s="56"/>
      <c r="F92" s="56"/>
    </row>
    <row r="93" spans="5:8">
      <c r="E93" s="365"/>
      <c r="F93" s="365"/>
    </row>
  </sheetData>
  <mergeCells count="27">
    <mergeCell ref="D55:K55"/>
    <mergeCell ref="M55:P55"/>
    <mergeCell ref="B42:G42"/>
    <mergeCell ref="K42:O42"/>
    <mergeCell ref="B43:C43"/>
    <mergeCell ref="D43:E43"/>
    <mergeCell ref="I46:M46"/>
    <mergeCell ref="N52:N54"/>
    <mergeCell ref="B40:D40"/>
    <mergeCell ref="B5:C5"/>
    <mergeCell ref="D5:E5"/>
    <mergeCell ref="B6:B18"/>
    <mergeCell ref="C6:C18"/>
    <mergeCell ref="B20:E20"/>
    <mergeCell ref="B21:C21"/>
    <mergeCell ref="D21:E21"/>
    <mergeCell ref="B28:E28"/>
    <mergeCell ref="B29:C29"/>
    <mergeCell ref="D29:E29"/>
    <mergeCell ref="B30:B37"/>
    <mergeCell ref="C30:C37"/>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4E27-4C1C-DE49-A0C2-F867A2B9C3F1}">
  <dimension ref="A1:U96"/>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21" max="21" width="16.109375" customWidth="1"/>
  </cols>
  <sheetData>
    <row r="1" spans="1:21" ht="25.5" customHeight="1">
      <c r="A1" t="e">
        <f ca="1">UPPER(TEXT((1&amp;LEFT(B$1,3))-1,"MMM"))&amp;"-"&amp;UPPER(TEXT((1&amp;RIGHT(LEFT(B$1,7),3))-1,"MMM"))&amp;" "&amp;RIGHT(B$1,4)</f>
        <v>#VALUE!</v>
      </c>
      <c r="B1" s="730" t="str">
        <f ca="1">MID(CELL("filename",B1),FIND("]",CELL("filename",B1))+1,255)</f>
        <v>2022 Goals</v>
      </c>
      <c r="C1" s="731"/>
      <c r="D1" s="731"/>
      <c r="E1" s="731"/>
      <c r="F1" s="731"/>
      <c r="G1" s="731"/>
      <c r="H1" s="731"/>
      <c r="I1" s="731"/>
      <c r="J1" s="731"/>
      <c r="K1" s="731"/>
      <c r="L1" s="731"/>
      <c r="M1" s="731"/>
      <c r="N1" s="731"/>
      <c r="O1" s="731"/>
      <c r="P1" s="298"/>
      <c r="Q1" s="281"/>
      <c r="R1" s="272"/>
      <c r="S1" s="272"/>
      <c r="T1" s="272"/>
    </row>
    <row r="2" spans="1:21">
      <c r="B2" s="118"/>
      <c r="C2" s="118"/>
      <c r="D2">
        <f>1810.29-650</f>
        <v>1160.29</v>
      </c>
      <c r="E2" s="365"/>
      <c r="F2" s="365"/>
      <c r="G2" s="79" t="s">
        <v>798</v>
      </c>
      <c r="H2" s="307" t="s">
        <v>814</v>
      </c>
      <c r="I2" s="79" t="s">
        <v>799</v>
      </c>
      <c r="J2" s="307" t="s">
        <v>814</v>
      </c>
      <c r="K2" s="79" t="s">
        <v>800</v>
      </c>
      <c r="L2" s="307" t="s">
        <v>814</v>
      </c>
      <c r="M2" s="79" t="s">
        <v>801</v>
      </c>
      <c r="N2" s="307" t="s">
        <v>814</v>
      </c>
      <c r="O2" s="273" t="s">
        <v>10</v>
      </c>
      <c r="P2" s="273"/>
      <c r="Q2" s="283" t="s">
        <v>803</v>
      </c>
    </row>
    <row r="3" spans="1:21">
      <c r="B3" s="118"/>
      <c r="C3" s="118"/>
      <c r="E3" s="365"/>
      <c r="F3" s="365"/>
      <c r="G3" s="732">
        <v>44036</v>
      </c>
      <c r="H3" s="732"/>
      <c r="I3" s="732">
        <f>G3+7</f>
        <v>44043</v>
      </c>
      <c r="J3" s="732"/>
      <c r="K3" s="732">
        <f>I3+7</f>
        <v>44050</v>
      </c>
      <c r="L3" s="732"/>
      <c r="M3" s="732">
        <f>K3+7</f>
        <v>44057</v>
      </c>
      <c r="N3" s="732"/>
      <c r="O3" s="325" t="str">
        <f>0 &amp; " / " &amp; ROUND(0-O4,2)</f>
        <v>0 / 0</v>
      </c>
      <c r="P3" s="325" t="s">
        <v>994</v>
      </c>
      <c r="Q3" s="282"/>
    </row>
    <row r="4" spans="1:21" ht="15" customHeight="1">
      <c r="B4" s="727" t="str">
        <f>_xlfn.CONCAT("Expenses - 50 - ",G43*0.5," / Actual = ",D5," (",ROUND((D5/G43)*100,2),")")</f>
        <v>Expenses - 50 - 2500 / Actual = 2456.52 (49.13)</v>
      </c>
      <c r="C4" s="727"/>
      <c r="D4" s="727"/>
      <c r="E4" s="727"/>
      <c r="F4" s="318"/>
      <c r="H4" s="243">
        <f>SUM(H5:H41)</f>
        <v>0</v>
      </c>
      <c r="J4" s="243">
        <f>SUM(J5:J41)</f>
        <v>0</v>
      </c>
      <c r="L4" s="243">
        <f>SUM(L5:L41)</f>
        <v>0</v>
      </c>
      <c r="N4" s="243">
        <f>SUM(N5:N41)</f>
        <v>0</v>
      </c>
      <c r="O4" s="308">
        <f>IF(H42&lt;&gt;"PAID",H4,0)+IF(J42&lt;&gt;"PAID",J4,0)+IF(L42&lt;&gt;"PAID",L4,0)+IF(N42&lt;&gt;"PAID",N4,0)</f>
        <v>0</v>
      </c>
      <c r="P4" s="309" t="s">
        <v>973</v>
      </c>
      <c r="Q4" s="282"/>
      <c r="R4">
        <f>551.75-538</f>
        <v>13.75</v>
      </c>
    </row>
    <row r="5" spans="1:21" ht="15" customHeight="1">
      <c r="B5" s="733" t="str">
        <f>IF(D5&gt;E$43*0.5,ROUND(D5-E$43*0.5,2) &amp; " Over",ROUND(E$43*0.5-D5,2) &amp; " Under")</f>
        <v>43.48 Under</v>
      </c>
      <c r="C5" s="733"/>
      <c r="D5" s="761">
        <f>SUM(F6:F20)</f>
        <v>2456.52</v>
      </c>
      <c r="E5" s="761"/>
      <c r="F5" s="321"/>
      <c r="G5" s="284"/>
      <c r="H5" s="306"/>
      <c r="I5" s="79"/>
      <c r="J5" s="306"/>
      <c r="K5" s="79"/>
      <c r="L5" s="306"/>
      <c r="M5" s="79"/>
      <c r="N5" s="305"/>
      <c r="O5" s="285">
        <f>SUMIF(O6:O20,"&gt;0")</f>
        <v>2398.6899999999996</v>
      </c>
      <c r="P5" s="285" t="s">
        <v>892</v>
      </c>
      <c r="Q5" s="282">
        <f>SUM(Q6:Q20)</f>
        <v>0</v>
      </c>
    </row>
    <row r="6" spans="1:21" ht="15" customHeight="1">
      <c r="B6" s="734" t="str">
        <f>"50%: " &amp; E$43*0.5</f>
        <v>50%: 2500</v>
      </c>
      <c r="C6" s="734" t="str">
        <f>ROUND((D5/E$43)*100,2) &amp; "%: " &amp;D5</f>
        <v>49.13%: 2456.52</v>
      </c>
      <c r="D6" s="13" t="s">
        <v>805</v>
      </c>
      <c r="E6" s="365">
        <v>0</v>
      </c>
      <c r="F6" s="374">
        <v>150</v>
      </c>
      <c r="H6" s="305"/>
      <c r="J6" s="305"/>
      <c r="L6" s="305"/>
      <c r="N6" s="305"/>
      <c r="O6" s="274">
        <f>SUM(E6:F6)-SUM(G6:N6)</f>
        <v>150</v>
      </c>
      <c r="P6" s="274" t="str">
        <f t="shared" ref="P6:P20" si="0">D6</f>
        <v>Car Petrol / commuting</v>
      </c>
      <c r="Q6" s="282">
        <f t="shared" ref="Q6:Q20" si="1">IF(O6&lt;0,O6*-1,0)</f>
        <v>0</v>
      </c>
    </row>
    <row r="7" spans="1:21" ht="15" customHeight="1">
      <c r="B7" s="734"/>
      <c r="C7" s="734"/>
      <c r="D7" s="13" t="s">
        <v>169</v>
      </c>
      <c r="E7" s="365">
        <v>0</v>
      </c>
      <c r="F7" s="365">
        <v>400</v>
      </c>
      <c r="H7" s="305"/>
      <c r="J7" s="305"/>
      <c r="L7" s="305"/>
      <c r="N7" s="305"/>
      <c r="O7" s="274">
        <f t="shared" ref="O7:O20" si="2">SUM(E7:F7)-SUM(G7:N7)</f>
        <v>400</v>
      </c>
      <c r="P7" s="274" t="str">
        <f t="shared" si="0"/>
        <v>Food</v>
      </c>
      <c r="Q7" s="282">
        <f t="shared" si="1"/>
        <v>0</v>
      </c>
    </row>
    <row r="8" spans="1:21" ht="15" customHeight="1">
      <c r="B8" s="734"/>
      <c r="C8" s="734"/>
      <c r="D8" s="13" t="s">
        <v>919</v>
      </c>
      <c r="E8" s="365">
        <v>0</v>
      </c>
      <c r="F8" s="365">
        <f>40</f>
        <v>40</v>
      </c>
      <c r="H8" s="305"/>
      <c r="J8" s="305"/>
      <c r="L8" s="305"/>
      <c r="N8" s="305"/>
      <c r="O8" s="274">
        <f t="shared" si="2"/>
        <v>40</v>
      </c>
      <c r="P8" s="274" t="str">
        <f t="shared" si="0"/>
        <v>Bun</v>
      </c>
      <c r="Q8" s="282">
        <f t="shared" si="1"/>
        <v>0</v>
      </c>
    </row>
    <row r="9" spans="1:21" ht="15" customHeight="1" outlineLevel="1">
      <c r="B9" s="734"/>
      <c r="C9" s="734"/>
      <c r="D9" s="201" t="s">
        <v>595</v>
      </c>
      <c r="E9" s="365">
        <v>0</v>
      </c>
      <c r="F9" s="365">
        <v>1250</v>
      </c>
      <c r="H9" s="305"/>
      <c r="J9" s="305"/>
      <c r="L9" s="305"/>
      <c r="N9" s="305"/>
      <c r="O9" s="274">
        <f t="shared" si="2"/>
        <v>1250</v>
      </c>
      <c r="P9" s="274" t="str">
        <f t="shared" si="0"/>
        <v>Mortgage</v>
      </c>
      <c r="Q9" s="282">
        <f t="shared" si="1"/>
        <v>0</v>
      </c>
    </row>
    <row r="10" spans="1:21" ht="15" customHeight="1" outlineLevel="1">
      <c r="B10" s="734"/>
      <c r="C10" s="734"/>
      <c r="D10" s="201" t="s">
        <v>596</v>
      </c>
      <c r="E10" s="365">
        <v>0</v>
      </c>
      <c r="F10" s="365">
        <v>150</v>
      </c>
      <c r="H10" s="305"/>
      <c r="J10" s="305"/>
      <c r="L10" s="305"/>
      <c r="N10" s="305"/>
      <c r="O10" s="274">
        <f t="shared" si="2"/>
        <v>150</v>
      </c>
      <c r="P10" s="274" t="str">
        <f t="shared" si="0"/>
        <v>Council tax</v>
      </c>
      <c r="Q10" s="282">
        <f t="shared" si="1"/>
        <v>0</v>
      </c>
    </row>
    <row r="11" spans="1:21" ht="15" customHeight="1" outlineLevel="1">
      <c r="B11" s="734"/>
      <c r="C11" s="734"/>
      <c r="D11" s="201" t="s">
        <v>1152</v>
      </c>
      <c r="E11" s="365">
        <v>0</v>
      </c>
      <c r="F11" s="365">
        <v>120</v>
      </c>
      <c r="H11" s="305"/>
      <c r="J11" s="305"/>
      <c r="L11" s="305"/>
      <c r="N11" s="305"/>
      <c r="O11" s="274">
        <f t="shared" si="2"/>
        <v>120</v>
      </c>
      <c r="P11" s="274" t="str">
        <f t="shared" si="0"/>
        <v>Utilities (G,W,E)</v>
      </c>
      <c r="Q11" s="282">
        <f t="shared" si="1"/>
        <v>0</v>
      </c>
    </row>
    <row r="12" spans="1:21" ht="15" customHeight="1" outlineLevel="1">
      <c r="B12" s="734"/>
      <c r="C12" s="734"/>
      <c r="D12" s="201" t="s">
        <v>996</v>
      </c>
      <c r="E12" s="365">
        <v>0</v>
      </c>
      <c r="F12" s="365">
        <f>20.78</f>
        <v>20.78</v>
      </c>
      <c r="H12" s="305"/>
      <c r="J12" s="305"/>
      <c r="L12" s="305"/>
      <c r="N12" s="305"/>
      <c r="O12" s="274"/>
      <c r="P12" s="274" t="str">
        <f t="shared" si="0"/>
        <v>Home Insurance</v>
      </c>
      <c r="Q12" s="282"/>
    </row>
    <row r="13" spans="1:21" ht="15" customHeight="1" outlineLevel="1">
      <c r="B13" s="734"/>
      <c r="C13" s="734"/>
      <c r="D13" s="201" t="s">
        <v>359</v>
      </c>
      <c r="E13" s="365">
        <v>0</v>
      </c>
      <c r="F13" s="365">
        <f>15</f>
        <v>15</v>
      </c>
      <c r="H13" s="305"/>
      <c r="J13" s="305"/>
      <c r="L13" s="305"/>
      <c r="N13" s="305"/>
      <c r="O13" s="274">
        <f t="shared" si="2"/>
        <v>15</v>
      </c>
      <c r="P13" s="274" t="str">
        <f t="shared" si="0"/>
        <v>TV License</v>
      </c>
      <c r="Q13" s="282">
        <f t="shared" si="1"/>
        <v>0</v>
      </c>
    </row>
    <row r="14" spans="1:21" ht="15" customHeight="1" outlineLevel="1">
      <c r="B14" s="734"/>
      <c r="C14" s="734"/>
      <c r="D14" s="201" t="s">
        <v>997</v>
      </c>
      <c r="E14" s="365">
        <v>0</v>
      </c>
      <c r="F14" s="365">
        <f>4.52+15.97+8.56+8</f>
        <v>37.050000000000004</v>
      </c>
      <c r="H14" s="305"/>
      <c r="J14" s="305"/>
      <c r="L14" s="305"/>
      <c r="N14" s="305"/>
      <c r="O14" s="274"/>
      <c r="P14" s="274" t="str">
        <f t="shared" si="0"/>
        <v>Other insurances</v>
      </c>
      <c r="Q14" s="282"/>
    </row>
    <row r="15" spans="1:21" ht="15" customHeight="1" outlineLevel="1">
      <c r="B15" s="734"/>
      <c r="C15" s="734"/>
      <c r="D15" s="201" t="s">
        <v>602</v>
      </c>
      <c r="E15" s="365">
        <v>0</v>
      </c>
      <c r="F15" s="365">
        <v>39.99</v>
      </c>
      <c r="H15" s="305"/>
      <c r="J15" s="305"/>
      <c r="L15" s="305"/>
      <c r="N15" s="305"/>
      <c r="O15" s="274">
        <f t="shared" si="2"/>
        <v>39.99</v>
      </c>
      <c r="P15" s="274" t="str">
        <f t="shared" si="0"/>
        <v>Broadband / TV</v>
      </c>
      <c r="Q15" s="282">
        <f t="shared" si="1"/>
        <v>0</v>
      </c>
    </row>
    <row r="16" spans="1:21" ht="15" customHeight="1" outlineLevel="1">
      <c r="B16" s="734"/>
      <c r="C16" s="734"/>
      <c r="D16" s="201" t="s">
        <v>582</v>
      </c>
      <c r="E16" s="365">
        <v>0</v>
      </c>
      <c r="F16" s="365">
        <v>7.99</v>
      </c>
      <c r="H16" s="305"/>
      <c r="J16" s="305"/>
      <c r="L16" s="305"/>
      <c r="N16" s="305"/>
      <c r="O16" s="274">
        <f t="shared" si="2"/>
        <v>7.99</v>
      </c>
      <c r="P16" s="274" t="str">
        <f t="shared" si="0"/>
        <v>Onedrive (6th)</v>
      </c>
      <c r="Q16" s="282">
        <f t="shared" si="1"/>
        <v>0</v>
      </c>
    </row>
    <row r="17" spans="2:17" ht="15" customHeight="1" outlineLevel="1">
      <c r="B17" s="734"/>
      <c r="C17" s="734"/>
      <c r="D17" s="201" t="s">
        <v>788</v>
      </c>
      <c r="E17" s="365">
        <v>0</v>
      </c>
      <c r="F17" s="365">
        <v>10.44</v>
      </c>
      <c r="H17" s="305"/>
      <c r="J17" s="305"/>
      <c r="L17" s="305"/>
      <c r="N17" s="305"/>
      <c r="O17" s="274">
        <f t="shared" si="2"/>
        <v>10.44</v>
      </c>
      <c r="P17" s="274" t="str">
        <f t="shared" si="0"/>
        <v>Matt Phone</v>
      </c>
      <c r="Q17" s="282">
        <f t="shared" si="1"/>
        <v>0</v>
      </c>
    </row>
    <row r="18" spans="2:17" ht="15" customHeight="1" outlineLevel="1">
      <c r="B18" s="734"/>
      <c r="C18" s="734"/>
      <c r="D18" s="201" t="s">
        <v>985</v>
      </c>
      <c r="E18" s="365">
        <v>0</v>
      </c>
      <c r="F18" s="365">
        <f>28.43+12.25+65.87+93.72</f>
        <v>200.27</v>
      </c>
      <c r="H18" s="305"/>
      <c r="J18" s="305"/>
      <c r="L18" s="305"/>
      <c r="N18" s="305"/>
      <c r="O18" s="274">
        <f t="shared" si="2"/>
        <v>200.27</v>
      </c>
      <c r="P18" s="274" t="str">
        <f t="shared" si="0"/>
        <v>Car Tax / Insurance</v>
      </c>
      <c r="Q18" s="282">
        <f t="shared" si="1"/>
        <v>0</v>
      </c>
    </row>
    <row r="19" spans="2:17" ht="15" customHeight="1" outlineLevel="1">
      <c r="B19" s="734"/>
      <c r="C19" s="734"/>
      <c r="D19" s="201" t="s">
        <v>944</v>
      </c>
      <c r="E19" s="365">
        <v>0</v>
      </c>
      <c r="F19" s="365">
        <v>15</v>
      </c>
      <c r="H19" s="305"/>
      <c r="J19" s="305"/>
      <c r="L19" s="305"/>
      <c r="N19" s="305"/>
      <c r="O19" s="274">
        <f t="shared" si="2"/>
        <v>15</v>
      </c>
      <c r="P19" s="274" t="str">
        <f t="shared" si="0"/>
        <v>Windows</v>
      </c>
      <c r="Q19" s="282">
        <f t="shared" si="1"/>
        <v>0</v>
      </c>
    </row>
    <row r="20" spans="2:17" ht="15" customHeight="1" outlineLevel="1">
      <c r="B20" s="734"/>
      <c r="C20" s="734"/>
      <c r="D20" s="293" t="s">
        <v>920</v>
      </c>
      <c r="E20" s="365">
        <v>0</v>
      </c>
      <c r="F20" s="277">
        <v>0</v>
      </c>
      <c r="H20" s="305"/>
      <c r="J20" s="305"/>
      <c r="L20" s="305"/>
      <c r="N20" s="305"/>
      <c r="O20" s="274">
        <f t="shared" si="2"/>
        <v>0</v>
      </c>
      <c r="P20" s="274" t="str">
        <f t="shared" si="0"/>
        <v>Finance</v>
      </c>
      <c r="Q20" s="282">
        <f t="shared" si="1"/>
        <v>0</v>
      </c>
    </row>
    <row r="21" spans="2:17" ht="15" customHeight="1">
      <c r="B21" s="118"/>
      <c r="C21" s="118"/>
      <c r="D21" s="188"/>
      <c r="E21" s="365"/>
      <c r="F21" s="365"/>
      <c r="H21" s="305"/>
      <c r="J21" s="305"/>
      <c r="L21" s="305"/>
      <c r="N21" s="305"/>
      <c r="O21" s="273"/>
      <c r="P21" s="273"/>
      <c r="Q21" s="282"/>
    </row>
    <row r="22" spans="2:17" ht="15" customHeight="1">
      <c r="B22" s="736" t="str">
        <f>_xlfn.CONCAT("Savings - 20 - ",G43*0.2," / Actual = ",D23," (",ROUND((D23/G43)*100,2),")")</f>
        <v>Savings - 20 - 1000 / Actual = 650 (13)</v>
      </c>
      <c r="C22" s="736"/>
      <c r="D22" s="736"/>
      <c r="E22" s="736"/>
      <c r="F22" s="320"/>
      <c r="H22" s="305"/>
      <c r="J22" s="305"/>
      <c r="L22" s="305"/>
      <c r="N22" s="305"/>
      <c r="O22" s="274"/>
      <c r="P22" s="274"/>
      <c r="Q22" s="282"/>
    </row>
    <row r="23" spans="2:17" ht="15" customHeight="1">
      <c r="B23" s="727" t="str">
        <f>IF(ISNUMBER((SEARCH("Over",C$5))),"Operating under budget","Operating over budget")</f>
        <v>Operating over budget</v>
      </c>
      <c r="C23" s="727"/>
      <c r="D23" s="759">
        <f>SUM(F24:F30)</f>
        <v>650</v>
      </c>
      <c r="E23" s="759"/>
      <c r="F23" s="319"/>
      <c r="H23" s="305"/>
      <c r="J23" s="305"/>
      <c r="L23" s="305"/>
      <c r="N23" s="305"/>
      <c r="O23" s="285">
        <f>SUMIF(O24:O30,"&gt;0")</f>
        <v>600</v>
      </c>
      <c r="P23" s="285" t="s">
        <v>895</v>
      </c>
      <c r="Q23" s="282">
        <f>SUM(Q25:Q25)</f>
        <v>0</v>
      </c>
    </row>
    <row r="24" spans="2:17" ht="15" customHeight="1" outlineLevel="1">
      <c r="B24" s="7" t="str">
        <f>"20% : " &amp; E$43*0.2</f>
        <v>20% : 1000</v>
      </c>
      <c r="C24" s="7" t="str">
        <f>"20% : " &amp; E$43*0.2</f>
        <v>20% : 1000</v>
      </c>
      <c r="D24" s="300" t="s">
        <v>896</v>
      </c>
      <c r="E24" s="365">
        <v>0</v>
      </c>
      <c r="F24" s="365">
        <v>300</v>
      </c>
      <c r="H24" s="305"/>
      <c r="J24" s="305"/>
      <c r="L24" s="315"/>
      <c r="N24" s="305"/>
      <c r="O24" s="274">
        <f>SUM(E24:F24)-SUM(G24:N24)-Q43</f>
        <v>300</v>
      </c>
      <c r="P24" s="274" t="str">
        <f t="shared" ref="P24:P30" si="3">D24</f>
        <v>Contingency 20%</v>
      </c>
      <c r="Q24" s="282">
        <f>SUM(Q25:Q31)</f>
        <v>0</v>
      </c>
    </row>
    <row r="25" spans="2:17" ht="15" customHeight="1" outlineLevel="1">
      <c r="B25" s="7"/>
      <c r="C25" s="7"/>
      <c r="D25" s="300" t="s">
        <v>953</v>
      </c>
      <c r="E25" s="365">
        <v>0</v>
      </c>
      <c r="F25" s="365">
        <v>100</v>
      </c>
      <c r="G25" s="11"/>
      <c r="H25" s="306"/>
      <c r="J25" s="305"/>
      <c r="L25" s="305"/>
      <c r="N25" s="305"/>
      <c r="O25" s="274">
        <f t="shared" ref="O25:O30" si="4">SUM(E25:F25)-SUM(G25:N25)</f>
        <v>100</v>
      </c>
      <c r="P25" s="274" t="str">
        <f t="shared" si="3"/>
        <v>Cars (Service / MOT) £45</v>
      </c>
      <c r="Q25" s="282">
        <f t="shared" ref="Q25:Q30" si="5">IF(O25&lt;0,O25*-1,0)</f>
        <v>0</v>
      </c>
    </row>
    <row r="26" spans="2:17" ht="15" customHeight="1" outlineLevel="1">
      <c r="B26" s="7"/>
      <c r="C26" s="7"/>
      <c r="D26" s="300" t="s">
        <v>999</v>
      </c>
      <c r="E26" s="365">
        <v>0</v>
      </c>
      <c r="F26" s="365">
        <v>200</v>
      </c>
      <c r="G26" s="11"/>
      <c r="H26" s="306"/>
      <c r="J26" s="305"/>
      <c r="L26" s="305"/>
      <c r="N26" s="305"/>
      <c r="O26" s="274">
        <f t="shared" si="4"/>
        <v>200</v>
      </c>
      <c r="P26" s="274" t="str">
        <f t="shared" si="3"/>
        <v>Mortgage Overpayment</v>
      </c>
      <c r="Q26" s="282">
        <f t="shared" si="5"/>
        <v>0</v>
      </c>
    </row>
    <row r="27" spans="2:17" ht="15" customHeight="1" outlineLevel="1">
      <c r="B27" s="7"/>
      <c r="C27" s="7"/>
      <c r="D27" s="300" t="s">
        <v>1135</v>
      </c>
      <c r="E27" s="365">
        <v>0</v>
      </c>
      <c r="F27" s="365">
        <v>50</v>
      </c>
      <c r="G27" s="11"/>
      <c r="H27" s="306"/>
      <c r="J27" s="305"/>
      <c r="L27" s="305"/>
      <c r="N27" s="305"/>
      <c r="O27" s="274"/>
      <c r="P27" s="274"/>
      <c r="Q27" s="282"/>
    </row>
    <row r="28" spans="2:17" ht="15" customHeight="1" outlineLevel="1">
      <c r="B28" s="7"/>
      <c r="C28" s="7"/>
      <c r="D28" s="300" t="s">
        <v>1153</v>
      </c>
      <c r="E28" s="365">
        <v>0</v>
      </c>
      <c r="F28" s="365"/>
      <c r="G28" s="11"/>
      <c r="H28" s="306"/>
      <c r="J28" s="305"/>
      <c r="L28" s="305"/>
      <c r="N28" s="305"/>
      <c r="O28" s="274"/>
      <c r="P28" s="274"/>
      <c r="Q28" s="282"/>
    </row>
    <row r="29" spans="2:17" ht="15" customHeight="1" outlineLevel="1">
      <c r="B29" s="7"/>
      <c r="C29" s="7"/>
      <c r="D29" s="300" t="s">
        <v>1000</v>
      </c>
      <c r="E29" s="365">
        <v>0</v>
      </c>
      <c r="F29" s="365">
        <v>0</v>
      </c>
      <c r="G29" s="11"/>
      <c r="H29" s="306"/>
      <c r="J29" s="305"/>
      <c r="L29" s="305"/>
      <c r="N29" s="305"/>
      <c r="O29" s="274">
        <f t="shared" si="4"/>
        <v>0</v>
      </c>
      <c r="P29" s="274" t="str">
        <f t="shared" si="3"/>
        <v>Finance Overpayment</v>
      </c>
      <c r="Q29" s="282">
        <f t="shared" si="5"/>
        <v>0</v>
      </c>
    </row>
    <row r="30" spans="2:17" ht="15" customHeight="1" outlineLevel="1">
      <c r="B30" s="7"/>
      <c r="C30" s="7"/>
      <c r="D30" s="300" t="s">
        <v>1001</v>
      </c>
      <c r="E30" s="365">
        <v>0</v>
      </c>
      <c r="F30" s="365">
        <v>0</v>
      </c>
      <c r="G30" s="11"/>
      <c r="H30" s="306"/>
      <c r="J30" s="305"/>
      <c r="L30" s="305"/>
      <c r="N30" s="305"/>
      <c r="O30" s="274">
        <f t="shared" si="4"/>
        <v>0</v>
      </c>
      <c r="P30" s="274" t="str">
        <f t="shared" si="3"/>
        <v>CC Overpayment</v>
      </c>
      <c r="Q30" s="282">
        <f t="shared" si="5"/>
        <v>0</v>
      </c>
    </row>
    <row r="31" spans="2:17" ht="15" customHeight="1">
      <c r="B31" s="118"/>
      <c r="C31" s="118"/>
      <c r="E31" s="365"/>
      <c r="F31" s="365"/>
      <c r="H31" s="305"/>
      <c r="J31" s="305"/>
      <c r="L31" s="305"/>
      <c r="N31" s="305"/>
      <c r="O31" s="273"/>
      <c r="P31" s="273"/>
      <c r="Q31" s="282"/>
    </row>
    <row r="32" spans="2:17" ht="15" customHeight="1">
      <c r="B32" s="727" t="str">
        <f>_xlfn.CONCAT("Wants - 30 - ",G43*0.3," / Actual = ",D33," (",ROUND((D33/G43)*100,2),")")</f>
        <v>Wants - 30 - 1500 / Actual = 1893.48 (37.87)</v>
      </c>
      <c r="C32" s="727"/>
      <c r="D32" s="727"/>
      <c r="E32" s="727"/>
      <c r="F32" s="318"/>
      <c r="H32" s="305"/>
      <c r="J32" s="305"/>
      <c r="L32" s="305"/>
      <c r="N32" s="305"/>
      <c r="O32" s="273"/>
      <c r="P32" s="273"/>
      <c r="Q32" s="282"/>
    </row>
    <row r="33" spans="2:20" ht="15" customHeight="1">
      <c r="B33" s="727" t="str">
        <f>IF(ISNUMBER((SEARCH("Over",B$5))),"Operating under budget","Operating over budget")</f>
        <v>Operating over budget</v>
      </c>
      <c r="C33" s="727"/>
      <c r="D33" s="759">
        <f>(E$43-D5-D23-E42)</f>
        <v>1893.48</v>
      </c>
      <c r="E33" s="727"/>
      <c r="F33" s="319">
        <f>SUM(F34:F40)</f>
        <v>1393.48</v>
      </c>
      <c r="H33" s="305"/>
      <c r="J33" s="305"/>
      <c r="L33" s="305"/>
      <c r="N33" s="305"/>
      <c r="O33" s="285">
        <f>SUMIF(O34:O39,"&gt;0")</f>
        <v>888.63</v>
      </c>
      <c r="P33" s="285" t="s">
        <v>899</v>
      </c>
      <c r="Q33" s="282">
        <f>SUM(Q34:Q40)</f>
        <v>0</v>
      </c>
    </row>
    <row r="34" spans="2:20" ht="15" customHeight="1" outlineLevel="1">
      <c r="B34" s="734"/>
      <c r="C34" s="760"/>
      <c r="D34" s="300" t="s">
        <v>354</v>
      </c>
      <c r="E34" s="365">
        <v>0</v>
      </c>
      <c r="F34" s="365">
        <v>600</v>
      </c>
      <c r="H34" s="305"/>
      <c r="J34" s="305"/>
      <c r="L34" s="305"/>
      <c r="N34" s="305"/>
      <c r="O34" s="274">
        <f t="shared" ref="O34:O36" si="6">SUM(E34:F34)-SUM(G34:N34)</f>
        <v>600</v>
      </c>
      <c r="P34" s="274" t="str">
        <f t="shared" ref="P34:P41" si="7">D34</f>
        <v>Holiday</v>
      </c>
      <c r="Q34" s="282">
        <f t="shared" ref="Q34:Q38" si="8">IF(O34&lt;0,O34*-1,0)</f>
        <v>0</v>
      </c>
      <c r="S34" s="11"/>
      <c r="T34" s="11"/>
    </row>
    <row r="35" spans="2:20" ht="15" customHeight="1" outlineLevel="1">
      <c r="B35" s="734"/>
      <c r="C35" s="760"/>
      <c r="D35" s="300" t="s">
        <v>170</v>
      </c>
      <c r="E35" s="365">
        <v>0</v>
      </c>
      <c r="F35" s="365">
        <v>250</v>
      </c>
      <c r="H35" s="305"/>
      <c r="J35" s="305"/>
      <c r="L35" s="305"/>
      <c r="N35" s="305"/>
      <c r="O35" s="274">
        <f t="shared" si="6"/>
        <v>250</v>
      </c>
      <c r="P35" s="274" t="str">
        <f t="shared" si="7"/>
        <v>Gift Fund</v>
      </c>
      <c r="Q35" s="282">
        <f t="shared" si="8"/>
        <v>0</v>
      </c>
    </row>
    <row r="36" spans="2:20" ht="15" customHeight="1" outlineLevel="1">
      <c r="B36" s="734"/>
      <c r="C36" s="760"/>
      <c r="D36" s="300" t="s">
        <v>174</v>
      </c>
      <c r="E36" s="365">
        <v>0</v>
      </c>
      <c r="F36" s="365">
        <v>0</v>
      </c>
      <c r="G36" s="11"/>
      <c r="H36" s="306"/>
      <c r="J36" s="305"/>
      <c r="L36" s="305"/>
      <c r="N36" s="305"/>
      <c r="O36" s="274">
        <f t="shared" si="6"/>
        <v>0</v>
      </c>
      <c r="P36" s="274" t="str">
        <f t="shared" si="7"/>
        <v>House</v>
      </c>
      <c r="Q36" s="282">
        <f t="shared" si="8"/>
        <v>0</v>
      </c>
    </row>
    <row r="37" spans="2:20" ht="18" outlineLevel="1">
      <c r="B37" s="734"/>
      <c r="C37" s="760"/>
      <c r="D37" s="13" t="s">
        <v>943</v>
      </c>
      <c r="E37" s="365">
        <v>0</v>
      </c>
      <c r="F37" s="365">
        <v>0</v>
      </c>
      <c r="H37" s="305"/>
      <c r="J37" s="305"/>
      <c r="L37" s="305"/>
      <c r="N37" s="305"/>
      <c r="O37" s="274">
        <f t="shared" ref="O37:O41" si="9">SUM(E37:F37)-SUM(G37:N37)</f>
        <v>0</v>
      </c>
      <c r="P37" s="274" t="str">
        <f t="shared" si="7"/>
        <v>Car wash</v>
      </c>
      <c r="Q37" s="282">
        <f t="shared" si="8"/>
        <v>0</v>
      </c>
    </row>
    <row r="38" spans="2:20" ht="18" outlineLevel="1">
      <c r="B38" s="734"/>
      <c r="C38" s="760"/>
      <c r="D38" s="13" t="s">
        <v>177</v>
      </c>
      <c r="E38" s="365">
        <v>0</v>
      </c>
      <c r="F38" s="365">
        <v>0</v>
      </c>
      <c r="H38" s="305"/>
      <c r="J38" s="305"/>
      <c r="L38" s="305"/>
      <c r="N38" s="305"/>
      <c r="O38" s="274">
        <f t="shared" si="9"/>
        <v>0</v>
      </c>
      <c r="P38" s="274" t="str">
        <f t="shared" si="7"/>
        <v>Gym</v>
      </c>
      <c r="Q38" s="282">
        <f t="shared" si="8"/>
        <v>0</v>
      </c>
    </row>
    <row r="39" spans="2:20" ht="15.75" customHeight="1" outlineLevel="1">
      <c r="B39" s="734"/>
      <c r="C39" s="760"/>
      <c r="D39" s="13" t="s">
        <v>781</v>
      </c>
      <c r="E39" s="365">
        <v>0</v>
      </c>
      <c r="F39" s="365">
        <f>13+2+10.65+5.99+5.99+1</f>
        <v>38.630000000000003</v>
      </c>
      <c r="H39" s="305"/>
      <c r="J39" s="305"/>
      <c r="L39" s="305"/>
      <c r="N39" s="305"/>
      <c r="O39" s="274">
        <f t="shared" si="9"/>
        <v>38.630000000000003</v>
      </c>
      <c r="P39" s="274" t="str">
        <f t="shared" si="7"/>
        <v>Subscriptions</v>
      </c>
      <c r="Q39" s="282">
        <f>IF(O39&lt;0,O39*-1,0)</f>
        <v>0</v>
      </c>
    </row>
    <row r="40" spans="2:20" ht="18" outlineLevel="1">
      <c r="B40" s="734"/>
      <c r="C40" s="760"/>
      <c r="D40" s="13" t="s">
        <v>922</v>
      </c>
      <c r="E40" s="365">
        <v>0</v>
      </c>
      <c r="F40" s="365">
        <f>(D33-SUM(F34:F39))-F41</f>
        <v>504.85</v>
      </c>
      <c r="H40" s="305"/>
      <c r="J40" s="305"/>
      <c r="L40" s="305"/>
      <c r="N40" s="305"/>
      <c r="O40" s="274">
        <f>SUM(E40:F40)-SUM(G40:N40)</f>
        <v>504.85</v>
      </c>
      <c r="P40" s="274" t="str">
        <f t="shared" si="7"/>
        <v>Matt Fun</v>
      </c>
      <c r="Q40" s="282">
        <f>IF(F40-SUM(G40:N40)&lt;=0,(F40-SUM(G40:N40))*-1,0)</f>
        <v>0</v>
      </c>
    </row>
    <row r="41" spans="2:20" ht="18" outlineLevel="1">
      <c r="B41" s="7"/>
      <c r="C41" s="284"/>
      <c r="D41" s="13" t="s">
        <v>152</v>
      </c>
      <c r="E41" s="365">
        <v>0</v>
      </c>
      <c r="F41" s="365">
        <v>500</v>
      </c>
      <c r="H41" s="305"/>
      <c r="J41" s="305"/>
      <c r="L41" s="305"/>
      <c r="N41" s="305"/>
      <c r="O41" s="274">
        <f t="shared" si="9"/>
        <v>500</v>
      </c>
      <c r="P41" s="274" t="str">
        <f t="shared" si="7"/>
        <v>Kris</v>
      </c>
      <c r="Q41" s="271"/>
    </row>
    <row r="42" spans="2:20">
      <c r="B42" s="118"/>
      <c r="C42" s="118"/>
      <c r="E42" s="365">
        <f>SUM(E34:E41)+SUM(E24:E30)+SUM(E6:E20)</f>
        <v>0</v>
      </c>
      <c r="F42" s="365"/>
      <c r="H42" s="7"/>
      <c r="J42" s="7"/>
      <c r="L42" s="7"/>
      <c r="N42" s="7"/>
      <c r="O42" s="273"/>
      <c r="P42" s="273"/>
      <c r="Q42" s="282"/>
    </row>
    <row r="43" spans="2:20" ht="18">
      <c r="B43" s="728" t="s">
        <v>817</v>
      </c>
      <c r="C43" s="728"/>
      <c r="D43" s="728"/>
      <c r="E43" s="375">
        <f>G43+I43+K43+M43+N43+E42</f>
        <v>5000</v>
      </c>
      <c r="F43" s="379"/>
      <c r="G43" s="271">
        <v>5000</v>
      </c>
      <c r="H43" s="271"/>
      <c r="I43" s="271"/>
      <c r="J43" s="271"/>
      <c r="K43" s="271"/>
      <c r="L43" s="271"/>
      <c r="M43" s="271"/>
      <c r="N43" s="271"/>
      <c r="O43" s="314" t="str">
        <f>"£" &amp; ROUND(O5+O33+O23+O40+O41+O4,2) &amp; " / " &amp; "£" &amp; E43</f>
        <v>£4892.17 / £5000</v>
      </c>
      <c r="P43" s="274"/>
      <c r="Q43" s="282">
        <f>SUM(Q33,Q23,Q5)</f>
        <v>0</v>
      </c>
    </row>
    <row r="44" spans="2:20">
      <c r="B44" s="118"/>
      <c r="C44" s="7"/>
      <c r="E44" s="365"/>
      <c r="F44" s="365"/>
      <c r="G44" s="365"/>
      <c r="H44" s="365"/>
    </row>
    <row r="45" spans="2:20" ht="14.4">
      <c r="B45" s="729"/>
      <c r="C45" s="729"/>
      <c r="D45" s="729"/>
      <c r="E45" s="729"/>
      <c r="F45" s="729"/>
      <c r="G45" s="729"/>
      <c r="H45" s="297"/>
      <c r="K45" s="729"/>
      <c r="L45" s="729"/>
      <c r="M45" s="729"/>
      <c r="N45" s="729"/>
      <c r="O45" s="729"/>
      <c r="P45" s="297"/>
    </row>
    <row r="46" spans="2:20" ht="15" customHeight="1">
      <c r="B46" s="726" t="s">
        <v>955</v>
      </c>
      <c r="C46" s="726"/>
      <c r="D46" s="726"/>
      <c r="E46" s="726"/>
      <c r="F46" s="79"/>
      <c r="K46" s="212"/>
      <c r="L46" s="212"/>
      <c r="M46" s="278"/>
      <c r="N46" s="212"/>
      <c r="O46" s="118" t="s">
        <v>991</v>
      </c>
      <c r="P46" s="316">
        <v>44047</v>
      </c>
      <c r="Q46" s="7"/>
    </row>
    <row r="47" spans="2:20">
      <c r="B47" s="365"/>
      <c r="C47" s="38"/>
      <c r="E47" s="11"/>
      <c r="F47" s="11"/>
      <c r="G47" s="726" t="s">
        <v>1154</v>
      </c>
      <c r="H47" s="726"/>
      <c r="I47" s="726"/>
      <c r="K47" s="214"/>
      <c r="L47" s="214"/>
      <c r="M47" s="376"/>
      <c r="N47" s="214"/>
      <c r="O47" s="322" t="s">
        <v>992</v>
      </c>
      <c r="P47" s="42">
        <v>44018</v>
      </c>
      <c r="Q47" s="212"/>
    </row>
    <row r="48" spans="2:20">
      <c r="E48" s="11"/>
      <c r="F48"/>
      <c r="G48" t="s">
        <v>99</v>
      </c>
      <c r="H48" t="s">
        <v>1155</v>
      </c>
      <c r="I48">
        <v>2885</v>
      </c>
      <c r="M48" s="365"/>
      <c r="O48" t="s">
        <v>993</v>
      </c>
      <c r="P48">
        <v>0</v>
      </c>
    </row>
    <row r="49" spans="2:17" ht="16.2" customHeight="1">
      <c r="E49" s="214"/>
      <c r="F49" s="214"/>
      <c r="G49" t="s">
        <v>152</v>
      </c>
      <c r="H49" t="s">
        <v>1156</v>
      </c>
      <c r="I49" s="332">
        <v>2125</v>
      </c>
      <c r="J49" s="332"/>
      <c r="K49" s="332"/>
      <c r="L49" s="332"/>
      <c r="M49" s="332"/>
      <c r="N49" s="212"/>
      <c r="O49" s="212"/>
      <c r="P49" s="212"/>
    </row>
    <row r="50" spans="2:17">
      <c r="B50" s="378"/>
      <c r="E50"/>
      <c r="F50"/>
      <c r="I50" s="11">
        <f>SUM(I48:I49)</f>
        <v>5010</v>
      </c>
      <c r="J50" s="11"/>
      <c r="K50" s="56"/>
      <c r="L50" s="56"/>
      <c r="M50" s="365"/>
      <c r="N50" s="56"/>
      <c r="O50" s="56"/>
      <c r="P50" s="56"/>
    </row>
    <row r="51" spans="2:17">
      <c r="E51"/>
      <c r="F51"/>
      <c r="I51" s="11"/>
      <c r="J51" s="11"/>
      <c r="M51" s="365"/>
      <c r="N51" s="56"/>
      <c r="O51"/>
      <c r="P51"/>
    </row>
    <row r="52" spans="2:17">
      <c r="E52"/>
      <c r="F52"/>
      <c r="G52" s="726" t="s">
        <v>1157</v>
      </c>
      <c r="H52" s="726"/>
      <c r="I52" s="726"/>
      <c r="J52" s="11"/>
      <c r="M52" s="365"/>
      <c r="N52" s="56"/>
      <c r="O52" s="212"/>
      <c r="P52" s="212"/>
      <c r="Q52" s="212"/>
    </row>
    <row r="53" spans="2:17">
      <c r="E53"/>
      <c r="F53"/>
      <c r="G53" t="s">
        <v>99</v>
      </c>
      <c r="H53" t="s">
        <v>1158</v>
      </c>
      <c r="I53">
        <v>3245</v>
      </c>
      <c r="J53" s="11"/>
      <c r="M53" s="365"/>
      <c r="N53" s="56"/>
      <c r="O53" s="56"/>
      <c r="P53" s="56"/>
      <c r="Q53" s="38"/>
    </row>
    <row r="54" spans="2:17" ht="14.4">
      <c r="E54"/>
      <c r="F54"/>
      <c r="G54" t="s">
        <v>152</v>
      </c>
      <c r="H54" t="s">
        <v>1156</v>
      </c>
      <c r="I54" s="332">
        <v>2125</v>
      </c>
      <c r="J54" s="11"/>
      <c r="N54" s="56"/>
    </row>
    <row r="55" spans="2:17">
      <c r="E55" s="365"/>
      <c r="F55" s="365"/>
      <c r="I55" s="11">
        <f>SUM(I53:I54)</f>
        <v>5370</v>
      </c>
      <c r="J55" s="11"/>
      <c r="M55" s="365"/>
      <c r="N55" s="764"/>
    </row>
    <row r="56" spans="2:17">
      <c r="E56" s="365"/>
      <c r="F56" s="365"/>
      <c r="I56" s="11"/>
      <c r="J56" s="11"/>
      <c r="N56" s="765"/>
      <c r="O56" s="275"/>
      <c r="P56" s="275"/>
    </row>
    <row r="57" spans="2:17">
      <c r="B57" s="11"/>
      <c r="E57" s="365"/>
      <c r="F57" s="365"/>
      <c r="I57" s="11"/>
      <c r="J57" s="11"/>
      <c r="N57" s="765"/>
    </row>
    <row r="58" spans="2:17" ht="14.4">
      <c r="B58" s="11"/>
      <c r="D58" s="726"/>
      <c r="E58" s="726"/>
      <c r="F58" s="726"/>
      <c r="G58" s="726"/>
      <c r="H58" s="726"/>
      <c r="I58" s="726"/>
      <c r="J58" s="726"/>
      <c r="K58" s="726"/>
      <c r="L58" s="79"/>
      <c r="M58" s="726"/>
      <c r="N58" s="726"/>
      <c r="O58" s="726"/>
      <c r="P58" s="726"/>
    </row>
    <row r="59" spans="2:17">
      <c r="E59"/>
      <c r="F59"/>
      <c r="N59" s="278"/>
      <c r="O59" s="212"/>
      <c r="P59" s="212"/>
    </row>
    <row r="60" spans="2:17">
      <c r="B60" s="212"/>
      <c r="C60" s="212"/>
      <c r="E60"/>
      <c r="F60"/>
      <c r="G60">
        <f>5900-2700</f>
        <v>3200</v>
      </c>
      <c r="N60" s="376"/>
      <c r="O60" s="214"/>
      <c r="P60" s="214"/>
    </row>
    <row r="61" spans="2:17">
      <c r="C61" s="56"/>
      <c r="D61" s="243"/>
      <c r="E61"/>
      <c r="F61"/>
      <c r="N61" s="365"/>
      <c r="O61"/>
      <c r="P61"/>
    </row>
    <row r="62" spans="2:17">
      <c r="C62" s="56"/>
      <c r="E62"/>
      <c r="F62"/>
      <c r="N62" s="278"/>
      <c r="O62" s="212"/>
      <c r="P62" s="212"/>
    </row>
    <row r="63" spans="2:17">
      <c r="C63" s="56"/>
      <c r="D63" s="56"/>
      <c r="E63"/>
      <c r="F63"/>
      <c r="N63" s="365"/>
      <c r="O63" s="56"/>
      <c r="P63" s="56"/>
    </row>
    <row r="64" spans="2:17">
      <c r="C64" s="56"/>
      <c r="E64"/>
      <c r="F64"/>
      <c r="N64" s="365"/>
      <c r="O64"/>
      <c r="P64"/>
    </row>
    <row r="65" spans="2:16">
      <c r="C65" s="56"/>
      <c r="E65"/>
      <c r="F65"/>
      <c r="N65" s="278"/>
      <c r="O65" s="212"/>
      <c r="P65" s="212"/>
    </row>
    <row r="66" spans="2:16">
      <c r="C66" s="56"/>
      <c r="E66"/>
      <c r="F66"/>
      <c r="N66" s="365"/>
      <c r="O66" s="38"/>
      <c r="P66" s="56"/>
    </row>
    <row r="67" spans="2:16" ht="14.4">
      <c r="C67" s="56"/>
      <c r="E67"/>
      <c r="F67"/>
      <c r="O67"/>
    </row>
    <row r="68" spans="2:16" ht="14.4">
      <c r="C68" s="56"/>
      <c r="E68"/>
      <c r="F68"/>
    </row>
    <row r="69" spans="2:16" ht="14.4">
      <c r="C69" s="56"/>
      <c r="E69"/>
      <c r="F69"/>
    </row>
    <row r="70" spans="2:16" ht="14.4">
      <c r="C70" s="56"/>
      <c r="E70"/>
      <c r="F70"/>
    </row>
    <row r="71" spans="2:16" ht="14.4">
      <c r="C71" s="56"/>
      <c r="E71"/>
      <c r="F71"/>
    </row>
    <row r="72" spans="2:16">
      <c r="E72" s="365"/>
      <c r="F72" s="365"/>
    </row>
    <row r="73" spans="2:16" ht="14.4">
      <c r="B73" s="212"/>
      <c r="C73" s="294"/>
      <c r="D73" s="212"/>
      <c r="E73" s="212"/>
      <c r="F73" s="212"/>
      <c r="G73" s="212"/>
      <c r="H73" s="212"/>
    </row>
    <row r="74" spans="2:16" ht="14.4">
      <c r="C74" s="56"/>
      <c r="D74" s="56"/>
      <c r="E74" s="56"/>
      <c r="F74" s="56"/>
      <c r="G74" s="56"/>
      <c r="H74" s="56"/>
    </row>
    <row r="75" spans="2:16" ht="14.4">
      <c r="C75" s="56"/>
      <c r="D75" s="56"/>
      <c r="E75" s="56"/>
      <c r="F75" s="56"/>
      <c r="G75" s="56"/>
      <c r="H75" s="56"/>
    </row>
    <row r="76" spans="2:16" ht="14.4">
      <c r="C76" s="56"/>
      <c r="D76" s="56"/>
      <c r="E76" s="56"/>
      <c r="F76" s="56"/>
      <c r="G76" s="56"/>
      <c r="H76" s="56"/>
    </row>
    <row r="77" spans="2:16" ht="14.4">
      <c r="C77" s="56"/>
      <c r="D77" s="56"/>
      <c r="E77" s="56"/>
      <c r="F77" s="56"/>
      <c r="G77" s="56"/>
      <c r="H77" s="56"/>
    </row>
    <row r="78" spans="2:16" ht="14.4">
      <c r="C78" s="56"/>
      <c r="D78" s="56"/>
      <c r="E78" s="56"/>
      <c r="F78" s="56"/>
      <c r="G78" s="56"/>
      <c r="H78" s="56"/>
    </row>
    <row r="79" spans="2:16" ht="14.4">
      <c r="C79" s="56"/>
      <c r="E79" s="56"/>
      <c r="F79" s="56"/>
    </row>
    <row r="81" spans="5:8" ht="14.4">
      <c r="E81" s="212"/>
      <c r="F81" s="212"/>
      <c r="G81" s="212"/>
      <c r="H81" s="212"/>
    </row>
    <row r="82" spans="5:8" ht="14.4">
      <c r="E82" s="56"/>
      <c r="F82" s="56"/>
      <c r="G82" s="56"/>
      <c r="H82" s="56"/>
    </row>
    <row r="83" spans="5:8" ht="14.4">
      <c r="E83" s="56"/>
      <c r="F83" s="56"/>
      <c r="G83" s="56"/>
      <c r="H83" s="56"/>
    </row>
    <row r="84" spans="5:8" ht="14.4">
      <c r="E84" s="56"/>
      <c r="F84" s="56"/>
      <c r="G84" s="56"/>
      <c r="H84" s="56"/>
    </row>
    <row r="85" spans="5:8" ht="14.4">
      <c r="E85" s="56"/>
      <c r="F85" s="56"/>
      <c r="G85" s="56"/>
      <c r="H85" s="56"/>
    </row>
    <row r="86" spans="5:8" ht="14.4">
      <c r="E86" s="56"/>
      <c r="F86" s="56"/>
      <c r="G86" s="56"/>
      <c r="H86" s="56"/>
    </row>
    <row r="87" spans="5:8" ht="14.4">
      <c r="E87" s="56"/>
      <c r="F87" s="56"/>
    </row>
    <row r="89" spans="5:8" ht="14.4">
      <c r="E89" s="212"/>
      <c r="F89" s="212"/>
      <c r="G89" s="212"/>
      <c r="H89" s="212"/>
    </row>
    <row r="90" spans="5:8" ht="14.4">
      <c r="E90" s="56"/>
      <c r="F90" s="56"/>
      <c r="G90" s="56"/>
      <c r="H90" s="56"/>
    </row>
    <row r="91" spans="5:8" ht="14.4">
      <c r="E91" s="56"/>
      <c r="F91" s="56"/>
      <c r="G91" s="56"/>
      <c r="H91" s="56"/>
    </row>
    <row r="92" spans="5:8" ht="14.4">
      <c r="E92" s="56"/>
      <c r="F92" s="56"/>
      <c r="G92" s="56"/>
      <c r="H92" s="56"/>
    </row>
    <row r="93" spans="5:8" ht="14.4">
      <c r="E93" s="56"/>
      <c r="F93" s="56"/>
      <c r="G93" s="56"/>
      <c r="H93" s="56"/>
    </row>
    <row r="94" spans="5:8" ht="14.4">
      <c r="E94" s="56"/>
      <c r="F94" s="56"/>
      <c r="G94" s="56"/>
      <c r="H94" s="56"/>
    </row>
    <row r="95" spans="5:8" ht="14.4">
      <c r="E95" s="56"/>
      <c r="F95" s="56"/>
    </row>
    <row r="96" spans="5:8">
      <c r="E96" s="365"/>
      <c r="F96" s="365"/>
    </row>
  </sheetData>
  <mergeCells count="28">
    <mergeCell ref="D58:K58"/>
    <mergeCell ref="M58:P58"/>
    <mergeCell ref="B45:G45"/>
    <mergeCell ref="K45:O45"/>
    <mergeCell ref="B46:C46"/>
    <mergeCell ref="D46:E46"/>
    <mergeCell ref="N55:N57"/>
    <mergeCell ref="G47:I47"/>
    <mergeCell ref="G52:I52"/>
    <mergeCell ref="B43:D43"/>
    <mergeCell ref="B5:C5"/>
    <mergeCell ref="D5:E5"/>
    <mergeCell ref="B6:B20"/>
    <mergeCell ref="C6:C20"/>
    <mergeCell ref="B22:E22"/>
    <mergeCell ref="B23:C23"/>
    <mergeCell ref="D23:E23"/>
    <mergeCell ref="B32:E32"/>
    <mergeCell ref="B33:C33"/>
    <mergeCell ref="D33:E33"/>
    <mergeCell ref="B34:B40"/>
    <mergeCell ref="C34:C40"/>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76"/>
  <dimension ref="A1:I42"/>
  <sheetViews>
    <sheetView workbookViewId="0"/>
  </sheetViews>
  <sheetFormatPr defaultColWidth="11.33203125" defaultRowHeight="14.4" outlineLevelRow="2"/>
  <cols>
    <col min="1" max="1" width="23.109375" customWidth="1"/>
    <col min="2" max="2" width="28.109375" customWidth="1"/>
    <col min="3" max="6" width="25" customWidth="1"/>
    <col min="7" max="7" width="19.44140625" customWidth="1"/>
    <col min="8" max="8" width="15.44140625" customWidth="1"/>
  </cols>
  <sheetData>
    <row r="1" spans="1:9" ht="18">
      <c r="A1" s="180" t="s">
        <v>576</v>
      </c>
      <c r="B1" s="13" t="s">
        <v>164</v>
      </c>
      <c r="C1" s="44" t="str">
        <f>"15/08/17" &amp; " - " &amp; "21/08/17"</f>
        <v>15/08/17 - 21/08/17</v>
      </c>
      <c r="D1" s="44" t="str">
        <f>TEXT(DATEVALUE(RIGHT(C1,8))+1,"dd/mm/yy")&amp; " - "&amp; TEXT(DATEVALUE(RIGHT(C1,8))+7,"dd/mm/yy")</f>
        <v>22/08/17 - 28/08/17</v>
      </c>
      <c r="E1" s="44" t="str">
        <f>TEXT(DATEVALUE(RIGHT(D1,8))+1,"dd/mm/yy")&amp; " - "&amp; TEXT(DATEVALUE(RIGHT(D1,8))+7,"dd/mm/yy")</f>
        <v>29/08/17 - 04/09/17</v>
      </c>
      <c r="F1" s="44" t="str">
        <f>TEXT(DATEVALUE(RIGHT(E1,8))+1,"dd/mm/yy")&amp; " - "&amp; TEXT(DATEVALUE(RIGHT(E1,8))+7,"dd/mm/yy")</f>
        <v>05/09/17 - 11/09/17</v>
      </c>
      <c r="G1" s="12" t="s">
        <v>10</v>
      </c>
      <c r="H1" s="9"/>
    </row>
    <row r="2" spans="1:9" ht="18">
      <c r="A2" s="13" t="s">
        <v>165</v>
      </c>
      <c r="B2" s="10">
        <f>SUM(B4,B13,B20)</f>
        <v>1161.99</v>
      </c>
      <c r="C2" s="296">
        <f>SUM(C5:C17)</f>
        <v>826.35</v>
      </c>
      <c r="D2" s="296">
        <f>SUM(D5:D17)</f>
        <v>154.1</v>
      </c>
      <c r="E2" s="296">
        <f>SUM(E5:E17)</f>
        <v>0</v>
      </c>
      <c r="F2" s="296">
        <f>SUM(F5:F17)</f>
        <v>0</v>
      </c>
      <c r="G2" s="10"/>
      <c r="H2" s="9"/>
    </row>
    <row r="3" spans="1:9" ht="18">
      <c r="A3" s="250"/>
      <c r="B3" s="10"/>
      <c r="C3" s="296"/>
      <c r="D3" s="296"/>
      <c r="E3" s="296"/>
      <c r="F3" s="296"/>
      <c r="G3" s="10"/>
      <c r="H3" s="9"/>
    </row>
    <row r="4" spans="1:9" ht="18">
      <c r="A4" s="178" t="s">
        <v>166</v>
      </c>
      <c r="B4" s="183">
        <f>SUM(B5:B9)</f>
        <v>790</v>
      </c>
      <c r="C4" s="296"/>
      <c r="D4" s="296"/>
      <c r="E4" s="296"/>
      <c r="F4" s="296"/>
      <c r="G4" s="184" t="str">
        <f>"Remaining: £" &amp; ROUND(SUM(G5:G9),2)</f>
        <v>Remaining: £180</v>
      </c>
      <c r="H4" s="9"/>
    </row>
    <row r="5" spans="1:9" ht="18" outlineLevel="1">
      <c r="A5" s="31" t="s">
        <v>167</v>
      </c>
      <c r="B5" s="17">
        <v>110</v>
      </c>
      <c r="C5" s="10">
        <v>110</v>
      </c>
      <c r="D5" s="10"/>
      <c r="E5" s="10"/>
      <c r="F5" s="10"/>
      <c r="G5" s="10">
        <f t="shared" ref="G5:G9" si="0">IF(B5&lt;&gt;"",B5-C5-D5-E5-F5,"")</f>
        <v>0</v>
      </c>
      <c r="H5" s="12" t="str">
        <f>A5</f>
        <v xml:space="preserve">Car Petrol </v>
      </c>
      <c r="I5">
        <f>IF(G5&lt;0,G5*-1,0)</f>
        <v>0</v>
      </c>
    </row>
    <row r="6" spans="1:9" ht="18" outlineLevel="1">
      <c r="A6" s="31" t="s">
        <v>168</v>
      </c>
      <c r="B6" s="17">
        <v>0</v>
      </c>
      <c r="C6" s="10"/>
      <c r="D6" s="10"/>
      <c r="E6" s="10"/>
      <c r="F6" s="10"/>
      <c r="G6" s="10">
        <f t="shared" si="0"/>
        <v>0</v>
      </c>
      <c r="H6" s="12" t="str">
        <f t="shared" ref="H6" si="1">A6</f>
        <v>Bike petrol</v>
      </c>
      <c r="I6">
        <f t="shared" ref="I6:I9" si="2">IF(G6&lt;0,G6*-1,0)</f>
        <v>0</v>
      </c>
    </row>
    <row r="7" spans="1:9" ht="18" outlineLevel="1">
      <c r="A7" s="31" t="s">
        <v>577</v>
      </c>
      <c r="B7" s="10">
        <v>200</v>
      </c>
      <c r="C7" s="10">
        <v>200</v>
      </c>
      <c r="D7" s="10"/>
      <c r="E7" s="10"/>
      <c r="F7" s="10"/>
      <c r="G7" s="10">
        <f t="shared" si="0"/>
        <v>0</v>
      </c>
      <c r="H7" s="12" t="str">
        <f>A7</f>
        <v>Food/Bunnies/Toiletries</v>
      </c>
      <c r="I7">
        <f t="shared" si="2"/>
        <v>0</v>
      </c>
    </row>
    <row r="8" spans="1:9" ht="18" outlineLevel="1">
      <c r="A8" s="31" t="s">
        <v>170</v>
      </c>
      <c r="B8" s="10">
        <v>400</v>
      </c>
      <c r="C8" s="10">
        <v>300</v>
      </c>
      <c r="D8" s="10"/>
      <c r="E8" s="10"/>
      <c r="F8" s="10"/>
      <c r="G8" s="10">
        <f t="shared" si="0"/>
        <v>100</v>
      </c>
      <c r="H8" s="12" t="str">
        <f>A8</f>
        <v>Gift Fund</v>
      </c>
      <c r="I8">
        <f t="shared" si="2"/>
        <v>0</v>
      </c>
    </row>
    <row r="9" spans="1:9" ht="18" outlineLevel="1">
      <c r="A9" s="31" t="s">
        <v>171</v>
      </c>
      <c r="B9" s="10">
        <f>20*4</f>
        <v>80</v>
      </c>
      <c r="C9" s="10"/>
      <c r="D9" s="10"/>
      <c r="E9" s="10"/>
      <c r="F9" s="10"/>
      <c r="G9" s="10">
        <f t="shared" si="0"/>
        <v>80</v>
      </c>
      <c r="H9" s="12" t="str">
        <f>A9</f>
        <v>Holiday Fund</v>
      </c>
      <c r="I9">
        <f t="shared" si="2"/>
        <v>0</v>
      </c>
    </row>
    <row r="10" spans="1:9" ht="18" outlineLevel="1">
      <c r="A10" s="31" t="s">
        <v>172</v>
      </c>
      <c r="B10" s="10">
        <f>IF(B34 &lt;&gt; 0,B34-B4-B13-B20,0)</f>
        <v>749.57999999999993</v>
      </c>
      <c r="C10" s="10">
        <f>2.8+1.94+2.13+12+112.5+19.99+7.8+9.75+13+11.12+12.33+1</f>
        <v>206.36000000000004</v>
      </c>
      <c r="D10" s="10">
        <f>4.9+9.79+51+3.84+2+20+11.83+4.69</f>
        <v>108.05</v>
      </c>
      <c r="E10" s="10"/>
      <c r="F10" s="10"/>
      <c r="G10" s="10">
        <f>IF(B10&lt;&gt;"",B10-C10-D10-E10-F10-SUM(I5:I9),"")</f>
        <v>435.1699999999999</v>
      </c>
      <c r="H10" s="12" t="s">
        <v>172</v>
      </c>
      <c r="I10" s="11"/>
    </row>
    <row r="11" spans="1:9" ht="18" outlineLevel="1">
      <c r="A11" s="185"/>
      <c r="B11" s="10"/>
      <c r="C11" s="10"/>
      <c r="D11" s="10"/>
      <c r="E11" s="10"/>
      <c r="F11" s="10"/>
      <c r="G11" s="10"/>
      <c r="H11" s="9"/>
    </row>
    <row r="12" spans="1:9" ht="18">
      <c r="A12" s="185"/>
      <c r="B12" s="10"/>
      <c r="C12" s="10"/>
      <c r="D12" s="10"/>
      <c r="E12" s="10"/>
      <c r="F12" s="10"/>
      <c r="G12" s="10"/>
      <c r="H12" s="9"/>
    </row>
    <row r="13" spans="1:9" ht="18">
      <c r="A13" s="177" t="s">
        <v>422</v>
      </c>
      <c r="B13" s="183">
        <f>SUM(B14:B18)</f>
        <v>186.99000000000004</v>
      </c>
      <c r="C13" s="10"/>
      <c r="D13" s="10"/>
      <c r="E13" s="10"/>
      <c r="F13" s="10"/>
      <c r="G13" s="184" t="str">
        <f>"Remaining: £" &amp; ROUND(SUM(G14:G18),2)</f>
        <v>Remaining: £130.95</v>
      </c>
      <c r="H13" s="9"/>
    </row>
    <row r="14" spans="1:9" ht="18" outlineLevel="1">
      <c r="A14" s="31" t="s">
        <v>579</v>
      </c>
      <c r="B14" s="211">
        <v>104.92</v>
      </c>
      <c r="C14" s="211"/>
      <c r="D14" s="211"/>
      <c r="E14" s="211"/>
      <c r="F14" s="211"/>
      <c r="G14" s="10">
        <f t="shared" ref="G14:G18" si="3">IF(B14&lt;&gt;"",B14-C14-D14-E14-F14,"")</f>
        <v>104.92</v>
      </c>
      <c r="H14" s="12" t="str">
        <f t="shared" ref="H14:H18" si="4">A14</f>
        <v>Ring (4th)</v>
      </c>
    </row>
    <row r="15" spans="1:9" ht="18" outlineLevel="1">
      <c r="A15" s="31" t="s">
        <v>580</v>
      </c>
      <c r="B15" s="211">
        <v>46.1</v>
      </c>
      <c r="C15" s="211"/>
      <c r="D15" s="211">
        <v>46.05</v>
      </c>
      <c r="E15" s="211"/>
      <c r="F15" s="211"/>
      <c r="G15" s="10">
        <f t="shared" si="3"/>
        <v>5.0000000000004263E-2</v>
      </c>
      <c r="H15" s="12" t="str">
        <f t="shared" si="4"/>
        <v>Phone  (21st)</v>
      </c>
    </row>
    <row r="16" spans="1:9" ht="18" outlineLevel="1">
      <c r="A16" s="31" t="s">
        <v>581</v>
      </c>
      <c r="B16" s="211">
        <v>9.99</v>
      </c>
      <c r="C16" s="211">
        <v>9.99</v>
      </c>
      <c r="D16" s="211"/>
      <c r="E16" s="211"/>
      <c r="F16" s="211"/>
      <c r="G16" s="10">
        <f t="shared" si="3"/>
        <v>0</v>
      </c>
      <c r="H16" s="12" t="str">
        <f t="shared" si="4"/>
        <v>Sky Movies (18th)</v>
      </c>
    </row>
    <row r="17" spans="1:8" ht="18" outlineLevel="1">
      <c r="A17" s="31" t="s">
        <v>582</v>
      </c>
      <c r="B17" s="211">
        <v>7.99</v>
      </c>
      <c r="C17" s="211"/>
      <c r="D17" s="211"/>
      <c r="E17" s="211"/>
      <c r="F17" s="211"/>
      <c r="G17" s="10">
        <f t="shared" si="3"/>
        <v>7.99</v>
      </c>
      <c r="H17" s="12" t="str">
        <f t="shared" si="4"/>
        <v>Onedrive (6th)</v>
      </c>
    </row>
    <row r="18" spans="1:8" ht="18" outlineLevel="1">
      <c r="A18" s="31" t="s">
        <v>583</v>
      </c>
      <c r="B18" s="10">
        <v>17.989999999999998</v>
      </c>
      <c r="C18" s="10"/>
      <c r="D18" s="10"/>
      <c r="E18" s="10"/>
      <c r="F18" s="10"/>
      <c r="G18" s="10">
        <f t="shared" si="3"/>
        <v>17.989999999999998</v>
      </c>
      <c r="H18" s="12" t="str">
        <f t="shared" si="4"/>
        <v>Gadget ins (4th)</v>
      </c>
    </row>
    <row r="19" spans="1:8" ht="18">
      <c r="A19" s="185"/>
      <c r="B19" s="10"/>
      <c r="C19" s="10"/>
      <c r="D19" s="10"/>
      <c r="E19" s="10"/>
      <c r="F19" s="10"/>
      <c r="G19" s="10"/>
      <c r="H19" s="9"/>
    </row>
    <row r="20" spans="1:8" ht="18">
      <c r="A20" s="177" t="s">
        <v>424</v>
      </c>
      <c r="B20" s="183">
        <f>185</f>
        <v>185</v>
      </c>
      <c r="C20" s="10"/>
      <c r="D20" s="10"/>
      <c r="E20" s="10"/>
      <c r="F20" s="10"/>
      <c r="G20" s="184" t="str">
        <f>"Remaining: £" &amp; ROUND(SUM(G21:G23),0)</f>
        <v>Remaining: £-355</v>
      </c>
      <c r="H20" s="9"/>
    </row>
    <row r="21" spans="1:8" ht="18" outlineLevel="1">
      <c r="A21" s="31" t="s">
        <v>182</v>
      </c>
      <c r="B21" s="10">
        <v>0</v>
      </c>
      <c r="C21" s="10"/>
      <c r="D21" s="10"/>
      <c r="E21" s="10"/>
      <c r="F21" s="10"/>
      <c r="G21" s="10">
        <f>IF(B21&lt;&gt;"",B21-C21-D21-E21-F21,"")</f>
        <v>0</v>
      </c>
      <c r="H21" s="12" t="str">
        <f>A21</f>
        <v>Amazon Prime</v>
      </c>
    </row>
    <row r="22" spans="1:8" ht="18" outlineLevel="1">
      <c r="A22" s="31" t="s">
        <v>417</v>
      </c>
      <c r="B22" s="10">
        <v>0</v>
      </c>
      <c r="C22" s="10"/>
      <c r="D22" s="10"/>
      <c r="E22" s="10"/>
      <c r="F22" s="10"/>
      <c r="G22" s="10">
        <f t="shared" ref="G22:G26" si="5">IF(B22&lt;&gt;"",B22-C22-D22-E22-F22,"")</f>
        <v>0</v>
      </c>
      <c r="H22" s="12" t="str">
        <f t="shared" ref="H22:H26" si="6">A22</f>
        <v>Travel Ins.</v>
      </c>
    </row>
    <row r="23" spans="1:8" ht="18" outlineLevel="1">
      <c r="A23" s="31" t="s">
        <v>569</v>
      </c>
      <c r="B23" s="10">
        <v>185</v>
      </c>
      <c r="C23" s="10">
        <v>190</v>
      </c>
      <c r="D23" s="10">
        <f>300+50</f>
        <v>350</v>
      </c>
      <c r="E23" s="10"/>
      <c r="F23" s="10"/>
      <c r="G23" s="10">
        <f t="shared" si="5"/>
        <v>-355</v>
      </c>
      <c r="H23" s="12" t="str">
        <f t="shared" si="6"/>
        <v>Vehicles</v>
      </c>
    </row>
    <row r="24" spans="1:8" ht="19.5" hidden="1" customHeight="1" outlineLevel="2">
      <c r="A24" s="31" t="s">
        <v>570</v>
      </c>
      <c r="B24" s="10">
        <f>1500/12</f>
        <v>125</v>
      </c>
      <c r="C24" s="10"/>
      <c r="D24" s="10"/>
      <c r="E24" s="10"/>
      <c r="F24" s="10"/>
      <c r="G24" s="10">
        <f t="shared" si="5"/>
        <v>125</v>
      </c>
      <c r="H24" s="12" t="str">
        <f t="shared" si="6"/>
        <v>Car Ins. / tax</v>
      </c>
    </row>
    <row r="25" spans="1:8" ht="19.5" hidden="1" customHeight="1" outlineLevel="2">
      <c r="A25" s="31" t="s">
        <v>571</v>
      </c>
      <c r="B25" s="10">
        <f>335/12</f>
        <v>27.916666666666668</v>
      </c>
      <c r="C25" s="10"/>
      <c r="D25" s="10"/>
      <c r="E25" s="10"/>
      <c r="F25" s="10"/>
      <c r="G25" s="10"/>
      <c r="H25" s="12"/>
    </row>
    <row r="26" spans="1:8" ht="19.5" hidden="1" customHeight="1" outlineLevel="2">
      <c r="A26" s="31" t="s">
        <v>572</v>
      </c>
      <c r="B26" s="10">
        <f>300/12</f>
        <v>25</v>
      </c>
      <c r="C26" s="10"/>
      <c r="D26" s="10"/>
      <c r="E26" s="10"/>
      <c r="F26" s="10"/>
      <c r="G26" s="10">
        <f t="shared" si="5"/>
        <v>25</v>
      </c>
      <c r="H26" s="12" t="str">
        <f t="shared" si="6"/>
        <v>Bike Ins. / tax</v>
      </c>
    </row>
    <row r="27" spans="1:8" ht="19.5" hidden="1" customHeight="1" outlineLevel="2">
      <c r="A27" s="31" t="s">
        <v>573</v>
      </c>
      <c r="B27" s="10">
        <f>100/12</f>
        <v>8.3333333333333339</v>
      </c>
      <c r="C27" s="10"/>
      <c r="D27" s="10"/>
      <c r="E27" s="10"/>
      <c r="F27" s="10"/>
      <c r="G27" s="10"/>
      <c r="H27" s="12"/>
    </row>
    <row r="28" spans="1:8" ht="18" outlineLevel="1" collapsed="1">
      <c r="A28" s="208"/>
      <c r="B28" s="10"/>
      <c r="C28" s="10"/>
      <c r="D28" s="10"/>
      <c r="E28" s="10"/>
      <c r="F28" s="10"/>
      <c r="G28" s="210"/>
      <c r="H28" s="48"/>
    </row>
    <row r="29" spans="1:8" ht="18">
      <c r="A29" s="208"/>
      <c r="B29" s="10"/>
      <c r="C29" s="10"/>
      <c r="D29" s="10"/>
      <c r="E29" s="10"/>
      <c r="F29" s="10"/>
      <c r="G29" s="210"/>
      <c r="H29" s="48"/>
    </row>
    <row r="30" spans="1:8" ht="18">
      <c r="A30" s="177" t="s">
        <v>183</v>
      </c>
      <c r="B30" s="183" t="str">
        <f>"£"&amp; B31 &amp; " / " &amp; "£" &amp;B32</f>
        <v>£0 / £0</v>
      </c>
      <c r="C30" s="10"/>
      <c r="D30" s="10"/>
      <c r="E30" s="10"/>
      <c r="F30" s="10"/>
      <c r="G30" s="10"/>
      <c r="H30" s="9"/>
    </row>
    <row r="31" spans="1:8" ht="18" outlineLevel="1">
      <c r="A31" s="31" t="s">
        <v>184</v>
      </c>
      <c r="B31" s="10">
        <f>SUM(C31:F31)</f>
        <v>0</v>
      </c>
      <c r="C31" s="10"/>
      <c r="D31" s="10"/>
      <c r="E31" s="10"/>
      <c r="F31" s="10"/>
      <c r="G31" s="10"/>
      <c r="H31" s="9"/>
    </row>
    <row r="32" spans="1:8" ht="18" outlineLevel="1">
      <c r="A32" s="31" t="s">
        <v>185</v>
      </c>
      <c r="B32" s="10">
        <f>SUM(C32:F32)</f>
        <v>0</v>
      </c>
      <c r="C32" s="10"/>
      <c r="D32" s="10"/>
      <c r="E32" s="10"/>
      <c r="F32" s="10"/>
      <c r="G32" s="10"/>
      <c r="H32" s="9"/>
    </row>
    <row r="33" spans="1:8" ht="18">
      <c r="A33" s="185"/>
      <c r="B33" s="10"/>
      <c r="C33" s="10"/>
      <c r="D33" s="10"/>
      <c r="E33" s="10"/>
      <c r="F33" s="10"/>
      <c r="G33" s="10"/>
      <c r="H33" s="9"/>
    </row>
    <row r="34" spans="1:8" ht="18">
      <c r="A34" s="179" t="s">
        <v>186</v>
      </c>
      <c r="B34" s="296">
        <f>SUM(C34:F34)+B32-B31</f>
        <v>1911.57</v>
      </c>
      <c r="C34" s="26">
        <v>1491.07</v>
      </c>
      <c r="D34" s="26">
        <f>15.5+345+60</f>
        <v>420.5</v>
      </c>
      <c r="E34" s="27"/>
      <c r="F34" s="36"/>
      <c r="G34" s="46" t="str">
        <f>SUM(G5:G10)+SUM(G14:G18)+SUM(G21:G23) &amp; " / " &amp; B34</f>
        <v>391.12 / 1911.57</v>
      </c>
      <c r="H34" s="10"/>
    </row>
    <row r="35" spans="1:8" ht="18">
      <c r="A35" s="24"/>
      <c r="B35" s="10"/>
      <c r="C35" s="49"/>
      <c r="D35" s="26"/>
      <c r="E35" s="23"/>
      <c r="F35" s="25"/>
      <c r="G35" s="79" t="str">
        <f>IF(ROUND(SUM(G5:G17),2)&gt;0,IF(ROUND(SUM(G5:G17),2)&lt;ROUND(SUMIF(G5:G17,"&gt;0"),2),"NOT ENOUGH MONEY",""),"NO MONEY")</f>
        <v/>
      </c>
      <c r="H35" s="11"/>
    </row>
    <row r="36" spans="1:8" ht="18">
      <c r="A36" s="17" t="s">
        <v>187</v>
      </c>
      <c r="B36" s="17" t="str">
        <f ca="1">IF(MONTH(TODAY()) = 11, IF(MONTH(DATEVALUE(RIGHT(A1,3)&amp;" 1"))=11, "Bike insurance due",""),"")</f>
        <v/>
      </c>
      <c r="C36" s="59"/>
      <c r="D36" s="16"/>
      <c r="E36" s="16"/>
      <c r="F36" s="16"/>
    </row>
    <row r="37" spans="1:8" ht="18">
      <c r="A37" s="17"/>
      <c r="B37" s="17" t="str">
        <f ca="1">IF(MONTH(TODAY()) = 6, IF(MONTH(DATEVALUE(RIGHT(A1,3)&amp;" 1"))=6, "Car insurance due",""),"")</f>
        <v/>
      </c>
      <c r="C37" s="20"/>
      <c r="D37" s="39"/>
      <c r="E37" s="16"/>
      <c r="F37" s="18"/>
    </row>
    <row r="38" spans="1:8" ht="18">
      <c r="A38" s="17"/>
      <c r="B38" s="17" t="str">
        <f ca="1">IF(MONTH(TODAY()) = 5, IF(MONTH(DATEVALUE(RIGHT(A1,3)&amp;" 1"))=5, "Travel insurance due",""),"")</f>
        <v/>
      </c>
      <c r="C38" s="39"/>
      <c r="D38" s="39"/>
      <c r="E38" s="43"/>
      <c r="F38" s="20"/>
      <c r="G38" s="11"/>
      <c r="H38" s="11"/>
    </row>
    <row r="39" spans="1:8" ht="18">
      <c r="A39" s="20"/>
      <c r="B39" s="17" t="str">
        <f ca="1">IF(MONTH(TODAY()) = 6, IF(MONTH(DATEVALUE(RIGHT(A1,3)&amp;" 1"))=6, "Amazon Prime",""),"")</f>
        <v/>
      </c>
      <c r="D39" s="42"/>
      <c r="G39" s="11"/>
    </row>
    <row r="40" spans="1:8">
      <c r="B40" t="str">
        <f ca="1">IF(MONTH(TODAY()) = 6, IF(MONTH(DATEVALUE(RIGHT(A1,3)&amp;" 1"))=6, "Car vehicle tax",""),"")</f>
        <v/>
      </c>
      <c r="G40" s="11"/>
    </row>
    <row r="41" spans="1:8" ht="18">
      <c r="B41" s="10"/>
      <c r="G41" s="11"/>
    </row>
    <row r="42" spans="1:8">
      <c r="G42" s="11"/>
    </row>
  </sheetData>
  <dataConsolidate/>
  <conditionalFormatting sqref="G5:G10">
    <cfRule type="cellIs" dxfId="40" priority="8" operator="lessThan">
      <formula>0</formula>
    </cfRule>
    <cfRule type="cellIs" dxfId="39" priority="9" operator="equal">
      <formula>0</formula>
    </cfRule>
    <cfRule type="cellIs" dxfId="38" priority="10" operator="greaterThan">
      <formula>0</formula>
    </cfRule>
  </conditionalFormatting>
  <conditionalFormatting sqref="G14:G18">
    <cfRule type="cellIs" dxfId="37" priority="11" operator="equal">
      <formula>0</formula>
    </cfRule>
    <cfRule type="cellIs" dxfId="36" priority="12" operator="lessThan">
      <formula>0</formula>
    </cfRule>
    <cfRule type="cellIs" dxfId="35" priority="13" operator="greaterThan">
      <formula>0</formula>
    </cfRule>
  </conditionalFormatting>
  <conditionalFormatting sqref="G21:G29">
    <cfRule type="cellIs" dxfId="34" priority="1" operator="equal">
      <formula>0</formula>
    </cfRule>
    <cfRule type="cellIs" dxfId="33" priority="2" operator="lessThan">
      <formula>0</formula>
    </cfRule>
    <cfRule type="cellIs" dxfId="32" priority="3"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7" operator="containsText" id="{6B018068-4776-3D4B-8742-49E0C06E125C}">
            <xm:f>NOT(ISERROR(SEARCH("-",G34)))</xm:f>
            <xm:f>"-"</xm:f>
            <x14:dxf>
              <font>
                <color rgb="FF9C0006"/>
              </font>
              <fill>
                <patternFill>
                  <bgColor rgb="FFFFC7CE"/>
                </patternFill>
              </fill>
            </x14:dxf>
          </x14:cfRule>
          <xm:sqref>G34</xm:sqref>
        </x14:conditionalFormatting>
      </x14:conditionalFormattings>
    </ext>
  </extLst>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A13F0-C1FE-49DD-B452-06437F17AF7E}">
  <dimension ref="A1:T94"/>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8" max="18" width="9.109375"/>
    <col min="19" max="19" width="22.33203125" bestFit="1" customWidth="1"/>
    <col min="20" max="20" width="9.109375"/>
    <col min="21" max="21" width="16.109375" customWidth="1"/>
  </cols>
  <sheetData>
    <row r="1" spans="1:20" ht="25.5" customHeight="1">
      <c r="A1" t="str">
        <f ca="1">UPPER(TEXT((1&amp;LEFT(B$1,3))-1,"MMM"))&amp;"-"&amp;UPPER(TEXT((1&amp;RIGHT(LEFT(B$1,7),3))-1,"MMM"))&amp;" "&amp;RIGHT(B$1,4)</f>
        <v>APR-MAY 2022</v>
      </c>
      <c r="B1" s="730" t="str">
        <f ca="1">MID(CELL("filename",B1),FIND("]",CELL("filename",B1))+1,255)</f>
        <v>MAY-JUN 2022</v>
      </c>
      <c r="C1" s="731"/>
      <c r="D1" s="731"/>
      <c r="E1" s="731"/>
      <c r="F1" s="731"/>
      <c r="G1" s="731"/>
      <c r="H1" s="731"/>
      <c r="I1" s="731"/>
      <c r="J1" s="731"/>
      <c r="K1" s="731"/>
      <c r="L1" s="731"/>
      <c r="M1" s="731"/>
      <c r="N1" s="731"/>
      <c r="O1" s="731"/>
      <c r="P1" s="298"/>
      <c r="Q1" s="281"/>
      <c r="R1" s="272"/>
      <c r="S1" s="272"/>
      <c r="T1" s="272"/>
    </row>
    <row r="2" spans="1:20">
      <c r="B2" s="118"/>
      <c r="C2" s="118"/>
      <c r="E2" s="365">
        <f>2742.7-F2</f>
        <v>152.16999999999962</v>
      </c>
      <c r="F2" s="365">
        <f>2590.53+H4</f>
        <v>2590.5300000000002</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ROUND(O5+O32+O24+IF(O38&lt;0,0,O38)+O39+O4,2) &amp; " / " &amp; "£" &amp; E41</f>
        <v>£1246.37 / £3891.39</v>
      </c>
      <c r="E3" s="365">
        <f>2802.81-2787.81</f>
        <v>15</v>
      </c>
      <c r="F3" s="365"/>
      <c r="G3" s="732">
        <v>44676</v>
      </c>
      <c r="H3" s="732"/>
      <c r="I3" s="732">
        <f>G3+7</f>
        <v>44683</v>
      </c>
      <c r="J3" s="732"/>
      <c r="K3" s="732">
        <f>I3+7</f>
        <v>44690</v>
      </c>
      <c r="L3" s="732"/>
      <c r="M3" s="732">
        <f>K3+7</f>
        <v>44697</v>
      </c>
      <c r="N3" s="732"/>
      <c r="O3" s="325"/>
      <c r="P3" s="325"/>
      <c r="Q3" s="282"/>
    </row>
    <row r="4" spans="1:20" ht="15" customHeight="1">
      <c r="B4" s="727" t="str">
        <f>_xlfn.CONCAT("Expenses - 50 - ",G41*0.5," / Actual = ",D5," (",ROUND((D5/G41)*100,2),")")</f>
        <v>Expenses - 50 - 1945.695 / Actual = 1530.61 (39.33)</v>
      </c>
      <c r="C4" s="727"/>
      <c r="D4" s="727"/>
      <c r="E4" s="727"/>
      <c r="F4" s="318"/>
      <c r="H4" s="243">
        <f>SUM(H5:H39)</f>
        <v>0</v>
      </c>
      <c r="J4" s="243">
        <f>SUM(J5:J39)</f>
        <v>0</v>
      </c>
      <c r="L4" s="243">
        <f>SUM(L5:L39)</f>
        <v>0</v>
      </c>
      <c r="N4" s="243">
        <f>SUM(N5:N39)</f>
        <v>147.55000000000001</v>
      </c>
      <c r="O4" s="308">
        <f>IF(H40&lt;&gt;"PAID",H4,0)+IF(J40&lt;&gt;"PAID",J4,0)+IF(L40&lt;&gt;"PAID",L4,0)+IF(N40&lt;&gt;"PAID",N4,0)</f>
        <v>147.55000000000001</v>
      </c>
      <c r="P4" s="309" t="s">
        <v>973</v>
      </c>
      <c r="Q4" s="282"/>
      <c r="R4" s="243"/>
      <c r="S4" s="243"/>
    </row>
    <row r="5" spans="1:20" ht="15" customHeight="1">
      <c r="B5" s="733" t="str">
        <f>IF(D5&gt;E$41*0.5,ROUND(D5-E$41*0.5,2) &amp; " Over",ROUND(E$41*0.5-D5,2) &amp; " Under")</f>
        <v>415.09 Under</v>
      </c>
      <c r="C5" s="733"/>
      <c r="D5" s="761">
        <f>SUM(F6:F21)</f>
        <v>1530.61</v>
      </c>
      <c r="E5" s="761"/>
      <c r="F5" s="321"/>
      <c r="G5" s="284"/>
      <c r="H5" s="306"/>
      <c r="I5" s="79"/>
      <c r="J5" s="306"/>
      <c r="K5" s="79"/>
      <c r="L5" s="306"/>
      <c r="M5" s="79"/>
      <c r="N5" s="305"/>
      <c r="O5" s="285">
        <f>SUMIF(O6:O21,"&gt;0")</f>
        <v>185.81</v>
      </c>
      <c r="P5" s="285" t="s">
        <v>892</v>
      </c>
      <c r="Q5" s="282">
        <f>SUM(Q6:Q21)</f>
        <v>2.8999999999999968</v>
      </c>
      <c r="R5" s="243"/>
    </row>
    <row r="6" spans="1:20" ht="15" customHeight="1">
      <c r="B6" s="734" t="str">
        <f>"50%: " &amp; E$41*0.5</f>
        <v>50%: 1945.695</v>
      </c>
      <c r="C6" s="734" t="str">
        <f>ROUND((D5/E$41)*100,2) &amp; "%: " &amp;D5</f>
        <v>39.33%: 1530.61</v>
      </c>
      <c r="D6" s="13" t="s">
        <v>805</v>
      </c>
      <c r="E6" s="365">
        <v>0</v>
      </c>
      <c r="F6" s="374">
        <v>100</v>
      </c>
      <c r="H6" s="305"/>
      <c r="J6" s="305"/>
      <c r="L6" s="305"/>
      <c r="N6" s="305">
        <f>26.8+50.08+25.03</f>
        <v>101.91</v>
      </c>
      <c r="O6" s="274">
        <f>SUM(E6:F6)-SUM(G6:N6)</f>
        <v>-1.9099999999999966</v>
      </c>
      <c r="P6" s="274" t="str">
        <f t="shared" ref="P6:P21" si="0">D6</f>
        <v>Car Petrol / commuting</v>
      </c>
      <c r="Q6" s="282">
        <f t="shared" ref="Q6:Q21" si="1">IF(O6&lt;0,O6*-1,0)</f>
        <v>1.9099999999999966</v>
      </c>
      <c r="R6" s="243">
        <f>80.29</f>
        <v>80.290000000000006</v>
      </c>
    </row>
    <row r="7" spans="1:20" ht="15" customHeight="1">
      <c r="B7" s="734"/>
      <c r="C7" s="734"/>
      <c r="D7" s="13" t="s">
        <v>169</v>
      </c>
      <c r="E7" s="365">
        <v>0</v>
      </c>
      <c r="F7" s="365">
        <v>200</v>
      </c>
      <c r="H7" s="305"/>
      <c r="J7" s="305"/>
      <c r="L7" s="305"/>
      <c r="M7">
        <f>22.54+56.97+10.64+9.99+3.13+47.74+8.45+11</f>
        <v>170.45999999999998</v>
      </c>
      <c r="N7" s="305">
        <f>20.73+2.5+2.15</f>
        <v>25.38</v>
      </c>
      <c r="O7" s="274">
        <f>SUM(E7:F7)-SUM(G7:N7)</f>
        <v>4.160000000000025</v>
      </c>
      <c r="P7" s="274" t="str">
        <f t="shared" si="0"/>
        <v>Food</v>
      </c>
      <c r="Q7" s="282">
        <f t="shared" si="1"/>
        <v>0</v>
      </c>
      <c r="R7" s="243"/>
    </row>
    <row r="8" spans="1:20" ht="15" customHeight="1">
      <c r="B8" s="734"/>
      <c r="C8" s="734"/>
      <c r="D8" s="13" t="s">
        <v>153</v>
      </c>
      <c r="E8" s="365">
        <v>0</v>
      </c>
      <c r="F8" s="365">
        <f>100+60</f>
        <v>160</v>
      </c>
      <c r="H8" s="305"/>
      <c r="J8" s="362"/>
      <c r="L8" s="305"/>
      <c r="M8">
        <f>5.43+31.75+35.03</f>
        <v>72.210000000000008</v>
      </c>
      <c r="N8" s="305"/>
      <c r="O8" s="274">
        <f>SUM(E8:F8)-SUM(G8:N8)</f>
        <v>87.789999999999992</v>
      </c>
      <c r="P8" s="274" t="str">
        <f t="shared" si="0"/>
        <v>Luna</v>
      </c>
      <c r="Q8" s="282">
        <f t="shared" si="1"/>
        <v>0</v>
      </c>
    </row>
    <row r="9" spans="1:20" ht="15" customHeight="1">
      <c r="B9" s="734"/>
      <c r="C9" s="734"/>
      <c r="D9" s="13" t="s">
        <v>1079</v>
      </c>
      <c r="E9" s="365">
        <v>0</v>
      </c>
      <c r="F9" s="365">
        <v>20</v>
      </c>
      <c r="H9" s="305"/>
      <c r="J9" s="305"/>
      <c r="L9" s="305"/>
      <c r="N9" s="305">
        <f>16.46</f>
        <v>16.46</v>
      </c>
      <c r="O9" s="274">
        <f>SUM(E9:F9)-SUM(G9:N9)</f>
        <v>3.5399999999999991</v>
      </c>
      <c r="P9" s="274" t="str">
        <f t="shared" si="0"/>
        <v>Creamy</v>
      </c>
      <c r="Q9" s="282">
        <f t="shared" si="1"/>
        <v>0</v>
      </c>
    </row>
    <row r="10" spans="1:20" ht="15" customHeight="1" outlineLevel="1">
      <c r="B10" s="734"/>
      <c r="C10" s="734"/>
      <c r="D10" s="201" t="s">
        <v>595</v>
      </c>
      <c r="E10" s="365">
        <v>0</v>
      </c>
      <c r="F10" s="365">
        <f>452.64</f>
        <v>452.64</v>
      </c>
      <c r="H10" s="305"/>
      <c r="J10" s="305"/>
      <c r="L10" s="305"/>
      <c r="M10">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139</v>
      </c>
      <c r="H11" s="305"/>
      <c r="J11" s="305"/>
      <c r="L11" s="305"/>
      <c r="M11">
        <v>139</v>
      </c>
      <c r="N11" s="305"/>
      <c r="O11" s="274">
        <f t="shared" si="2"/>
        <v>0</v>
      </c>
      <c r="P11" s="274" t="str">
        <f t="shared" si="0"/>
        <v>Council tax</v>
      </c>
      <c r="Q11" s="282">
        <f t="shared" si="1"/>
        <v>0</v>
      </c>
    </row>
    <row r="12" spans="1:20" ht="15" customHeight="1" outlineLevel="1">
      <c r="B12" s="734"/>
      <c r="C12" s="734"/>
      <c r="D12" s="201" t="s">
        <v>1002</v>
      </c>
      <c r="E12" s="365">
        <v>0</v>
      </c>
      <c r="F12" s="365">
        <f>46+107.57+1</f>
        <v>154.57</v>
      </c>
      <c r="G12">
        <f>107.57+1</f>
        <v>108.57</v>
      </c>
      <c r="H12" s="305"/>
      <c r="J12" s="305"/>
      <c r="L12" s="305"/>
      <c r="N12" s="305"/>
      <c r="O12" s="274">
        <f>SUM(E12:F12)-SUM(G12:N12)</f>
        <v>46</v>
      </c>
      <c r="P12" s="274" t="str">
        <f t="shared" si="0"/>
        <v>Utilities (G,W,E,HTB)</v>
      </c>
      <c r="Q12" s="282">
        <f t="shared" si="1"/>
        <v>0</v>
      </c>
    </row>
    <row r="13" spans="1:20" ht="15" customHeight="1" outlineLevel="1">
      <c r="B13" s="734"/>
      <c r="C13" s="734"/>
      <c r="D13" s="201" t="s">
        <v>996</v>
      </c>
      <c r="E13" s="365">
        <v>0</v>
      </c>
      <c r="F13" s="365">
        <f>16.42</f>
        <v>16.420000000000002</v>
      </c>
      <c r="G13">
        <f>16.42</f>
        <v>16.420000000000002</v>
      </c>
      <c r="H13" s="305"/>
      <c r="J13" s="305"/>
      <c r="L13" s="305"/>
      <c r="N13" s="305"/>
      <c r="O13" s="274">
        <f>SUM(E13:F13)-SUM(G13:N13)</f>
        <v>0</v>
      </c>
      <c r="P13" s="274" t="str">
        <f t="shared" si="0"/>
        <v>Home Insurance</v>
      </c>
      <c r="Q13" s="282">
        <f t="shared" si="1"/>
        <v>0</v>
      </c>
    </row>
    <row r="14" spans="1:20" ht="15" customHeight="1" outlineLevel="1">
      <c r="B14" s="734"/>
      <c r="C14" s="734"/>
      <c r="D14" s="201" t="s">
        <v>359</v>
      </c>
      <c r="E14" s="365">
        <v>0</v>
      </c>
      <c r="F14" s="365">
        <f>15</f>
        <v>15</v>
      </c>
      <c r="H14" s="305"/>
      <c r="J14" s="305"/>
      <c r="L14" s="305"/>
      <c r="N14" s="305"/>
      <c r="O14" s="274">
        <f t="shared" si="2"/>
        <v>15</v>
      </c>
      <c r="P14" s="274" t="str">
        <f t="shared" si="0"/>
        <v>TV License</v>
      </c>
      <c r="Q14" s="282">
        <f t="shared" si="1"/>
        <v>0</v>
      </c>
    </row>
    <row r="15" spans="1:20" ht="15" customHeight="1" outlineLevel="1">
      <c r="B15" s="734"/>
      <c r="C15" s="734"/>
      <c r="D15" s="201" t="s">
        <v>1056</v>
      </c>
      <c r="E15" s="365">
        <v>1.9999999999996021E-2</v>
      </c>
      <c r="F15" s="365">
        <f>8+36.79+16.6</f>
        <v>61.39</v>
      </c>
      <c r="G15">
        <f>16.6</f>
        <v>16.600000000000001</v>
      </c>
      <c r="H15" s="305"/>
      <c r="J15" s="305"/>
      <c r="L15" s="305"/>
      <c r="M15">
        <f>8+35.99</f>
        <v>43.99</v>
      </c>
      <c r="N15" s="305"/>
      <c r="O15" s="274">
        <f>SUM(E15:F15)-SUM(G15:N15)</f>
        <v>0.81999999999999318</v>
      </c>
      <c r="P15" s="274" t="str">
        <f t="shared" si="0"/>
        <v>Pet Health / Insurance</v>
      </c>
      <c r="Q15" s="282">
        <f t="shared" si="1"/>
        <v>0</v>
      </c>
    </row>
    <row r="16" spans="1:20" ht="15" customHeight="1" outlineLevel="1">
      <c r="B16" s="734"/>
      <c r="C16" s="734"/>
      <c r="D16" s="201" t="s">
        <v>1057</v>
      </c>
      <c r="E16" s="365">
        <v>0</v>
      </c>
      <c r="F16" s="365">
        <f>4.52+15.97+8.56</f>
        <v>29.050000000000004</v>
      </c>
      <c r="G16">
        <f>29.05</f>
        <v>29.05</v>
      </c>
      <c r="H16" s="305"/>
      <c r="I16" s="11"/>
      <c r="J16" s="305"/>
      <c r="L16" s="305"/>
      <c r="N16" s="305"/>
      <c r="O16" s="274">
        <f t="shared" si="2"/>
        <v>0</v>
      </c>
      <c r="P16" s="274" t="str">
        <f t="shared" si="0"/>
        <v>Life / Income Insurance</v>
      </c>
      <c r="Q16" s="282">
        <f t="shared" si="1"/>
        <v>0</v>
      </c>
    </row>
    <row r="17" spans="2:17" ht="15" customHeight="1" outlineLevel="1">
      <c r="B17" s="734"/>
      <c r="C17" s="734"/>
      <c r="D17" s="201" t="s">
        <v>602</v>
      </c>
      <c r="E17" s="365">
        <v>0</v>
      </c>
      <c r="F17" s="365">
        <v>28.5</v>
      </c>
      <c r="H17" s="305"/>
      <c r="J17" s="305"/>
      <c r="L17" s="305"/>
      <c r="N17" s="305"/>
      <c r="O17" s="274">
        <f>SUM(E17:F17)-SUM(G17:N17)</f>
        <v>28.5</v>
      </c>
      <c r="P17" s="274" t="str">
        <f t="shared" si="0"/>
        <v>Broadband / TV</v>
      </c>
      <c r="Q17" s="282">
        <f t="shared" si="1"/>
        <v>0</v>
      </c>
    </row>
    <row r="18" spans="2:17" ht="15" customHeight="1" outlineLevel="1">
      <c r="B18" s="734"/>
      <c r="C18" s="734"/>
      <c r="D18" s="201" t="s">
        <v>582</v>
      </c>
      <c r="E18" s="365">
        <v>0</v>
      </c>
      <c r="F18" s="365">
        <v>7.99</v>
      </c>
      <c r="G18">
        <f>7.99</f>
        <v>7.99</v>
      </c>
      <c r="H18" s="305"/>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v>10.56</v>
      </c>
      <c r="G19">
        <f>11.55</f>
        <v>11.55</v>
      </c>
      <c r="H19" s="305"/>
      <c r="J19" s="305"/>
      <c r="L19" s="305"/>
      <c r="N19" s="305"/>
      <c r="O19" s="274">
        <f>SUM(E19:F19)-SUM(G19:N19)</f>
        <v>-0.99000000000000021</v>
      </c>
      <c r="P19" s="274" t="str">
        <f t="shared" si="0"/>
        <v>Matt Phone</v>
      </c>
      <c r="Q19" s="282">
        <f t="shared" si="1"/>
        <v>0.99000000000000021</v>
      </c>
    </row>
    <row r="20" spans="2:17" ht="15" customHeight="1" outlineLevel="1">
      <c r="B20" s="734"/>
      <c r="C20" s="734"/>
      <c r="D20" s="201" t="s">
        <v>985</v>
      </c>
      <c r="E20" s="365">
        <v>0</v>
      </c>
      <c r="F20" s="365">
        <f>29.75+34.68+42.5+13.56</f>
        <v>120.49000000000001</v>
      </c>
      <c r="G20">
        <f>42.5+34.68+29.75+13.56</f>
        <v>120.49000000000001</v>
      </c>
      <c r="H20" s="305"/>
      <c r="J20" s="305"/>
      <c r="L20" s="305"/>
      <c r="N20" s="305"/>
      <c r="O20" s="274">
        <f>SUM(E20:F20)-SUM(G20:N20)</f>
        <v>0</v>
      </c>
      <c r="P20" s="274" t="str">
        <f t="shared" si="0"/>
        <v>Car Tax / Insurance</v>
      </c>
      <c r="Q20" s="282">
        <f t="shared" si="1"/>
        <v>0</v>
      </c>
    </row>
    <row r="21" spans="2:17" ht="15" customHeight="1" outlineLevel="1">
      <c r="B21" s="734"/>
      <c r="C21" s="734"/>
      <c r="D21" s="201" t="s">
        <v>944</v>
      </c>
      <c r="E21" s="365">
        <v>0</v>
      </c>
      <c r="F21" s="365">
        <v>15</v>
      </c>
      <c r="G21">
        <v>15</v>
      </c>
      <c r="H21" s="305"/>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",G41*0.2," / Actual = ",D24," (",ROUND((D24/G41)*100,2),")")</f>
        <v>Savings - 20 - 778.278 / Actual = 150 (3.85)</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150</v>
      </c>
      <c r="E24" s="759"/>
      <c r="F24" s="319"/>
      <c r="H24" s="305"/>
      <c r="J24" s="305"/>
      <c r="L24" s="305"/>
      <c r="N24" s="305"/>
      <c r="O24" s="285">
        <f>SUMIF(O25:O29,"&gt;0")</f>
        <v>419.44999999999982</v>
      </c>
      <c r="P24" s="285" t="s">
        <v>895</v>
      </c>
      <c r="Q24" s="282">
        <f>SUM(Q25:Q29)</f>
        <v>0</v>
      </c>
    </row>
    <row r="25" spans="2:17" ht="15" customHeight="1" outlineLevel="1">
      <c r="B25" s="7" t="str">
        <f>"20% : " &amp; E$41*0.2</f>
        <v>20% : 778.278</v>
      </c>
      <c r="C25" s="7" t="str">
        <f>"20% : " &amp; E$41*0.2</f>
        <v>20% : 778.278</v>
      </c>
      <c r="D25" s="300" t="s">
        <v>590</v>
      </c>
      <c r="E25" s="365">
        <v>96.360000000000412</v>
      </c>
      <c r="F25" s="365">
        <v>75</v>
      </c>
      <c r="H25" s="305"/>
      <c r="J25" s="305"/>
      <c r="L25" s="315"/>
      <c r="N25" s="305">
        <f>(11.8-8)</f>
        <v>3.8000000000000007</v>
      </c>
      <c r="O25" s="274">
        <f>SUM(E25:F25)-SUM(G25:N25)-Q41</f>
        <v>137.44999999999985</v>
      </c>
      <c r="P25" s="274" t="str">
        <f t="shared" ref="P25:P29" si="3">D25</f>
        <v>Contingency</v>
      </c>
      <c r="Q25" s="282">
        <v>0</v>
      </c>
    </row>
    <row r="26" spans="2:17" ht="15" customHeight="1" outlineLevel="1">
      <c r="B26" s="7"/>
      <c r="C26" s="7"/>
      <c r="D26" s="300" t="s">
        <v>998</v>
      </c>
      <c r="E26" s="365">
        <v>225</v>
      </c>
      <c r="F26" s="365">
        <v>75</v>
      </c>
      <c r="G26" s="11"/>
      <c r="H26" s="306"/>
      <c r="J26" s="305"/>
      <c r="L26" s="305"/>
      <c r="M26">
        <f>18</f>
        <v>18</v>
      </c>
      <c r="N26" s="305"/>
      <c r="O26" s="274">
        <f>SUM(E26:F26)-SUM(G26:N26)</f>
        <v>282</v>
      </c>
      <c r="P26" s="274" t="str">
        <f t="shared" si="3"/>
        <v>Cars (Service / MOT)</v>
      </c>
      <c r="Q26" s="282">
        <f t="shared" ref="Q26:Q29" si="4">IF(O26&lt;0,O26*-1,0)</f>
        <v>0</v>
      </c>
    </row>
    <row r="27" spans="2:17" ht="15" customHeight="1" outlineLevel="1">
      <c r="B27" s="7"/>
      <c r="C27" s="7"/>
      <c r="D27" s="300" t="s">
        <v>999</v>
      </c>
      <c r="E27" s="365">
        <v>0</v>
      </c>
      <c r="F27" s="365">
        <v>0</v>
      </c>
      <c r="G27" s="11"/>
      <c r="H27" s="306"/>
      <c r="J27" s="305"/>
      <c r="L27" s="305"/>
      <c r="N27" s="305"/>
      <c r="O27" s="274">
        <f t="shared" ref="O27:O29" si="5">SUM(E27:F27)-SUM(G27:N27)</f>
        <v>0</v>
      </c>
      <c r="P27" s="274" t="str">
        <f t="shared" si="3"/>
        <v>Mortgage Overpayment</v>
      </c>
      <c r="Q27" s="282">
        <f t="shared" si="4"/>
        <v>0</v>
      </c>
    </row>
    <row r="28" spans="2:17" ht="15" customHeight="1" outlineLevel="1">
      <c r="B28" s="7"/>
      <c r="C28" s="7"/>
      <c r="D28" s="300" t="s">
        <v>1000</v>
      </c>
      <c r="E28" s="365">
        <v>0</v>
      </c>
      <c r="F28" s="365">
        <v>0</v>
      </c>
      <c r="G28" s="11"/>
      <c r="H28" s="306"/>
      <c r="J28" s="305"/>
      <c r="L28" s="305"/>
      <c r="N28" s="305"/>
      <c r="O28" s="274">
        <f t="shared" si="5"/>
        <v>0</v>
      </c>
      <c r="P28" s="274" t="str">
        <f t="shared" si="3"/>
        <v>Finance Overpayment</v>
      </c>
      <c r="Q28" s="282">
        <f t="shared" si="4"/>
        <v>0</v>
      </c>
    </row>
    <row r="29" spans="2:17"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",G41*0.3," / Actual = ",D32," (",ROUND((D32/G41)*100,2),")")</f>
        <v>Wants - 30 - 1167.417 / Actual = 817.839999999999 (21.02)</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(E$41-D5-D24-E40)</f>
        <v>817.83999999999946</v>
      </c>
      <c r="E32" s="727"/>
      <c r="F32" s="319">
        <f>SUM(F33:F38)</f>
        <v>817.83999999999946</v>
      </c>
      <c r="H32" s="305"/>
      <c r="J32" s="305"/>
      <c r="L32" s="305"/>
      <c r="N32" s="305"/>
      <c r="O32" s="285">
        <f>SUMIF(O33:O37,"&gt;0")-O35</f>
        <v>1573.56</v>
      </c>
      <c r="P32" s="285" t="s">
        <v>899</v>
      </c>
      <c r="Q32" s="282">
        <f>SUM(Q33:Q38)</f>
        <v>27.210000000000562</v>
      </c>
    </row>
    <row r="33" spans="2:19" ht="15" customHeight="1" outlineLevel="1">
      <c r="B33" s="734"/>
      <c r="C33" s="760"/>
      <c r="D33" s="300" t="s">
        <v>873</v>
      </c>
      <c r="E33" s="365">
        <f>857.72</f>
        <v>857.72</v>
      </c>
      <c r="F33" s="365">
        <f>500</f>
        <v>500</v>
      </c>
      <c r="H33" s="305"/>
      <c r="J33" s="305"/>
      <c r="L33" s="305"/>
      <c r="N33" s="305"/>
      <c r="O33" s="274">
        <f>SUM(E33:F33)-SUM(G33:N33)</f>
        <v>1357.72</v>
      </c>
      <c r="P33" s="274" t="str">
        <f t="shared" ref="P33:P39" si="6">D33</f>
        <v>Maldives</v>
      </c>
      <c r="Q33" s="282">
        <f t="shared" ref="Q33:Q35" si="7">IF(O33&lt;0,O33*-1,0)</f>
        <v>0</v>
      </c>
      <c r="R33" s="11"/>
      <c r="S33" s="11"/>
    </row>
    <row r="34" spans="2:19" ht="15" customHeight="1" outlineLevel="1">
      <c r="B34" s="734"/>
      <c r="C34" s="760"/>
      <c r="D34" s="300" t="s">
        <v>170</v>
      </c>
      <c r="E34" s="365">
        <f>267.19-53.35</f>
        <v>213.84</v>
      </c>
      <c r="F34" s="365">
        <f>263</f>
        <v>263</v>
      </c>
      <c r="H34" s="305"/>
      <c r="J34" s="305"/>
      <c r="K34">
        <v>113</v>
      </c>
      <c r="L34" s="305"/>
      <c r="M34">
        <f>74+74</f>
        <v>148</v>
      </c>
      <c r="N34" s="305"/>
      <c r="O34" s="274">
        <f>SUM(E34:F34)-SUM(G34:N34)</f>
        <v>215.84000000000003</v>
      </c>
      <c r="P34" s="274" t="str">
        <f t="shared" si="6"/>
        <v>Gift Fund</v>
      </c>
      <c r="Q34" s="282">
        <f t="shared" si="7"/>
        <v>0</v>
      </c>
      <c r="R34" s="11"/>
      <c r="S34" s="11"/>
    </row>
    <row r="35" spans="2:19" ht="15" customHeight="1" outlineLevel="1">
      <c r="B35" s="734"/>
      <c r="C35" s="760"/>
      <c r="D35" s="300" t="s">
        <v>812</v>
      </c>
      <c r="E35" s="365">
        <v>0</v>
      </c>
      <c r="F35" s="365">
        <v>0</v>
      </c>
      <c r="H35" s="366"/>
      <c r="J35" s="305"/>
      <c r="L35" s="305"/>
      <c r="N35" s="305"/>
      <c r="O35" s="274">
        <f>SUM(E35:F35)-SUM(G35:N35)</f>
        <v>0</v>
      </c>
      <c r="P35" s="274" t="str">
        <f t="shared" si="6"/>
        <v>Wedding</v>
      </c>
      <c r="Q35" s="282">
        <f t="shared" si="7"/>
        <v>0</v>
      </c>
      <c r="R35" s="11"/>
      <c r="S35" s="349"/>
    </row>
    <row r="36" spans="2:19" ht="15" customHeight="1" outlineLevel="1">
      <c r="B36" s="734"/>
      <c r="C36" s="760"/>
      <c r="D36" s="300" t="s">
        <v>772</v>
      </c>
      <c r="E36" s="365">
        <v>0</v>
      </c>
      <c r="F36" s="365">
        <v>0</v>
      </c>
      <c r="H36" s="305"/>
      <c r="J36" s="305"/>
      <c r="L36" s="305"/>
      <c r="N36" s="305"/>
      <c r="O36" s="274">
        <f>SUM(E36:F36)-SUM(G36:N36)</f>
        <v>0</v>
      </c>
      <c r="P36" s="274" t="str">
        <f t="shared" si="6"/>
        <v>Home</v>
      </c>
      <c r="Q36" s="282"/>
      <c r="R36" s="11"/>
      <c r="S36" s="349"/>
    </row>
    <row r="37" spans="2:19" ht="15.75" customHeight="1" outlineLevel="1">
      <c r="B37" s="734"/>
      <c r="C37" s="760"/>
      <c r="D37" s="13" t="s">
        <v>781</v>
      </c>
      <c r="E37" s="365">
        <v>0</v>
      </c>
      <c r="F37" s="365">
        <f>13+2+6.99+10.99+2.99</f>
        <v>35.970000000000006</v>
      </c>
      <c r="G37">
        <f>10.99+2+13</f>
        <v>25.990000000000002</v>
      </c>
      <c r="H37" s="305"/>
      <c r="J37" s="305"/>
      <c r="L37" s="305"/>
      <c r="M37">
        <f>6.99+2.99</f>
        <v>9.98</v>
      </c>
      <c r="N37" s="305"/>
      <c r="O37" s="274">
        <f t="shared" ref="O37:O39" si="8">SUM(E37:F37)-SUM(G37:N37)</f>
        <v>0</v>
      </c>
      <c r="P37" s="274" t="str">
        <f t="shared" si="6"/>
        <v>Subscriptions</v>
      </c>
      <c r="Q37" s="282">
        <f>IF(O37&lt;0,O37*-1,0)</f>
        <v>0</v>
      </c>
      <c r="S37" s="349"/>
    </row>
    <row r="38" spans="2:19" ht="18" outlineLevel="1">
      <c r="B38" s="734"/>
      <c r="C38" s="760"/>
      <c r="D38" s="13" t="s">
        <v>922</v>
      </c>
      <c r="E38" s="365">
        <v>0</v>
      </c>
      <c r="F38" s="365">
        <f>(D32-SUM(F33:F37))-F39</f>
        <v>18.869999999999436</v>
      </c>
      <c r="H38" s="305"/>
      <c r="J38" s="305"/>
      <c r="L38" s="305"/>
      <c r="M38">
        <f>7.2+15+3.99+19.89</f>
        <v>46.08</v>
      </c>
      <c r="N38" s="305"/>
      <c r="O38" s="274">
        <f>SUM(E38:F38)-SUM(G38:N38)</f>
        <v>-27.210000000000562</v>
      </c>
      <c r="P38" s="274" t="str">
        <f t="shared" si="6"/>
        <v>Matt Fun</v>
      </c>
      <c r="Q38" s="282">
        <f>IF(SUM(E38:F38)-SUM(G38:N38)&lt;=0,(SUM(E38:F38)-SUM(G38:N38))*-1,0)</f>
        <v>27.210000000000562</v>
      </c>
    </row>
    <row r="39" spans="2:19" ht="18" outlineLevel="1">
      <c r="B39" s="7"/>
      <c r="C39" s="284"/>
      <c r="D39" s="13" t="s">
        <v>152</v>
      </c>
      <c r="E39" s="365">
        <v>0</v>
      </c>
      <c r="F39" s="365">
        <v>0</v>
      </c>
      <c r="G39">
        <v>1080</v>
      </c>
      <c r="H39" s="305"/>
      <c r="J39" s="305"/>
      <c r="L39" s="305"/>
      <c r="N39" s="305"/>
      <c r="O39" s="274">
        <f t="shared" si="8"/>
        <v>-1080</v>
      </c>
      <c r="P39" s="274" t="str">
        <f t="shared" si="6"/>
        <v>Kris</v>
      </c>
      <c r="Q39" s="271">
        <f>IF(F39-SUM(G39:N39)&lt;=0,(F39-SUM(G39:N39))*-1,0)</f>
        <v>1080</v>
      </c>
    </row>
    <row r="40" spans="2:19">
      <c r="B40" s="118"/>
      <c r="C40" s="118"/>
      <c r="E40" s="365">
        <f>SUM(E33:E39)+SUM(E25:E29)+SUM(E6:E21)-E35</f>
        <v>1392.9400000000003</v>
      </c>
      <c r="F40" s="365"/>
      <c r="H40" s="7"/>
      <c r="J40" s="7"/>
      <c r="L40" s="7"/>
      <c r="N40" s="7"/>
      <c r="O40" s="273"/>
      <c r="P40" s="273"/>
      <c r="Q40" s="282"/>
    </row>
    <row r="41" spans="2:19" ht="18">
      <c r="B41" s="728" t="s">
        <v>817</v>
      </c>
      <c r="C41" s="728"/>
      <c r="D41" s="728"/>
      <c r="E41" s="375">
        <f>G41+I41+K41+M41+N41</f>
        <v>3891.39</v>
      </c>
      <c r="F41" s="379"/>
      <c r="G41" s="271">
        <f>351.66+2458.14+1080+1.59</f>
        <v>3891.39</v>
      </c>
      <c r="H41" s="271"/>
      <c r="I41" s="271"/>
      <c r="J41" s="271"/>
      <c r="K41" s="271"/>
      <c r="L41" s="271"/>
      <c r="M41" s="271"/>
      <c r="N41" s="271"/>
      <c r="O41" s="314" t="str">
        <f>"£" &amp; ROUND(O5+O32+O24+IF(O38&lt;0,0,O38)+O39+O4,2) &amp; " / " &amp; "£" &amp; E41</f>
        <v>£1246.37 / £3891.39</v>
      </c>
      <c r="P41" s="274"/>
      <c r="Q41" s="282">
        <f>SUM(Q32,Q24,Q5)</f>
        <v>30.110000000000561</v>
      </c>
    </row>
    <row r="42" spans="2:19">
      <c r="B42" s="118"/>
      <c r="C42" s="7"/>
      <c r="E42" s="365"/>
      <c r="F42" s="365"/>
      <c r="G42" s="365"/>
      <c r="H42" s="365"/>
    </row>
    <row r="43" spans="2:19" ht="14.4">
      <c r="B43" s="729"/>
      <c r="C43" s="729"/>
      <c r="D43" s="729"/>
      <c r="E43" s="729"/>
      <c r="F43" s="729"/>
      <c r="G43" s="729"/>
      <c r="H43" s="297"/>
      <c r="K43" s="729"/>
      <c r="L43" s="729"/>
      <c r="M43" s="729"/>
      <c r="N43" s="729"/>
      <c r="O43" s="729"/>
      <c r="P43" s="297"/>
    </row>
    <row r="44" spans="2:19" ht="15" customHeight="1">
      <c r="B44" s="726" t="s">
        <v>955</v>
      </c>
      <c r="C44" s="726"/>
      <c r="D44" s="726"/>
      <c r="E44" s="726"/>
      <c r="F44" s="348"/>
      <c r="K44" s="212"/>
      <c r="L44" s="212"/>
      <c r="N44" s="118" t="s">
        <v>991</v>
      </c>
      <c r="O44" s="316">
        <v>44679</v>
      </c>
      <c r="P44" s="7">
        <f ca="1">DATEDIF(O44,NOW(),"d")</f>
        <v>1572</v>
      </c>
      <c r="Q44">
        <v>310.70999999999998</v>
      </c>
      <c r="R44" t="s">
        <v>183</v>
      </c>
    </row>
    <row r="45" spans="2:19">
      <c r="B45" s="365"/>
      <c r="C45" s="38"/>
      <c r="E45" s="11"/>
      <c r="F45" s="11"/>
      <c r="G45" s="367" t="s">
        <v>10</v>
      </c>
      <c r="H45" s="243"/>
      <c r="K45" s="11"/>
      <c r="N45" s="322" t="s">
        <v>992</v>
      </c>
      <c r="O45" s="42">
        <v>44678</v>
      </c>
      <c r="P45" s="7">
        <f ca="1">DATEDIF(O45,NOW(),"d")</f>
        <v>1573</v>
      </c>
      <c r="Q45">
        <v>25.02</v>
      </c>
      <c r="R45" t="s">
        <v>1073</v>
      </c>
    </row>
    <row r="46" spans="2:19">
      <c r="E46" s="365"/>
      <c r="F46" s="365"/>
      <c r="G46" s="11">
        <f>F35-SUM(H46:H56)</f>
        <v>-420.23</v>
      </c>
      <c r="H46" s="243">
        <v>87.79</v>
      </c>
      <c r="I46" t="s">
        <v>1159</v>
      </c>
      <c r="J46">
        <f>792.94+600</f>
        <v>1392.94</v>
      </c>
      <c r="K46" t="s">
        <v>12</v>
      </c>
      <c r="L46" s="243"/>
      <c r="O46"/>
      <c r="P46"/>
    </row>
    <row r="47" spans="2:19" ht="16.2" customHeight="1">
      <c r="D47" s="212"/>
      <c r="E47" s="278"/>
      <c r="F47" s="278" t="s">
        <v>1161</v>
      </c>
      <c r="G47" s="213">
        <f>G46-271.52</f>
        <v>-691.75</v>
      </c>
      <c r="H47" s="373">
        <f>11.99</f>
        <v>11.99</v>
      </c>
      <c r="I47" s="213"/>
      <c r="J47" s="213">
        <v>1450</v>
      </c>
      <c r="K47" s="213" t="s">
        <v>200</v>
      </c>
      <c r="O47" s="292"/>
      <c r="P47" s="212"/>
    </row>
    <row r="48" spans="2:19">
      <c r="B48" s="378"/>
      <c r="E48" s="230"/>
      <c r="F48" s="361" t="s">
        <v>1162</v>
      </c>
      <c r="G48" s="11">
        <f>G47-70.5</f>
        <v>-762.25</v>
      </c>
      <c r="H48" s="372">
        <v>11.6</v>
      </c>
      <c r="I48" s="7"/>
      <c r="J48" s="284"/>
      <c r="K48" s="342"/>
      <c r="L48" s="56"/>
      <c r="M48" s="365"/>
      <c r="N48" s="56"/>
      <c r="O48" s="243">
        <f>2082.51</f>
        <v>2082.5100000000002</v>
      </c>
      <c r="P48" s="56" t="s">
        <v>1147</v>
      </c>
    </row>
    <row r="49" spans="2:17">
      <c r="E49" s="230"/>
      <c r="F49" s="361" t="s">
        <v>1163</v>
      </c>
      <c r="G49" s="369">
        <f>G48-190.85</f>
        <v>-953.1</v>
      </c>
      <c r="H49" s="295">
        <v>20.04</v>
      </c>
      <c r="I49" s="230"/>
      <c r="J49" s="11"/>
      <c r="K49" s="230"/>
      <c r="L49" s="243"/>
      <c r="M49" s="365"/>
      <c r="N49" s="243"/>
      <c r="O49" s="11"/>
      <c r="P49"/>
    </row>
    <row r="50" spans="2:17">
      <c r="E50" s="380"/>
      <c r="F50" s="383" t="s">
        <v>169</v>
      </c>
      <c r="G50" s="243">
        <f>G49-25.92-2.09-11.5-22.6-26.02-17.89-47.42-1.54-31.84-34.86-7.17-33.6-12.74-13.91-31.18-22.04-125.84-5.87-11.35-18.48-22.17-25.79-67.23-66.31-24.57-20.14-10.99-7.2-76</f>
        <v>-1777.36</v>
      </c>
      <c r="H50" s="295">
        <v>88.22</v>
      </c>
      <c r="I50" s="230"/>
      <c r="J50" s="11"/>
      <c r="M50" s="365"/>
      <c r="N50" s="56"/>
      <c r="O50" s="284"/>
      <c r="P50" s="212"/>
      <c r="Q50" s="212"/>
    </row>
    <row r="51" spans="2:17" ht="15" customHeight="1">
      <c r="E51" s="89"/>
      <c r="F51" s="89"/>
      <c r="G51" s="259"/>
      <c r="H51" s="372">
        <v>74.52</v>
      </c>
      <c r="I51" s="259"/>
      <c r="J51" s="259"/>
      <c r="K51" s="259"/>
      <c r="M51" s="365"/>
      <c r="N51" s="56"/>
      <c r="O51" s="386">
        <v>2304.9299999999998</v>
      </c>
      <c r="P51" s="387" t="s">
        <v>1147</v>
      </c>
      <c r="Q51" s="38"/>
    </row>
    <row r="52" spans="2:17">
      <c r="E52" s="380"/>
      <c r="F52" s="360" t="s">
        <v>10</v>
      </c>
      <c r="G52" s="11"/>
      <c r="H52" s="295">
        <v>91.97</v>
      </c>
      <c r="I52" s="230"/>
      <c r="J52" s="11"/>
      <c r="M52" s="365"/>
      <c r="N52" s="56"/>
      <c r="O52" s="390">
        <f>O51-1080</f>
        <v>1224.9299999999998</v>
      </c>
      <c r="P52" s="7" t="s">
        <v>1173</v>
      </c>
    </row>
    <row r="53" spans="2:17" ht="15" customHeight="1">
      <c r="E53" s="360"/>
      <c r="F53" s="360" t="s">
        <v>1165</v>
      </c>
      <c r="G53" s="259">
        <v>80</v>
      </c>
      <c r="H53" s="89">
        <f>10.64</f>
        <v>10.64</v>
      </c>
      <c r="I53" s="259"/>
      <c r="J53" s="259"/>
      <c r="K53" s="259"/>
      <c r="L53" s="243"/>
      <c r="M53" s="382"/>
      <c r="N53" s="363"/>
      <c r="O53" s="390">
        <f>O52-200</f>
        <v>1024.9299999999998</v>
      </c>
      <c r="P53" s="7" t="s">
        <v>1174</v>
      </c>
    </row>
    <row r="54" spans="2:17">
      <c r="E54" s="365"/>
      <c r="F54" s="383" t="s">
        <v>1166</v>
      </c>
      <c r="G54" s="11">
        <v>80</v>
      </c>
      <c r="H54" s="11">
        <f>10.01</f>
        <v>10.01</v>
      </c>
      <c r="I54" s="89"/>
      <c r="J54" s="368"/>
      <c r="L54" s="243"/>
      <c r="N54" s="364"/>
      <c r="O54" s="388">
        <f>O53-(491)</f>
        <v>533.92999999999984</v>
      </c>
      <c r="P54" s="389" t="s">
        <v>974</v>
      </c>
    </row>
    <row r="55" spans="2:17">
      <c r="B55" s="11"/>
      <c r="E55" s="365"/>
      <c r="F55" s="384" t="s">
        <v>863</v>
      </c>
      <c r="G55" s="385">
        <v>60</v>
      </c>
      <c r="H55" s="89">
        <f>7.66</f>
        <v>7.66</v>
      </c>
      <c r="I55" s="11"/>
      <c r="J55" s="11"/>
      <c r="L55" s="243"/>
      <c r="N55" s="364"/>
    </row>
    <row r="56" spans="2:17" ht="14.4">
      <c r="B56" s="11"/>
      <c r="E56"/>
      <c r="F56" s="79"/>
      <c r="G56" s="38"/>
      <c r="H56" s="361">
        <f>5.79</f>
        <v>5.79</v>
      </c>
      <c r="I56" s="11"/>
      <c r="J56" s="11"/>
      <c r="K56" s="11"/>
      <c r="L56" s="79"/>
      <c r="O56"/>
      <c r="P56"/>
    </row>
    <row r="57" spans="2:17">
      <c r="E57"/>
      <c r="F57" s="79"/>
      <c r="G57" s="11">
        <f>160/1.25</f>
        <v>128</v>
      </c>
      <c r="H57" s="38">
        <f>200-68.78</f>
        <v>131.22</v>
      </c>
      <c r="I57" s="11" t="s">
        <v>1160</v>
      </c>
      <c r="J57" s="353"/>
      <c r="K57" s="243"/>
      <c r="L57" s="243"/>
      <c r="N57" s="278"/>
      <c r="O57" s="212"/>
      <c r="P57" s="212"/>
    </row>
    <row r="58" spans="2:17">
      <c r="B58" s="212"/>
      <c r="C58" s="212"/>
      <c r="E58" s="243"/>
      <c r="F58" s="7"/>
      <c r="G58" s="11"/>
      <c r="H58" s="11"/>
      <c r="I58" s="11"/>
      <c r="J58" s="349"/>
      <c r="K58" s="243"/>
      <c r="N58" s="376"/>
      <c r="O58" s="214"/>
      <c r="P58" s="214"/>
    </row>
    <row r="59" spans="2:17">
      <c r="C59" s="56"/>
      <c r="D59" s="243"/>
      <c r="E59"/>
      <c r="F59">
        <f>112.64-19.3</f>
        <v>93.34</v>
      </c>
      <c r="G59" s="11"/>
      <c r="H59" s="38"/>
      <c r="I59" s="11"/>
      <c r="J59" s="768" t="s">
        <v>873</v>
      </c>
      <c r="K59" s="768"/>
      <c r="L59" s="768"/>
      <c r="N59" s="384" t="s">
        <v>724</v>
      </c>
      <c r="O59">
        <f>864.37+26.6+116.1+3.5+12.2+10.83+159.78+16.4+18.1961954+11.94</f>
        <v>1239.9161954000003</v>
      </c>
      <c r="P59"/>
    </row>
    <row r="60" spans="2:17">
      <c r="C60" s="56"/>
      <c r="E60"/>
      <c r="F60"/>
      <c r="G60" s="243"/>
      <c r="H60" s="38"/>
      <c r="I60" s="11"/>
      <c r="J60" s="349" t="s">
        <v>1146</v>
      </c>
      <c r="K60" s="243" t="s">
        <v>1147</v>
      </c>
      <c r="L60" t="s">
        <v>1169</v>
      </c>
      <c r="N60" s="278"/>
      <c r="O60" s="212"/>
      <c r="P60" s="212"/>
    </row>
    <row r="61" spans="2:17">
      <c r="C61" s="56"/>
      <c r="E61"/>
      <c r="F61"/>
      <c r="G61" s="11" t="s">
        <v>1164</v>
      </c>
      <c r="H61" s="38"/>
      <c r="I61" s="11"/>
      <c r="J61" s="11">
        <f>1357.72</f>
        <v>1357.72</v>
      </c>
      <c r="K61" s="11">
        <v>2500</v>
      </c>
      <c r="L61" s="243">
        <f>K61-SUM(J61:J65)</f>
        <v>46.279999999999745</v>
      </c>
      <c r="M61" s="384" t="s">
        <v>887</v>
      </c>
      <c r="N61" s="7" t="s">
        <v>1175</v>
      </c>
      <c r="O61" s="342" t="s">
        <v>1178</v>
      </c>
      <c r="P61" s="56"/>
    </row>
    <row r="62" spans="2:17">
      <c r="C62" s="56"/>
      <c r="E62"/>
      <c r="F62"/>
      <c r="G62" s="11"/>
      <c r="H62" s="38"/>
      <c r="I62" s="11" t="s">
        <v>1171</v>
      </c>
      <c r="J62">
        <f>325+16+5</f>
        <v>346</v>
      </c>
      <c r="M62" t="s">
        <v>1176</v>
      </c>
      <c r="N62" s="365">
        <f>26.6+116.1+864.37</f>
        <v>1007.0699999999999</v>
      </c>
      <c r="O62">
        <f>3.5+12.2+10.83+16.4+159.78+11.94+29.02+619.54</f>
        <v>863.21</v>
      </c>
      <c r="P62"/>
    </row>
    <row r="63" spans="2:17">
      <c r="C63" s="56"/>
      <c r="E63" s="243"/>
      <c r="F63"/>
      <c r="G63" s="11" t="s">
        <v>1167</v>
      </c>
      <c r="H63" s="38"/>
      <c r="I63" s="11" t="s">
        <v>1170</v>
      </c>
      <c r="J63" s="349">
        <v>250</v>
      </c>
      <c r="M63" t="s">
        <v>1177</v>
      </c>
      <c r="N63" s="278">
        <f>79+12+76+38.38+12+21.85+2.5+26.8+20.73+50.08+16.46+45.12+11.8-8</f>
        <v>404.71999999999997</v>
      </c>
      <c r="O63" s="212">
        <f>25.03+2.15+80.29+32.45+29.44+18.19</f>
        <v>187.55</v>
      </c>
      <c r="P63" s="213">
        <f>SUM(N63:O63)-100</f>
        <v>492.27</v>
      </c>
    </row>
    <row r="64" spans="2:17">
      <c r="C64" s="56"/>
      <c r="D64" s="243"/>
      <c r="E64"/>
      <c r="F64"/>
      <c r="G64" s="11" t="s">
        <v>1168</v>
      </c>
      <c r="H64" s="38"/>
      <c r="I64" s="11" t="s">
        <v>637</v>
      </c>
      <c r="J64" s="349">
        <v>500</v>
      </c>
      <c r="M64" t="s">
        <v>98</v>
      </c>
      <c r="N64" s="365"/>
      <c r="O64" s="38">
        <f>38.04+29.18+2+6.3+6.12+6.12+9.5</f>
        <v>97.26</v>
      </c>
      <c r="P64" s="56"/>
    </row>
    <row r="65" spans="2:15" ht="14.4">
      <c r="C65" s="56"/>
      <c r="E65"/>
      <c r="F65"/>
      <c r="H65" s="38"/>
      <c r="I65" s="11"/>
      <c r="J65" s="349"/>
      <c r="O65"/>
    </row>
    <row r="66" spans="2:15" ht="14.4">
      <c r="C66" s="56"/>
      <c r="E66" s="347"/>
      <c r="F66"/>
      <c r="H66" s="38"/>
      <c r="I66" s="11"/>
    </row>
    <row r="67" spans="2:15" ht="14.4">
      <c r="C67" s="56"/>
      <c r="E67" s="332"/>
      <c r="F67" s="332"/>
      <c r="G67" s="212"/>
    </row>
    <row r="68" spans="2:15" ht="14.4">
      <c r="C68" s="56"/>
      <c r="E68"/>
      <c r="F68"/>
      <c r="G68" s="243" t="s">
        <v>1172</v>
      </c>
    </row>
    <row r="69" spans="2:15" ht="14.4">
      <c r="C69" s="56"/>
      <c r="E69"/>
      <c r="F69"/>
      <c r="G69" s="243"/>
    </row>
    <row r="70" spans="2:15">
      <c r="E70" s="365"/>
      <c r="F70" s="365"/>
      <c r="G70" s="243"/>
    </row>
    <row r="71" spans="2:15" ht="14.4">
      <c r="B71" s="212"/>
      <c r="C71" s="294"/>
      <c r="D71" s="212"/>
      <c r="E71" s="212"/>
      <c r="F71" s="212"/>
      <c r="G71" s="243"/>
      <c r="H71" s="212"/>
    </row>
    <row r="72" spans="2:15" ht="14.4">
      <c r="C72" s="56"/>
      <c r="D72" s="56"/>
      <c r="E72" s="56"/>
      <c r="F72" s="56"/>
      <c r="G72" s="56"/>
      <c r="H72" s="56"/>
    </row>
    <row r="73" spans="2:15" ht="14.4">
      <c r="C73" s="56"/>
      <c r="D73" s="56"/>
      <c r="E73" s="56"/>
      <c r="F73" s="56"/>
      <c r="G73" s="56"/>
      <c r="H73" s="56"/>
    </row>
    <row r="74" spans="2:15" ht="14.4">
      <c r="C74" s="56"/>
      <c r="D74" s="56"/>
      <c r="E74" s="56"/>
      <c r="F74" s="56"/>
      <c r="G74" s="56"/>
      <c r="H74" s="56"/>
    </row>
    <row r="75" spans="2:15" ht="14.4">
      <c r="C75" s="56"/>
      <c r="D75" s="56"/>
      <c r="E75" s="56"/>
      <c r="F75" s="56"/>
      <c r="G75" s="56"/>
      <c r="H75" s="56"/>
    </row>
    <row r="76" spans="2:15" ht="14.4">
      <c r="C76" s="56"/>
      <c r="D76" s="56"/>
      <c r="E76" s="56"/>
      <c r="F76" s="56"/>
      <c r="G76" s="56"/>
      <c r="H76" s="56"/>
    </row>
    <row r="77" spans="2:15" ht="14.4">
      <c r="C77" s="56"/>
      <c r="E77" s="56"/>
      <c r="F77" s="56"/>
    </row>
    <row r="79" spans="2:15" ht="14.4">
      <c r="E79" s="212"/>
      <c r="F79" s="212"/>
      <c r="G79" s="212"/>
      <c r="H79" s="212"/>
    </row>
    <row r="80" spans="2:15" ht="14.4">
      <c r="E80" s="56"/>
      <c r="F80" s="56"/>
      <c r="G80" s="56"/>
      <c r="H80" s="56"/>
    </row>
    <row r="81" spans="5:8" ht="14.4">
      <c r="E81" s="56"/>
      <c r="F81" s="56"/>
      <c r="G81" s="56"/>
      <c r="H81" s="56"/>
    </row>
    <row r="82" spans="5:8" ht="14.4">
      <c r="E82" s="56"/>
      <c r="F82" s="56"/>
      <c r="G82" s="56"/>
      <c r="H82" s="56"/>
    </row>
    <row r="83" spans="5:8" ht="14.4">
      <c r="E83" s="56"/>
      <c r="F83" s="56"/>
      <c r="G83" s="56"/>
      <c r="H83" s="56"/>
    </row>
    <row r="84" spans="5:8" ht="14.4">
      <c r="E84" s="56"/>
      <c r="F84" s="56"/>
      <c r="G84" s="56"/>
      <c r="H84" s="56"/>
    </row>
    <row r="85" spans="5:8" ht="14.4">
      <c r="E85" s="56"/>
      <c r="F85" s="56"/>
    </row>
    <row r="87" spans="5:8" ht="14.4">
      <c r="E87" s="212"/>
      <c r="F87" s="212"/>
      <c r="G87" s="212"/>
      <c r="H87" s="212"/>
    </row>
    <row r="88" spans="5:8" ht="14.4">
      <c r="E88" s="56"/>
      <c r="F88" s="56"/>
      <c r="G88" s="56"/>
      <c r="H88" s="56"/>
    </row>
    <row r="89" spans="5:8" ht="14.4">
      <c r="E89" s="56"/>
      <c r="F89" s="56"/>
      <c r="G89" s="56"/>
      <c r="H89" s="56"/>
    </row>
    <row r="90" spans="5:8" ht="14.4">
      <c r="E90" s="56"/>
      <c r="F90" s="56"/>
      <c r="G90" s="56"/>
      <c r="H90" s="56"/>
    </row>
    <row r="91" spans="5:8" ht="14.4">
      <c r="E91" s="56"/>
      <c r="F91" s="56"/>
      <c r="G91" s="56"/>
      <c r="H91" s="56"/>
    </row>
    <row r="92" spans="5:8" ht="14.4">
      <c r="E92" s="56"/>
      <c r="F92" s="56"/>
      <c r="G92" s="56"/>
      <c r="H92" s="56"/>
    </row>
    <row r="93" spans="5:8" ht="14.4">
      <c r="E93" s="56"/>
      <c r="F93" s="56"/>
    </row>
    <row r="94" spans="5:8">
      <c r="E94" s="365"/>
      <c r="F94" s="365"/>
    </row>
  </sheetData>
  <mergeCells count="24">
    <mergeCell ref="B33:B38"/>
    <mergeCell ref="C33:C38"/>
    <mergeCell ref="J59:L59"/>
    <mergeCell ref="B43:G43"/>
    <mergeCell ref="K43:O43"/>
    <mergeCell ref="B44:C44"/>
    <mergeCell ref="D44:E44"/>
    <mergeCell ref="B41:D41"/>
    <mergeCell ref="B31:E31"/>
    <mergeCell ref="B32:C32"/>
    <mergeCell ref="B24:C24"/>
    <mergeCell ref="D24:E24"/>
    <mergeCell ref="B1:O1"/>
    <mergeCell ref="G3:H3"/>
    <mergeCell ref="I3:J3"/>
    <mergeCell ref="K3:L3"/>
    <mergeCell ref="M3:N3"/>
    <mergeCell ref="B4:E4"/>
    <mergeCell ref="B5:C5"/>
    <mergeCell ref="D5:E5"/>
    <mergeCell ref="B6:B21"/>
    <mergeCell ref="C6:C21"/>
    <mergeCell ref="B23:E23"/>
    <mergeCell ref="D32:E32"/>
  </mergeCells>
  <pageMargins left="0.7" right="0.7" top="0.75" bottom="0.75" header="0.3" footer="0.3"/>
  <pageSetup orientation="portrait" r:id="rId1"/>
  <legacy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F0B8E-AD8E-4EE1-9FB8-11C8CA5485CE}">
  <dimension ref="A1:T94"/>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9" max="19" width="22.33203125" bestFit="1" customWidth="1"/>
    <col min="21" max="21" width="16.109375" customWidth="1"/>
  </cols>
  <sheetData>
    <row r="1" spans="1:20" ht="25.5" customHeight="1">
      <c r="A1" t="str">
        <f ca="1">UPPER(TEXT((1&amp;LEFT(B$1,3))-1,"MMM"))&amp;"-"&amp;UPPER(TEXT((1&amp;RIGHT(LEFT(B$1,7),3))-1,"MMM"))&amp;" "&amp;RIGHT(B$1,4)</f>
        <v>MAY-JUN 2022</v>
      </c>
      <c r="B1" s="730" t="str">
        <f ca="1">MID(CELL("filename",B1),FIND("]",CELL("filename",B1))+1,255)</f>
        <v>JUN-JUL 2022</v>
      </c>
      <c r="C1" s="731"/>
      <c r="D1" s="731"/>
      <c r="E1" s="731"/>
      <c r="F1" s="731"/>
      <c r="G1" s="731"/>
      <c r="H1" s="731"/>
      <c r="I1" s="731"/>
      <c r="J1" s="731"/>
      <c r="K1" s="731"/>
      <c r="L1" s="731"/>
      <c r="M1" s="731"/>
      <c r="N1" s="731"/>
      <c r="O1" s="731"/>
      <c r="P1" s="298"/>
      <c r="Q1" s="281"/>
      <c r="R1" s="272"/>
      <c r="S1" s="272"/>
      <c r="T1" s="272"/>
    </row>
    <row r="2" spans="1:20">
      <c r="B2" s="118"/>
      <c r="C2" s="118"/>
      <c r="E2" s="365">
        <f>2742.7-F2</f>
        <v>-148.66000000000031</v>
      </c>
      <c r="F2" s="365">
        <f>2590.53+H4</f>
        <v>2891.36</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ROUND(O5+O32+O24+IF(O37&lt;0,0,O37)+O38+O4,2) &amp; " / " &amp; "£" &amp; E40</f>
        <v>£1100.08 / £5592.76</v>
      </c>
      <c r="E3" s="365">
        <f>2802.81-2787.81</f>
        <v>15</v>
      </c>
      <c r="F3" s="365"/>
      <c r="G3" s="732">
        <v>44737</v>
      </c>
      <c r="H3" s="732"/>
      <c r="I3" s="732">
        <f>G3+7</f>
        <v>44744</v>
      </c>
      <c r="J3" s="732"/>
      <c r="K3" s="732">
        <f>I3+7</f>
        <v>44751</v>
      </c>
      <c r="L3" s="732"/>
      <c r="M3" s="732">
        <f>K3+7</f>
        <v>44758</v>
      </c>
      <c r="N3" s="732"/>
      <c r="O3" s="325"/>
      <c r="P3" s="325"/>
      <c r="Q3" s="282"/>
    </row>
    <row r="4" spans="1:20" ht="15" customHeight="1">
      <c r="B4" s="727" t="str">
        <f>_xlfn.CONCAT("Expenses - 50 - ",G40*0.5," / Actual = ",D5," (",ROUND((D5/G40)*100,2),")")</f>
        <v>Expenses - 50 - 2487.88 / Actual = 1819.92 (36.58)</v>
      </c>
      <c r="C4" s="727"/>
      <c r="D4" s="727"/>
      <c r="E4" s="727"/>
      <c r="F4" s="318"/>
      <c r="H4" s="243">
        <f>SUM(H5:H38)</f>
        <v>300.83000000000004</v>
      </c>
      <c r="J4" s="243">
        <f>SUM(J5:J38)</f>
        <v>326.82</v>
      </c>
      <c r="L4" s="243">
        <f>SUM(L5:L38)</f>
        <v>991.1099999999999</v>
      </c>
      <c r="N4" s="243">
        <f>SUM(N5:N38)</f>
        <v>92.46</v>
      </c>
      <c r="O4" s="308">
        <f>IF(H39&lt;&gt;"PAID",H4,0)+IF(J39&lt;&gt;"PAID",J4,0)+IF(L39&lt;&gt;"PAID",L4,0)+IF(N39&lt;&gt;"PAID",N4,0)</f>
        <v>0</v>
      </c>
      <c r="P4" s="309" t="s">
        <v>973</v>
      </c>
      <c r="Q4" s="282"/>
      <c r="R4" s="243"/>
      <c r="S4" s="243"/>
    </row>
    <row r="5" spans="1:20" ht="15" customHeight="1">
      <c r="B5" s="733" t="str">
        <f>IF(D5&gt;E$40*0.5,ROUND(D5-E$40*0.5,2) &amp; " Over",ROUND(E$40*0.5-D5,2) &amp; " Under")</f>
        <v>976.46 Under</v>
      </c>
      <c r="C5" s="733"/>
      <c r="D5" s="761">
        <f>SUM(F6:F21)</f>
        <v>1819.92</v>
      </c>
      <c r="E5" s="761"/>
      <c r="F5" s="321"/>
      <c r="G5" s="284"/>
      <c r="H5" s="306"/>
      <c r="I5" s="79"/>
      <c r="J5" s="306"/>
      <c r="K5" s="79"/>
      <c r="L5" s="306"/>
      <c r="M5" s="79"/>
      <c r="N5" s="305"/>
      <c r="O5" s="285">
        <f>SUMIF(O6:O21,"&gt;0")</f>
        <v>59.3</v>
      </c>
      <c r="P5" s="285" t="s">
        <v>892</v>
      </c>
      <c r="Q5" s="282">
        <f>SUM(Q6:Q21)</f>
        <v>19.009999999999984</v>
      </c>
      <c r="R5" s="243"/>
    </row>
    <row r="6" spans="1:20" ht="15" customHeight="1">
      <c r="B6" s="734" t="str">
        <f>"50%: " &amp; E$40*0.5</f>
        <v>50%: 2796.38</v>
      </c>
      <c r="C6" s="734" t="str">
        <f>ROUND((D5/E$40)*100,2) &amp; "%: " &amp;D5</f>
        <v>32.54%: 1819.92</v>
      </c>
      <c r="D6" s="13" t="s">
        <v>805</v>
      </c>
      <c r="E6" s="365">
        <v>0</v>
      </c>
      <c r="F6" s="374">
        <f>200+29.37</f>
        <v>229.37</v>
      </c>
      <c r="H6" s="305">
        <f>38.04+36.98</f>
        <v>75.02</v>
      </c>
      <c r="J6" s="305">
        <f>38.02+40.12</f>
        <v>78.14</v>
      </c>
      <c r="K6">
        <f>25.01</f>
        <v>25.01</v>
      </c>
      <c r="L6" s="305">
        <f>21.83+29.37</f>
        <v>51.2</v>
      </c>
      <c r="N6" s="305"/>
      <c r="O6" s="274">
        <f>SUM(E6:F6)-SUM(G6:N6)</f>
        <v>0</v>
      </c>
      <c r="P6" s="274" t="str">
        <f t="shared" ref="P6:P21" si="0">D6</f>
        <v>Car Petrol / commuting</v>
      </c>
      <c r="Q6" s="282">
        <f t="shared" ref="Q6:Q21" si="1">IF(O6&lt;0,O6*-1,0)</f>
        <v>0</v>
      </c>
      <c r="R6" s="243"/>
    </row>
    <row r="7" spans="1:20" ht="15" customHeight="1">
      <c r="B7" s="734"/>
      <c r="C7" s="734"/>
      <c r="D7" s="13" t="s">
        <v>169</v>
      </c>
      <c r="E7" s="365">
        <v>0</v>
      </c>
      <c r="F7" s="365">
        <f>400-50-13.15+25.43</f>
        <v>362.28000000000003</v>
      </c>
      <c r="G7">
        <f>(37.37-18.37)</f>
        <v>18.999999999999996</v>
      </c>
      <c r="H7" s="305">
        <f>2+6.3+6.12+6.12+9.5+14.8+38.58</f>
        <v>83.42</v>
      </c>
      <c r="J7" s="305">
        <f>34.81+49.62</f>
        <v>84.43</v>
      </c>
      <c r="L7" s="305">
        <f>22.75+30.16+3.36+5+9.5+3.6+5.5+3.1</f>
        <v>82.969999999999985</v>
      </c>
      <c r="N7" s="305">
        <f>92.46</f>
        <v>92.46</v>
      </c>
      <c r="O7" s="274">
        <f>SUM(E7:F7)-SUM(G7:N7)</f>
        <v>0</v>
      </c>
      <c r="P7" s="274" t="str">
        <f t="shared" si="0"/>
        <v>Food</v>
      </c>
      <c r="Q7" s="282">
        <f t="shared" si="1"/>
        <v>0</v>
      </c>
      <c r="R7" s="243"/>
    </row>
    <row r="8" spans="1:20" ht="15" customHeight="1">
      <c r="B8" s="734"/>
      <c r="C8" s="734"/>
      <c r="D8" s="13" t="s">
        <v>153</v>
      </c>
      <c r="E8" s="365">
        <v>0</v>
      </c>
      <c r="F8" s="365">
        <f>100+21</f>
        <v>121</v>
      </c>
      <c r="G8">
        <f>25.4</f>
        <v>25.4</v>
      </c>
      <c r="H8" s="305">
        <f>12.34</f>
        <v>12.34</v>
      </c>
      <c r="I8">
        <f>31.94+21</f>
        <v>52.94</v>
      </c>
      <c r="J8" s="362"/>
      <c r="K8">
        <f>12.5+16.14</f>
        <v>28.64</v>
      </c>
      <c r="L8" s="305">
        <f>19.04</f>
        <v>19.04</v>
      </c>
      <c r="N8" s="305"/>
      <c r="O8" s="274">
        <f>SUM(E8:F8)-SUM(G8:N8)</f>
        <v>-17.359999999999985</v>
      </c>
      <c r="P8" s="274" t="str">
        <f t="shared" si="0"/>
        <v>Luna</v>
      </c>
      <c r="Q8" s="282">
        <f t="shared" si="1"/>
        <v>17.359999999999985</v>
      </c>
    </row>
    <row r="9" spans="1:20" ht="15" customHeight="1">
      <c r="B9" s="734"/>
      <c r="C9" s="734"/>
      <c r="D9" s="13" t="s">
        <v>1079</v>
      </c>
      <c r="E9" s="365">
        <v>0</v>
      </c>
      <c r="F9" s="365">
        <v>40</v>
      </c>
      <c r="H9" s="305">
        <f>29.18+12.47</f>
        <v>41.65</v>
      </c>
      <c r="J9" s="305"/>
      <c r="L9" s="305"/>
      <c r="N9" s="305"/>
      <c r="O9" s="274">
        <f>SUM(E9:F9)-SUM(G9:N9)</f>
        <v>-1.6499999999999986</v>
      </c>
      <c r="P9" s="274" t="str">
        <f t="shared" si="0"/>
        <v>Creamy</v>
      </c>
      <c r="Q9" s="282">
        <f t="shared" si="1"/>
        <v>1.6499999999999986</v>
      </c>
    </row>
    <row r="10" spans="1:20" ht="15" customHeight="1" outlineLevel="1">
      <c r="B10" s="734"/>
      <c r="C10" s="734"/>
      <c r="D10" s="201" t="s">
        <v>595</v>
      </c>
      <c r="E10" s="365">
        <v>0</v>
      </c>
      <c r="F10" s="365">
        <f>452.64</f>
        <v>452.64</v>
      </c>
      <c r="H10" s="305"/>
      <c r="J10" s="305"/>
      <c r="L10" s="305"/>
      <c r="M10">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f>139</f>
        <v>139</v>
      </c>
      <c r="H11" s="305"/>
      <c r="J11" s="305"/>
      <c r="K11">
        <f>139</f>
        <v>139</v>
      </c>
      <c r="L11" s="305"/>
      <c r="N11" s="305"/>
      <c r="O11" s="274">
        <f t="shared" si="2"/>
        <v>0</v>
      </c>
      <c r="P11" s="274" t="str">
        <f t="shared" si="0"/>
        <v>Council tax</v>
      </c>
      <c r="Q11" s="282">
        <f t="shared" si="1"/>
        <v>0</v>
      </c>
    </row>
    <row r="12" spans="1:20" ht="15" customHeight="1" outlineLevel="1">
      <c r="B12" s="734"/>
      <c r="C12" s="734"/>
      <c r="D12" s="201" t="s">
        <v>1002</v>
      </c>
      <c r="E12" s="365">
        <v>0</v>
      </c>
      <c r="F12" s="365">
        <f>46+107.57+1</f>
        <v>154.57</v>
      </c>
      <c r="G12">
        <f>1+107.57</f>
        <v>108.57</v>
      </c>
      <c r="H12" s="305"/>
      <c r="J12" s="305"/>
      <c r="L12" s="305"/>
      <c r="M12">
        <f>46</f>
        <v>46</v>
      </c>
      <c r="N12" s="305"/>
      <c r="O12" s="274">
        <f>SUM(E12:F12)-SUM(G12:N12)</f>
        <v>0</v>
      </c>
      <c r="P12" s="274" t="str">
        <f t="shared" si="0"/>
        <v>Utilities (G,W,E,HTB)</v>
      </c>
      <c r="Q12" s="282">
        <f t="shared" si="1"/>
        <v>0</v>
      </c>
    </row>
    <row r="13" spans="1:20" ht="15" customHeight="1" outlineLevel="1">
      <c r="B13" s="734"/>
      <c r="C13" s="734"/>
      <c r="D13" s="201" t="s">
        <v>996</v>
      </c>
      <c r="E13" s="365">
        <v>0</v>
      </c>
      <c r="F13" s="365">
        <f>16.42</f>
        <v>16.420000000000002</v>
      </c>
      <c r="G13">
        <f>16.42</f>
        <v>16.420000000000002</v>
      </c>
      <c r="H13" s="305"/>
      <c r="J13" s="305"/>
      <c r="L13" s="305"/>
      <c r="N13" s="305"/>
      <c r="O13" s="274">
        <f>SUM(E13:F13)-SUM(G13:N13)</f>
        <v>0</v>
      </c>
      <c r="P13" s="274" t="str">
        <f t="shared" si="0"/>
        <v>Home Insurance</v>
      </c>
      <c r="Q13" s="282">
        <f t="shared" si="1"/>
        <v>0</v>
      </c>
    </row>
    <row r="14" spans="1:20" ht="15" customHeight="1" outlineLevel="1">
      <c r="B14" s="734"/>
      <c r="C14" s="734"/>
      <c r="D14" s="201" t="s">
        <v>359</v>
      </c>
      <c r="E14" s="365">
        <v>0</v>
      </c>
      <c r="F14" s="365">
        <f>30</f>
        <v>30</v>
      </c>
      <c r="H14" s="305"/>
      <c r="J14" s="305"/>
      <c r="L14" s="305"/>
      <c r="N14" s="305"/>
      <c r="O14" s="274">
        <f t="shared" si="2"/>
        <v>30</v>
      </c>
      <c r="P14" s="274" t="str">
        <f t="shared" si="0"/>
        <v>TV License</v>
      </c>
      <c r="Q14" s="282">
        <f t="shared" si="1"/>
        <v>0</v>
      </c>
    </row>
    <row r="15" spans="1:20" ht="15" customHeight="1" outlineLevel="1">
      <c r="B15" s="734"/>
      <c r="C15" s="734"/>
      <c r="D15" s="201" t="s">
        <v>1056</v>
      </c>
      <c r="E15" s="365">
        <v>0</v>
      </c>
      <c r="F15" s="365">
        <f>8+36.79+16.6</f>
        <v>61.39</v>
      </c>
      <c r="G15">
        <f>16.6</f>
        <v>16.600000000000001</v>
      </c>
      <c r="H15" s="305"/>
      <c r="J15" s="305"/>
      <c r="K15">
        <f>8+35.99</f>
        <v>43.99</v>
      </c>
      <c r="L15" s="305"/>
      <c r="N15" s="305"/>
      <c r="O15" s="274">
        <f>SUM(E15:F15)-SUM(G15:N15)</f>
        <v>0.79999999999999716</v>
      </c>
      <c r="P15" s="274" t="str">
        <f t="shared" si="0"/>
        <v>Pet Health / Insurance</v>
      </c>
      <c r="Q15" s="282">
        <f t="shared" si="1"/>
        <v>0</v>
      </c>
    </row>
    <row r="16" spans="1:20" ht="15" customHeight="1" outlineLevel="1">
      <c r="B16" s="734"/>
      <c r="C16" s="734"/>
      <c r="D16" s="201" t="s">
        <v>1057</v>
      </c>
      <c r="E16" s="365">
        <v>0</v>
      </c>
      <c r="F16" s="365">
        <f>4.52+15.97+8.56</f>
        <v>29.050000000000004</v>
      </c>
      <c r="G16">
        <v>29.05</v>
      </c>
      <c r="H16" s="305"/>
      <c r="I16" s="11"/>
      <c r="J16" s="305"/>
      <c r="L16" s="305"/>
      <c r="N16" s="305"/>
      <c r="O16" s="274">
        <f t="shared" si="2"/>
        <v>0</v>
      </c>
      <c r="P16" s="274" t="str">
        <f t="shared" si="0"/>
        <v>Life / Income Insurance</v>
      </c>
      <c r="Q16" s="282">
        <f t="shared" si="1"/>
        <v>0</v>
      </c>
    </row>
    <row r="17" spans="2:17" ht="15" customHeight="1" outlineLevel="1">
      <c r="B17" s="734"/>
      <c r="C17" s="734"/>
      <c r="D17" s="201" t="s">
        <v>602</v>
      </c>
      <c r="E17" s="365">
        <v>0</v>
      </c>
      <c r="F17" s="365">
        <v>28.5</v>
      </c>
      <c r="H17" s="305"/>
      <c r="J17" s="305"/>
      <c r="L17" s="305"/>
      <c r="N17" s="305"/>
      <c r="O17" s="274">
        <f>SUM(E17:F17)-SUM(G17:N17)</f>
        <v>28.5</v>
      </c>
      <c r="P17" s="274" t="str">
        <f t="shared" si="0"/>
        <v>Broadband / TV</v>
      </c>
      <c r="Q17" s="282">
        <f t="shared" si="1"/>
        <v>0</v>
      </c>
    </row>
    <row r="18" spans="2:17" ht="15" customHeight="1" outlineLevel="1">
      <c r="B18" s="734"/>
      <c r="C18" s="734"/>
      <c r="D18" s="201" t="s">
        <v>582</v>
      </c>
      <c r="E18" s="365">
        <v>0</v>
      </c>
      <c r="F18" s="365">
        <v>7.99</v>
      </c>
      <c r="H18" s="305"/>
      <c r="I18">
        <v>7.99</v>
      </c>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v>12.22</v>
      </c>
      <c r="G19">
        <f>12.22</f>
        <v>12.22</v>
      </c>
      <c r="H19" s="305"/>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29.75+34.68+42.5+13.56</f>
        <v>120.49000000000001</v>
      </c>
      <c r="G20">
        <f>13.56+29.75+34.68+42.5</f>
        <v>120.49000000000001</v>
      </c>
      <c r="H20" s="305"/>
      <c r="J20" s="305"/>
      <c r="L20" s="305"/>
      <c r="N20" s="305"/>
      <c r="O20" s="274">
        <f>SUM(E20:F20)-SUM(G20:N20)</f>
        <v>0</v>
      </c>
      <c r="P20" s="274" t="str">
        <f t="shared" si="0"/>
        <v>Car Tax / Insurance</v>
      </c>
      <c r="Q20" s="282">
        <f t="shared" si="1"/>
        <v>0</v>
      </c>
    </row>
    <row r="21" spans="2:17" ht="15" customHeight="1" outlineLevel="1">
      <c r="B21" s="734"/>
      <c r="C21" s="734"/>
      <c r="D21" s="201" t="s">
        <v>944</v>
      </c>
      <c r="E21" s="365">
        <v>0</v>
      </c>
      <c r="F21" s="365">
        <v>15</v>
      </c>
      <c r="G21">
        <v>15</v>
      </c>
      <c r="H21" s="305"/>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",G40*0.2," / Actual = ",D24," (",ROUND((D24/G40)*100,2),")")</f>
        <v>Savings - 20 - 995.152 / Actual = 1698.52 (34.14)</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1698.52</v>
      </c>
      <c r="E24" s="759"/>
      <c r="F24" s="319"/>
      <c r="H24" s="305"/>
      <c r="J24" s="305"/>
      <c r="L24" s="305"/>
      <c r="N24" s="305"/>
      <c r="O24" s="285">
        <f>SUMIF(O25:O29,"&gt;0")</f>
        <v>50.440000000000254</v>
      </c>
      <c r="P24" s="285" t="s">
        <v>895</v>
      </c>
      <c r="Q24" s="282">
        <f>SUM(Q25:Q29)</f>
        <v>0</v>
      </c>
    </row>
    <row r="25" spans="2:17" ht="15" customHeight="1" outlineLevel="1">
      <c r="B25" s="7" t="str">
        <f>"20% : " &amp; E$40*0.2</f>
        <v>20% : 1118.552</v>
      </c>
      <c r="C25" s="7" t="str">
        <f>"20% : " &amp; E$40*0.2</f>
        <v>20% : 1118.552</v>
      </c>
      <c r="D25" s="300" t="s">
        <v>590</v>
      </c>
      <c r="E25" s="365">
        <v>0</v>
      </c>
      <c r="F25" s="365">
        <f>100+137.45</f>
        <v>237.45</v>
      </c>
      <c r="G25">
        <v>11.99</v>
      </c>
      <c r="H25" s="305"/>
      <c r="I25">
        <f>150</f>
        <v>150</v>
      </c>
      <c r="J25" s="305">
        <f>21.75</f>
        <v>21.75</v>
      </c>
      <c r="L25" s="315"/>
      <c r="N25" s="305"/>
      <c r="O25" s="274">
        <f>SUM(E25:F25)-SUM(G25:N25)-Q40</f>
        <v>30.090000000000209</v>
      </c>
      <c r="P25" s="274" t="str">
        <f t="shared" ref="P25:P29" si="3">D25</f>
        <v>Contingency</v>
      </c>
      <c r="Q25" s="282">
        <v>0</v>
      </c>
    </row>
    <row r="26" spans="2:17" ht="15" customHeight="1" outlineLevel="1">
      <c r="B26" s="7"/>
      <c r="C26" s="7"/>
      <c r="D26" s="300" t="s">
        <v>998</v>
      </c>
      <c r="E26" s="365">
        <v>0</v>
      </c>
      <c r="F26" s="365">
        <f>75+282</f>
        <v>357</v>
      </c>
      <c r="G26" s="11"/>
      <c r="H26" s="306"/>
      <c r="J26" s="305">
        <f>99+94.85+(91.25-21.83)</f>
        <v>263.27</v>
      </c>
      <c r="K26">
        <f>65</f>
        <v>65</v>
      </c>
      <c r="L26" s="305">
        <f>11.59</f>
        <v>11.59</v>
      </c>
      <c r="N26" s="305"/>
      <c r="O26" s="274">
        <f>SUM(E26:F26)-SUM(G26:N26)</f>
        <v>17.140000000000043</v>
      </c>
      <c r="P26" s="274" t="str">
        <f t="shared" si="3"/>
        <v>Cars (Service / MOT)</v>
      </c>
      <c r="Q26" s="282">
        <f t="shared" ref="Q26:Q29" si="4">IF(O26&lt;0,O26*-1,0)</f>
        <v>0</v>
      </c>
    </row>
    <row r="27" spans="2:17" ht="15" customHeight="1" outlineLevel="1">
      <c r="B27" s="7"/>
      <c r="C27" s="7"/>
      <c r="D27" s="300" t="s">
        <v>1135</v>
      </c>
      <c r="E27" s="365">
        <v>0</v>
      </c>
      <c r="F27" s="365">
        <v>25</v>
      </c>
      <c r="G27" s="11"/>
      <c r="H27" s="306"/>
      <c r="J27" s="305">
        <f>21.79</f>
        <v>21.79</v>
      </c>
      <c r="L27" s="305"/>
      <c r="N27" s="305"/>
      <c r="O27" s="274">
        <f>SUM(E27:F27)-SUM(G27:N27)</f>
        <v>3.2100000000000009</v>
      </c>
      <c r="P27" s="274" t="str">
        <f t="shared" si="3"/>
        <v>Investment</v>
      </c>
      <c r="Q27" s="282">
        <f t="shared" si="4"/>
        <v>0</v>
      </c>
    </row>
    <row r="28" spans="2:17" ht="15" customHeight="1" outlineLevel="1">
      <c r="B28" s="7"/>
      <c r="C28" s="7"/>
      <c r="D28" s="300" t="s">
        <v>999</v>
      </c>
      <c r="E28" s="365">
        <v>0</v>
      </c>
      <c r="F28" s="365">
        <v>0</v>
      </c>
      <c r="G28" s="11"/>
      <c r="H28" s="306"/>
      <c r="J28" s="305"/>
      <c r="L28" s="305"/>
      <c r="N28" s="305"/>
      <c r="O28" s="274">
        <f t="shared" ref="O28:O29" si="5">SUM(E28:F28)-SUM(G28:N28)</f>
        <v>0</v>
      </c>
      <c r="P28" s="274" t="str">
        <f t="shared" si="3"/>
        <v>Mortgage Overpayment</v>
      </c>
      <c r="Q28" s="282">
        <f t="shared" si="4"/>
        <v>0</v>
      </c>
    </row>
    <row r="29" spans="2:17" ht="15" customHeight="1" outlineLevel="1">
      <c r="B29" s="7"/>
      <c r="C29" s="7"/>
      <c r="D29" s="300" t="s">
        <v>814</v>
      </c>
      <c r="E29" s="365">
        <v>0</v>
      </c>
      <c r="F29" s="365">
        <f>492.27+587-0.2</f>
        <v>1079.07</v>
      </c>
      <c r="G29" s="11"/>
      <c r="H29" s="306"/>
      <c r="I29">
        <v>492.27</v>
      </c>
      <c r="J29" s="305"/>
      <c r="L29" s="305">
        <v>586.79999999999995</v>
      </c>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",G40*0.3," / Actual = ",D32," (",ROUND((D32/G40)*100,2),")")</f>
        <v>Wants - 30 - 1492.728 / Actual = 2074.32 (41.69)</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(E$40-D5-D24-E39)</f>
        <v>2074.3200000000002</v>
      </c>
      <c r="E32" s="727"/>
      <c r="F32" s="319">
        <f>SUM(F33:F37)</f>
        <v>1724.3200000000002</v>
      </c>
      <c r="H32" s="305"/>
      <c r="J32" s="305"/>
      <c r="L32" s="305"/>
      <c r="N32" s="305"/>
      <c r="O32" s="285">
        <f>SUMIF(O33:O36,"&gt;0")</f>
        <v>1089.4100000000001</v>
      </c>
      <c r="P32" s="285" t="s">
        <v>899</v>
      </c>
      <c r="Q32" s="282">
        <f>SUM(Q33:Q37)</f>
        <v>4.6099999999997863</v>
      </c>
    </row>
    <row r="33" spans="2:19" ht="15" customHeight="1" outlineLevel="1">
      <c r="B33" s="734"/>
      <c r="C33" s="760"/>
      <c r="D33" s="300" t="s">
        <v>873</v>
      </c>
      <c r="E33" s="365">
        <v>0</v>
      </c>
      <c r="F33" s="365">
        <f>550+25+200.5+257.72</f>
        <v>1033.22</v>
      </c>
      <c r="H33" s="305"/>
      <c r="J33" s="305">
        <f>-150</f>
        <v>-150</v>
      </c>
      <c r="L33" s="305">
        <f>148.1</f>
        <v>148.1</v>
      </c>
      <c r="N33" s="305"/>
      <c r="O33" s="274">
        <f>SUM(E33:F33)-SUM(G33:N33)</f>
        <v>1035.1200000000001</v>
      </c>
      <c r="P33" s="274" t="str">
        <f t="shared" ref="P33:P38" si="6">D33</f>
        <v>Maldives</v>
      </c>
      <c r="Q33" s="282">
        <f t="shared" ref="Q33:Q35" si="7">IF(O33&lt;0,O33*-1,0)</f>
        <v>0</v>
      </c>
      <c r="R33" s="11"/>
      <c r="S33" s="11"/>
    </row>
    <row r="34" spans="2:19" ht="15" customHeight="1" outlineLevel="1">
      <c r="B34" s="734"/>
      <c r="C34" s="760"/>
      <c r="D34" s="300" t="s">
        <v>797</v>
      </c>
      <c r="E34" s="365">
        <v>0</v>
      </c>
      <c r="F34" s="365">
        <v>0</v>
      </c>
      <c r="H34" s="305"/>
      <c r="J34" s="305"/>
      <c r="L34" s="305"/>
      <c r="N34" s="305"/>
      <c r="O34" s="274">
        <f>SUM(E34:F34)-SUM(G34:N34)</f>
        <v>0</v>
      </c>
      <c r="P34" s="274" t="str">
        <f t="shared" si="6"/>
        <v>Bali</v>
      </c>
      <c r="Q34" s="282">
        <f t="shared" si="7"/>
        <v>0</v>
      </c>
      <c r="R34" s="11"/>
      <c r="S34" s="11"/>
    </row>
    <row r="35" spans="2:19" ht="15" customHeight="1" outlineLevel="1">
      <c r="B35" s="734"/>
      <c r="C35" s="760"/>
      <c r="D35" s="300" t="s">
        <v>170</v>
      </c>
      <c r="E35" s="365">
        <v>0</v>
      </c>
      <c r="F35" s="365">
        <f>263+65.84+30-100</f>
        <v>258.84000000000003</v>
      </c>
      <c r="H35" s="305"/>
      <c r="I35">
        <f>50+2.88+5.88</f>
        <v>58.760000000000005</v>
      </c>
      <c r="J35" s="305">
        <f>44.98+8</f>
        <v>52.98</v>
      </c>
      <c r="L35" s="305">
        <f>61.41</f>
        <v>61.41</v>
      </c>
      <c r="M35">
        <f>31.4</f>
        <v>31.4</v>
      </c>
      <c r="N35" s="305"/>
      <c r="O35" s="274">
        <f>SUM(E35:F35)-SUM(G35:N35)</f>
        <v>54.29000000000002</v>
      </c>
      <c r="P35" s="274" t="str">
        <f t="shared" si="6"/>
        <v>Gift Fund</v>
      </c>
      <c r="Q35" s="282">
        <f t="shared" si="7"/>
        <v>0</v>
      </c>
      <c r="R35" s="11"/>
      <c r="S35" s="11"/>
    </row>
    <row r="36" spans="2:19" ht="15.75" customHeight="1" outlineLevel="1">
      <c r="B36" s="734"/>
      <c r="C36" s="760"/>
      <c r="D36" s="13" t="s">
        <v>781</v>
      </c>
      <c r="E36" s="365">
        <v>0</v>
      </c>
      <c r="F36" s="365">
        <f>13+2+6.99+10.99+2.99+25</f>
        <v>60.970000000000006</v>
      </c>
      <c r="G36">
        <f>13+2+10.99</f>
        <v>25.990000000000002</v>
      </c>
      <c r="H36" s="305"/>
      <c r="I36">
        <f>2.99+25+6.99</f>
        <v>34.980000000000004</v>
      </c>
      <c r="J36" s="305"/>
      <c r="L36" s="305"/>
      <c r="N36" s="305"/>
      <c r="O36" s="274">
        <f t="shared" ref="O36" si="8">SUM(E36:F36)-SUM(G36:N36)</f>
        <v>0</v>
      </c>
      <c r="P36" s="274" t="str">
        <f t="shared" si="6"/>
        <v>Subscriptions</v>
      </c>
      <c r="Q36" s="282">
        <f>IF(O36&lt;0,O36*-1,0)</f>
        <v>0</v>
      </c>
      <c r="S36" s="349"/>
    </row>
    <row r="37" spans="2:19" ht="18" outlineLevel="1">
      <c r="B37" s="734"/>
      <c r="C37" s="760"/>
      <c r="D37" s="13" t="s">
        <v>922</v>
      </c>
      <c r="E37" s="365">
        <v>0</v>
      </c>
      <c r="F37" s="365">
        <f>(D32-SUM(F33:F36))-F38</f>
        <v>371.29000000000019</v>
      </c>
      <c r="G37">
        <f>9.25+5.95+9.05+11.48+4.9+2+3.4+3.6+10.48</f>
        <v>60.11</v>
      </c>
      <c r="H37" s="305">
        <f>5+65+11.4+7</f>
        <v>88.4</v>
      </c>
      <c r="I37">
        <f>7.27+9+19+4+11+11.18+15.15+6+5+2+12.04+12.45+12</f>
        <v>126.08999999999999</v>
      </c>
      <c r="J37" s="305">
        <f>12+(-94.33+25-15.88)+7.1+20.57</f>
        <v>-45.54</v>
      </c>
      <c r="K37">
        <f>4+4.4+9.2+9.4+11.9+11.9+6.45+21.8</f>
        <v>79.05</v>
      </c>
      <c r="L37" s="305">
        <f>30</f>
        <v>30</v>
      </c>
      <c r="M37">
        <f>6.5+6.8+11.6+12.89</f>
        <v>37.79</v>
      </c>
      <c r="N37" s="305"/>
      <c r="O37" s="274">
        <f>SUM(E37:F37)-SUM(G37:N37)</f>
        <v>-4.6099999999997863</v>
      </c>
      <c r="P37" s="274" t="str">
        <f t="shared" si="6"/>
        <v>Matt Fun</v>
      </c>
      <c r="Q37" s="282">
        <f>IF(SUM(E37:F37)-SUM(G37:N37)&lt;=0,(SUM(E37:F37)-SUM(G37:N37))*-1,0)</f>
        <v>4.6099999999997863</v>
      </c>
    </row>
    <row r="38" spans="2:19" ht="18" outlineLevel="1">
      <c r="B38" s="7"/>
      <c r="C38" s="284"/>
      <c r="D38" s="13" t="s">
        <v>152</v>
      </c>
      <c r="E38" s="365">
        <v>0</v>
      </c>
      <c r="F38" s="365">
        <v>350</v>
      </c>
      <c r="G38">
        <f>(1080+50+30+49.07+200+40)-(1000)</f>
        <v>449.06999999999994</v>
      </c>
      <c r="H38" s="305"/>
      <c r="J38" s="305"/>
      <c r="L38" s="305"/>
      <c r="N38" s="305"/>
      <c r="O38" s="274">
        <f>SUM(E38:F38)-SUM(G38:N38)</f>
        <v>-99.069999999999936</v>
      </c>
      <c r="P38" s="274" t="str">
        <f t="shared" si="6"/>
        <v>Kris</v>
      </c>
      <c r="Q38" s="271">
        <f>IF(F38-SUM(G38:N38)&lt;=0,(F38-SUM(G38:N38))*-1,0)</f>
        <v>99.069999999999936</v>
      </c>
    </row>
    <row r="39" spans="2:19">
      <c r="B39" s="118"/>
      <c r="C39" s="118"/>
      <c r="E39" s="365">
        <v>0</v>
      </c>
      <c r="F39" s="365"/>
      <c r="H39" s="7" t="s">
        <v>986</v>
      </c>
      <c r="J39" s="7" t="s">
        <v>986</v>
      </c>
      <c r="L39" s="7" t="s">
        <v>986</v>
      </c>
      <c r="N39" s="7" t="s">
        <v>986</v>
      </c>
      <c r="O39" s="273"/>
      <c r="P39" s="273"/>
      <c r="Q39" s="282"/>
    </row>
    <row r="40" spans="2:19" ht="18">
      <c r="B40" s="728" t="s">
        <v>817</v>
      </c>
      <c r="C40" s="728"/>
      <c r="D40" s="728"/>
      <c r="E40" s="375">
        <f>G40+I40+K40+M40+N40+E39</f>
        <v>5592.76</v>
      </c>
      <c r="F40" s="379"/>
      <c r="G40" s="271">
        <f>4535.71+85.03+200+150+5.02</f>
        <v>4975.76</v>
      </c>
      <c r="H40" s="271"/>
      <c r="I40" s="271"/>
      <c r="J40" s="271"/>
      <c r="K40" s="271">
        <f>587</f>
        <v>587</v>
      </c>
      <c r="L40" s="271"/>
      <c r="M40" s="271">
        <v>30</v>
      </c>
      <c r="N40" s="271"/>
      <c r="O40" s="314" t="str">
        <f>"£" &amp; ROUND(O5+O32+O24+IF(O37&lt;0,0,O37)+O38+O4,2) &amp; " / " &amp; "£" &amp; E40</f>
        <v>£1100.08 / £5592.76</v>
      </c>
      <c r="P40" s="274"/>
      <c r="Q40" s="282">
        <f>SUM(Q32,Q24,Q5)</f>
        <v>23.61999999999977</v>
      </c>
    </row>
    <row r="41" spans="2:19">
      <c r="B41" s="118"/>
      <c r="C41" s="7"/>
      <c r="E41" s="365"/>
      <c r="F41" s="365"/>
      <c r="G41" s="365"/>
      <c r="H41" s="365"/>
    </row>
    <row r="42" spans="2:19" ht="14.4">
      <c r="B42" s="729"/>
      <c r="C42" s="729"/>
      <c r="D42" s="729"/>
      <c r="E42" s="729"/>
      <c r="F42" s="729"/>
      <c r="G42" s="729"/>
      <c r="H42" s="297"/>
      <c r="K42" s="729"/>
      <c r="L42" s="729"/>
      <c r="M42" s="729"/>
      <c r="N42" s="729"/>
      <c r="O42" s="729"/>
      <c r="P42" s="297"/>
    </row>
    <row r="43" spans="2:19" ht="15" customHeight="1">
      <c r="B43" s="726" t="s">
        <v>955</v>
      </c>
      <c r="C43" s="726"/>
      <c r="D43" s="726"/>
      <c r="E43" s="726"/>
      <c r="F43" s="348"/>
      <c r="K43" s="212"/>
      <c r="L43" s="212"/>
      <c r="N43" s="118" t="s">
        <v>991</v>
      </c>
      <c r="O43" s="316">
        <v>44763</v>
      </c>
      <c r="P43" s="7">
        <f ca="1">DATEDIF(O43,NOW(),"d")</f>
        <v>1488</v>
      </c>
      <c r="Q43">
        <v>46</v>
      </c>
      <c r="R43" t="s">
        <v>1196</v>
      </c>
    </row>
    <row r="44" spans="2:19">
      <c r="B44" s="365"/>
      <c r="C44" s="38"/>
      <c r="E44" s="284"/>
      <c r="F44" s="11"/>
      <c r="G44" s="367"/>
      <c r="H44" s="243"/>
      <c r="K44" s="725" t="s">
        <v>1197</v>
      </c>
      <c r="L44" s="725"/>
      <c r="N44" s="322" t="s">
        <v>992</v>
      </c>
      <c r="O44" s="42">
        <v>44763</v>
      </c>
      <c r="P44" s="7">
        <f ca="1">DATEDIF(O44,NOW(),"d")</f>
        <v>1488</v>
      </c>
      <c r="Q44">
        <v>148.1</v>
      </c>
      <c r="R44" t="s">
        <v>1202</v>
      </c>
    </row>
    <row r="45" spans="2:19">
      <c r="E45" s="365"/>
      <c r="F45" s="365"/>
      <c r="G45" s="11"/>
      <c r="H45" s="243"/>
      <c r="K45" s="243">
        <f>148.1</f>
        <v>148.1</v>
      </c>
      <c r="L45" t="s">
        <v>1198</v>
      </c>
      <c r="O45"/>
      <c r="P45"/>
    </row>
    <row r="46" spans="2:19" ht="16.2" customHeight="1">
      <c r="E46" s="384"/>
      <c r="F46" s="278"/>
      <c r="G46" s="213"/>
      <c r="H46" s="373"/>
      <c r="I46" s="213"/>
      <c r="J46" s="213"/>
      <c r="K46">
        <v>55</v>
      </c>
      <c r="L46" t="s">
        <v>1199</v>
      </c>
      <c r="O46" s="292"/>
      <c r="P46" s="212"/>
    </row>
    <row r="47" spans="2:19">
      <c r="B47" s="378"/>
      <c r="E47" s="343"/>
      <c r="F47" s="361"/>
      <c r="K47">
        <v>263</v>
      </c>
      <c r="L47" t="s">
        <v>1200</v>
      </c>
      <c r="M47" t="s">
        <v>1147</v>
      </c>
      <c r="N47">
        <f>1195.14</f>
        <v>1195.1400000000001</v>
      </c>
      <c r="P47" s="56"/>
      <c r="Q47">
        <f>2811.3-1711.22</f>
        <v>1100.0800000000002</v>
      </c>
    </row>
    <row r="48" spans="2:19" ht="14.4">
      <c r="E48" s="343"/>
      <c r="F48" s="361"/>
      <c r="K48">
        <v>18</v>
      </c>
      <c r="L48" t="s">
        <v>1201</v>
      </c>
      <c r="M48" t="s">
        <v>1146</v>
      </c>
      <c r="N48">
        <v>1100.08</v>
      </c>
      <c r="P48"/>
    </row>
    <row r="49" spans="2:17">
      <c r="E49" s="365"/>
      <c r="F49" s="383"/>
      <c r="K49">
        <v>100</v>
      </c>
      <c r="L49" t="s">
        <v>152</v>
      </c>
      <c r="P49" s="212"/>
      <c r="Q49" s="212"/>
    </row>
    <row r="50" spans="2:17" ht="15" customHeight="1">
      <c r="E50" s="284"/>
      <c r="F50" s="89"/>
      <c r="K50">
        <v>250</v>
      </c>
      <c r="L50" t="s">
        <v>1203</v>
      </c>
      <c r="P50" s="56"/>
      <c r="Q50" s="38"/>
    </row>
    <row r="51" spans="2:17">
      <c r="E51" s="365"/>
      <c r="F51" s="360"/>
    </row>
    <row r="52" spans="2:17" ht="15" customHeight="1" thickBot="1">
      <c r="E52" s="360"/>
      <c r="F52" s="360"/>
      <c r="G52" s="767" t="s">
        <v>1191</v>
      </c>
      <c r="H52" s="767"/>
      <c r="I52" s="767"/>
      <c r="J52" s="767"/>
      <c r="K52" s="767"/>
      <c r="L52" s="767"/>
      <c r="M52" s="767"/>
      <c r="N52" s="767"/>
      <c r="O52" s="767"/>
    </row>
    <row r="53" spans="2:17" ht="16.8" thickTop="1" thickBot="1">
      <c r="E53" s="365"/>
      <c r="F53" s="383"/>
      <c r="G53" s="403"/>
      <c r="H53" s="391" t="s">
        <v>1179</v>
      </c>
      <c r="I53" s="391" t="s">
        <v>1180</v>
      </c>
      <c r="J53" s="391" t="s">
        <v>1182</v>
      </c>
      <c r="K53" s="392" t="s">
        <v>1183</v>
      </c>
      <c r="L53" s="391" t="s">
        <v>1184</v>
      </c>
      <c r="M53" s="392" t="s">
        <v>1185</v>
      </c>
      <c r="N53" s="393" t="s">
        <v>1186</v>
      </c>
      <c r="P53" s="275"/>
    </row>
    <row r="54" spans="2:17" ht="16.8" thickTop="1" thickBot="1">
      <c r="B54" s="11"/>
      <c r="E54" s="365"/>
      <c r="F54" s="384"/>
      <c r="G54" s="394" t="s">
        <v>1187</v>
      </c>
      <c r="H54" s="395">
        <v>55105</v>
      </c>
      <c r="I54" s="396">
        <v>3105</v>
      </c>
      <c r="J54" s="396">
        <v>42505</v>
      </c>
      <c r="K54" s="396">
        <v>9462</v>
      </c>
      <c r="L54" s="396">
        <v>5508.83</v>
      </c>
      <c r="M54" s="396">
        <v>4545</v>
      </c>
      <c r="N54" s="397">
        <v>35589.17</v>
      </c>
      <c r="O54"/>
    </row>
    <row r="55" spans="2:17" ht="16.8" thickTop="1" thickBot="1">
      <c r="B55" s="11"/>
      <c r="E55"/>
      <c r="F55" s="79"/>
      <c r="G55" s="394" t="s">
        <v>1188</v>
      </c>
      <c r="H55" s="395">
        <v>7438.33</v>
      </c>
      <c r="I55" s="396">
        <v>3105</v>
      </c>
      <c r="J55" s="396">
        <v>6388.37</v>
      </c>
      <c r="K55" s="396">
        <v>1927</v>
      </c>
      <c r="L55" s="396">
        <v>551.57000000000005</v>
      </c>
      <c r="M55" s="396">
        <v>805</v>
      </c>
      <c r="N55" s="397">
        <v>4154.76</v>
      </c>
      <c r="O55" s="212"/>
      <c r="P55"/>
    </row>
    <row r="56" spans="2:17" ht="16.8" thickTop="1" thickBot="1">
      <c r="E56"/>
      <c r="F56" s="79"/>
      <c r="G56" s="398" t="s">
        <v>1189</v>
      </c>
      <c r="H56" s="399">
        <v>4333.33</v>
      </c>
      <c r="I56" s="400">
        <v>0</v>
      </c>
      <c r="J56" s="400">
        <v>3283.33</v>
      </c>
      <c r="K56" s="400">
        <v>685</v>
      </c>
      <c r="L56" s="400">
        <v>450.66</v>
      </c>
      <c r="M56" s="400">
        <v>340</v>
      </c>
      <c r="N56" s="401">
        <v>2857.67</v>
      </c>
      <c r="O56" s="214"/>
      <c r="P56" s="212"/>
    </row>
    <row r="57" spans="2:17" ht="14.4">
      <c r="B57" s="212"/>
      <c r="C57" s="212"/>
      <c r="E57" s="243"/>
      <c r="F57" s="7"/>
      <c r="P57" s="214"/>
    </row>
    <row r="58" spans="2:17">
      <c r="C58" s="56"/>
      <c r="D58" s="243"/>
      <c r="E58"/>
      <c r="F58"/>
      <c r="G58" s="11"/>
      <c r="H58" s="38"/>
      <c r="I58" s="11"/>
      <c r="J58" s="768"/>
      <c r="K58" s="768"/>
      <c r="L58" s="768"/>
      <c r="N58" s="365"/>
      <c r="O58"/>
      <c r="P58"/>
    </row>
    <row r="59" spans="2:17" ht="15.75" customHeight="1" thickBot="1">
      <c r="C59" s="56"/>
      <c r="E59"/>
      <c r="F59"/>
      <c r="G59" s="725" t="s">
        <v>1190</v>
      </c>
      <c r="H59" s="725"/>
      <c r="I59" s="725"/>
      <c r="J59" s="725"/>
      <c r="K59" s="725"/>
      <c r="L59" s="725"/>
      <c r="M59" s="725"/>
      <c r="N59" s="725"/>
      <c r="O59" s="725"/>
      <c r="P59" s="212"/>
    </row>
    <row r="60" spans="2:17" ht="16.8" thickTop="1" thickBot="1">
      <c r="C60" s="56"/>
      <c r="E60"/>
      <c r="F60"/>
      <c r="G60" s="403"/>
      <c r="H60" s="391" t="s">
        <v>1179</v>
      </c>
      <c r="I60" s="391" t="s">
        <v>1180</v>
      </c>
      <c r="J60" s="391" t="s">
        <v>1181</v>
      </c>
      <c r="K60" s="391" t="s">
        <v>1182</v>
      </c>
      <c r="L60" s="392" t="s">
        <v>1183</v>
      </c>
      <c r="M60" s="391" t="s">
        <v>1184</v>
      </c>
      <c r="N60" s="392" t="s">
        <v>1185</v>
      </c>
      <c r="O60" s="393" t="s">
        <v>1186</v>
      </c>
      <c r="P60" s="765">
        <v>91.99</v>
      </c>
    </row>
    <row r="61" spans="2:17" ht="16.8" thickTop="1" thickBot="1">
      <c r="C61" s="56"/>
      <c r="E61"/>
      <c r="F61"/>
      <c r="G61" s="394" t="s">
        <v>1187</v>
      </c>
      <c r="H61" s="395">
        <v>55105</v>
      </c>
      <c r="I61" s="396">
        <v>3105</v>
      </c>
      <c r="J61" s="396">
        <v>2201.5</v>
      </c>
      <c r="K61" s="396">
        <v>40303.5</v>
      </c>
      <c r="L61" s="396">
        <v>8581.4</v>
      </c>
      <c r="M61" s="396">
        <v>5508.83</v>
      </c>
      <c r="N61" s="396">
        <v>4545</v>
      </c>
      <c r="O61" s="397">
        <v>34268.269999999997</v>
      </c>
      <c r="P61" s="765"/>
    </row>
    <row r="62" spans="2:17" ht="16.8" thickTop="1" thickBot="1">
      <c r="C62" s="56"/>
      <c r="E62" s="243"/>
      <c r="F62"/>
      <c r="G62" s="394" t="s">
        <v>1188</v>
      </c>
      <c r="H62" s="395">
        <v>7438.33</v>
      </c>
      <c r="I62" s="396">
        <v>3105</v>
      </c>
      <c r="J62" s="396">
        <v>183.46</v>
      </c>
      <c r="K62" s="396">
        <v>6204.82</v>
      </c>
      <c r="L62" s="396">
        <v>1761.62</v>
      </c>
      <c r="M62" s="396">
        <v>551.57000000000005</v>
      </c>
      <c r="N62" s="396">
        <v>805</v>
      </c>
      <c r="O62" s="397">
        <v>4136.68</v>
      </c>
      <c r="P62" s="765"/>
    </row>
    <row r="63" spans="2:17" ht="16.8" thickTop="1" thickBot="1">
      <c r="C63" s="56"/>
      <c r="D63" s="243"/>
      <c r="E63"/>
      <c r="F63"/>
      <c r="G63" s="398" t="s">
        <v>1189</v>
      </c>
      <c r="H63" s="399">
        <v>4333.33</v>
      </c>
      <c r="I63" s="400">
        <v>0</v>
      </c>
      <c r="J63" s="400">
        <v>183.46</v>
      </c>
      <c r="K63" s="400">
        <v>3099.88</v>
      </c>
      <c r="L63" s="400">
        <v>619.98</v>
      </c>
      <c r="M63" s="400">
        <v>450.66</v>
      </c>
      <c r="N63" s="400">
        <v>340</v>
      </c>
      <c r="O63" s="401">
        <v>2739.23</v>
      </c>
      <c r="P63" s="765"/>
    </row>
    <row r="64" spans="2:17" ht="14.4">
      <c r="C64" s="56"/>
      <c r="E64"/>
      <c r="F64"/>
      <c r="H64" s="38"/>
      <c r="I64" s="11"/>
      <c r="J64" s="349"/>
      <c r="O64"/>
      <c r="P64" s="404">
        <f>O62-P60</f>
        <v>4044.6900000000005</v>
      </c>
    </row>
    <row r="65" spans="2:16" ht="15" thickBot="1">
      <c r="C65" s="56"/>
      <c r="E65" s="347"/>
      <c r="F65"/>
      <c r="G65" s="770">
        <v>0.09</v>
      </c>
      <c r="H65" s="726"/>
      <c r="I65" s="726"/>
      <c r="J65" s="726"/>
      <c r="K65" s="726"/>
      <c r="L65" s="726"/>
      <c r="M65" s="726"/>
      <c r="N65" s="726"/>
      <c r="O65" s="726"/>
      <c r="P65" s="726"/>
    </row>
    <row r="66" spans="2:16" ht="16.8" thickTop="1" thickBot="1">
      <c r="C66" s="56"/>
      <c r="E66" s="332"/>
      <c r="F66" s="332"/>
      <c r="G66" s="391" t="s">
        <v>1179</v>
      </c>
      <c r="H66" s="391" t="s">
        <v>1180</v>
      </c>
      <c r="I66" s="391" t="s">
        <v>1181</v>
      </c>
      <c r="J66" s="391" t="s">
        <v>1182</v>
      </c>
      <c r="K66" s="392" t="s">
        <v>1183</v>
      </c>
      <c r="L66" s="391" t="s">
        <v>1184</v>
      </c>
      <c r="M66" s="392" t="s">
        <v>1185</v>
      </c>
      <c r="N66" s="393" t="s">
        <v>1186</v>
      </c>
      <c r="O66"/>
      <c r="P66" s="769">
        <v>414.81</v>
      </c>
    </row>
    <row r="67" spans="2:16" ht="16.8" thickTop="1" thickBot="1">
      <c r="C67" s="56"/>
      <c r="E67"/>
      <c r="F67"/>
      <c r="G67" s="394" t="s">
        <v>1187</v>
      </c>
      <c r="H67" s="395">
        <v>55105</v>
      </c>
      <c r="I67" s="396">
        <v>3105</v>
      </c>
      <c r="J67" s="396">
        <v>3962.7</v>
      </c>
      <c r="K67" s="396">
        <v>38542.300000000003</v>
      </c>
      <c r="L67" s="396">
        <v>7876.92</v>
      </c>
      <c r="M67" s="396">
        <v>5508.83</v>
      </c>
      <c r="N67" s="396">
        <v>4545</v>
      </c>
      <c r="O67" s="397">
        <v>33211.550000000003</v>
      </c>
      <c r="P67" s="734"/>
    </row>
    <row r="68" spans="2:16" ht="16.8" thickTop="1" thickBot="1">
      <c r="C68" s="56"/>
      <c r="E68"/>
      <c r="F68"/>
      <c r="G68" s="394" t="s">
        <v>1188</v>
      </c>
      <c r="H68" s="395">
        <v>7438.33</v>
      </c>
      <c r="I68" s="396">
        <v>3105</v>
      </c>
      <c r="J68" s="396">
        <v>330.23</v>
      </c>
      <c r="K68" s="396">
        <v>6058.09</v>
      </c>
      <c r="L68" s="396">
        <v>1380.1</v>
      </c>
      <c r="M68" s="396">
        <v>551.57000000000005</v>
      </c>
      <c r="N68" s="396">
        <v>805</v>
      </c>
      <c r="O68" s="397">
        <v>4371.43</v>
      </c>
      <c r="P68" s="734"/>
    </row>
    <row r="69" spans="2:16" ht="16.8" thickTop="1" thickBot="1">
      <c r="E69" s="365"/>
      <c r="F69" s="365"/>
      <c r="G69" s="398" t="s">
        <v>1189</v>
      </c>
      <c r="H69" s="399">
        <v>4333.33</v>
      </c>
      <c r="I69" s="400">
        <v>0</v>
      </c>
      <c r="J69" s="400">
        <v>330.23</v>
      </c>
      <c r="K69" s="400">
        <v>2953.11</v>
      </c>
      <c r="L69" s="400">
        <v>590.62</v>
      </c>
      <c r="M69" s="400">
        <v>450.66</v>
      </c>
      <c r="N69" s="400">
        <v>340</v>
      </c>
      <c r="O69" s="401">
        <v>2621.82</v>
      </c>
      <c r="P69" s="734"/>
    </row>
    <row r="70" spans="2:16" ht="14.4">
      <c r="B70" s="212"/>
      <c r="C70" s="294"/>
      <c r="D70" s="212"/>
      <c r="E70" s="212"/>
      <c r="F70" s="212"/>
      <c r="P70" s="404">
        <f>O68-P66</f>
        <v>3956.6200000000003</v>
      </c>
    </row>
    <row r="71" spans="2:16" ht="15" thickBot="1">
      <c r="C71" s="56"/>
      <c r="D71" s="56"/>
      <c r="E71" s="56"/>
      <c r="F71" s="56"/>
      <c r="G71" s="767" t="s">
        <v>1192</v>
      </c>
      <c r="H71" s="767"/>
      <c r="I71" s="767"/>
      <c r="J71" s="767"/>
      <c r="K71" s="767"/>
      <c r="L71" s="767"/>
      <c r="M71" s="767"/>
      <c r="N71" s="767"/>
      <c r="O71" s="767"/>
    </row>
    <row r="72" spans="2:16" ht="16.8" thickTop="1" thickBot="1">
      <c r="C72" s="56"/>
      <c r="D72" s="56"/>
      <c r="E72" s="56"/>
      <c r="F72" s="56"/>
      <c r="G72" s="391" t="s">
        <v>1179</v>
      </c>
      <c r="H72" s="391" t="s">
        <v>1180</v>
      </c>
      <c r="I72" s="391" t="s">
        <v>1181</v>
      </c>
      <c r="J72" s="391" t="s">
        <v>1182</v>
      </c>
      <c r="K72" s="392" t="s">
        <v>1183</v>
      </c>
      <c r="L72" s="391" t="s">
        <v>1184</v>
      </c>
      <c r="M72" s="392" t="s">
        <v>1185</v>
      </c>
      <c r="N72" s="393" t="s">
        <v>1186</v>
      </c>
      <c r="O72"/>
      <c r="P72" s="769">
        <v>414.81</v>
      </c>
    </row>
    <row r="73" spans="2:16" ht="16.8" thickTop="1" thickBot="1">
      <c r="C73" s="56"/>
      <c r="D73" s="56"/>
      <c r="E73" s="56"/>
      <c r="F73" s="56"/>
      <c r="G73" s="394" t="s">
        <v>1187</v>
      </c>
      <c r="H73" s="395">
        <v>55105</v>
      </c>
      <c r="I73" s="396">
        <v>3105</v>
      </c>
      <c r="J73" s="396">
        <v>4403</v>
      </c>
      <c r="K73" s="396">
        <v>38102</v>
      </c>
      <c r="L73" s="396">
        <v>7700.8</v>
      </c>
      <c r="M73" s="396">
        <v>5508.83</v>
      </c>
      <c r="N73" s="396">
        <v>4545</v>
      </c>
      <c r="O73" s="397">
        <v>32947.370000000003</v>
      </c>
      <c r="P73" s="734"/>
    </row>
    <row r="74" spans="2:16" ht="16.8" thickTop="1" thickBot="1">
      <c r="C74" s="56"/>
      <c r="D74" s="56"/>
      <c r="E74" s="56"/>
      <c r="F74" s="56"/>
      <c r="G74" s="394" t="s">
        <v>1188</v>
      </c>
      <c r="H74" s="395">
        <v>7438.33</v>
      </c>
      <c r="I74" s="396">
        <v>3105</v>
      </c>
      <c r="J74" s="396">
        <v>366.92</v>
      </c>
      <c r="K74" s="396">
        <v>6021.38</v>
      </c>
      <c r="L74" s="396">
        <v>1284.72</v>
      </c>
      <c r="M74" s="396">
        <v>551.57000000000005</v>
      </c>
      <c r="N74" s="396">
        <v>805</v>
      </c>
      <c r="O74" s="397">
        <v>4430.12</v>
      </c>
      <c r="P74" s="734"/>
    </row>
    <row r="75" spans="2:16" ht="16.8" thickTop="1" thickBot="1">
      <c r="C75" s="56"/>
      <c r="D75" s="56"/>
      <c r="E75" s="56"/>
      <c r="F75" s="56"/>
      <c r="G75" s="398" t="s">
        <v>1189</v>
      </c>
      <c r="H75" s="399">
        <v>4333.33</v>
      </c>
      <c r="I75" s="400">
        <v>0</v>
      </c>
      <c r="J75" s="400">
        <v>366.92</v>
      </c>
      <c r="K75" s="400">
        <v>2916.42</v>
      </c>
      <c r="L75" s="400">
        <v>583.28</v>
      </c>
      <c r="M75" s="400">
        <v>450.66</v>
      </c>
      <c r="N75" s="400">
        <v>340</v>
      </c>
      <c r="O75" s="401">
        <v>2592.4699999999998</v>
      </c>
      <c r="P75" s="734"/>
    </row>
    <row r="76" spans="2:16" ht="14.4">
      <c r="C76" s="56"/>
      <c r="E76" s="56"/>
      <c r="F76" s="56"/>
      <c r="P76" s="404">
        <f>O74-P72</f>
        <v>4015.31</v>
      </c>
    </row>
    <row r="77" spans="2:16" ht="16.2" thickBot="1">
      <c r="G77" t="s">
        <v>1193</v>
      </c>
      <c r="O77"/>
    </row>
    <row r="78" spans="2:16" ht="16.8" thickTop="1" thickBot="1">
      <c r="E78" s="212"/>
      <c r="F78" s="212"/>
      <c r="G78" s="403"/>
      <c r="H78" s="391" t="s">
        <v>1179</v>
      </c>
      <c r="I78" s="391" t="s">
        <v>1180</v>
      </c>
      <c r="J78" s="391" t="s">
        <v>1181</v>
      </c>
      <c r="K78" s="391" t="s">
        <v>1182</v>
      </c>
      <c r="L78" s="392" t="s">
        <v>1183</v>
      </c>
      <c r="M78" s="391" t="s">
        <v>1184</v>
      </c>
      <c r="N78" s="392" t="s">
        <v>1185</v>
      </c>
      <c r="O78" s="393" t="s">
        <v>1186</v>
      </c>
      <c r="P78" s="769">
        <v>539.24</v>
      </c>
    </row>
    <row r="79" spans="2:16" ht="16.8" thickTop="1" thickBot="1">
      <c r="E79" s="56"/>
      <c r="F79" s="56"/>
      <c r="G79" s="394" t="s">
        <v>1187</v>
      </c>
      <c r="H79" s="395">
        <v>55105</v>
      </c>
      <c r="I79" s="396">
        <v>3105</v>
      </c>
      <c r="J79" s="396">
        <v>6604.5</v>
      </c>
      <c r="K79" s="396">
        <v>35900.5</v>
      </c>
      <c r="L79" s="396">
        <v>7180.1</v>
      </c>
      <c r="M79" s="396">
        <v>5508.83</v>
      </c>
      <c r="N79" s="396">
        <v>4545</v>
      </c>
      <c r="O79" s="397">
        <v>31266.57</v>
      </c>
      <c r="P79" s="769"/>
    </row>
    <row r="80" spans="2:16" ht="16.8" thickTop="1" thickBot="1">
      <c r="E80" s="56"/>
      <c r="F80" s="56"/>
      <c r="G80" s="394" t="s">
        <v>1188</v>
      </c>
      <c r="H80" s="395">
        <v>7438.33</v>
      </c>
      <c r="I80" s="396">
        <v>3105</v>
      </c>
      <c r="J80" s="396">
        <v>550.38</v>
      </c>
      <c r="K80" s="396">
        <v>5837.94</v>
      </c>
      <c r="L80" s="396">
        <v>1167.6099999999999</v>
      </c>
      <c r="M80" s="396">
        <v>551.57000000000005</v>
      </c>
      <c r="N80" s="396">
        <v>805</v>
      </c>
      <c r="O80" s="397">
        <v>4363.7700000000004</v>
      </c>
      <c r="P80" s="769"/>
    </row>
    <row r="81" spans="5:16" ht="16.8" thickTop="1" thickBot="1">
      <c r="E81" s="56"/>
      <c r="F81" s="56"/>
      <c r="G81" s="398" t="s">
        <v>1189</v>
      </c>
      <c r="H81" s="399">
        <v>4333.33</v>
      </c>
      <c r="I81" s="400">
        <v>0</v>
      </c>
      <c r="J81" s="400">
        <v>550.38</v>
      </c>
      <c r="K81" s="400">
        <v>2732.96</v>
      </c>
      <c r="L81" s="400">
        <v>546.59</v>
      </c>
      <c r="M81" s="400">
        <v>450.66</v>
      </c>
      <c r="N81" s="400">
        <v>340</v>
      </c>
      <c r="O81" s="401">
        <v>2445.6999999999998</v>
      </c>
      <c r="P81" s="769"/>
    </row>
    <row r="82" spans="5:16" ht="14.4">
      <c r="E82" s="56"/>
      <c r="F82" s="56"/>
      <c r="P82" s="404">
        <f>O80-P78</f>
        <v>3824.5300000000007</v>
      </c>
    </row>
    <row r="83" spans="5:16" ht="15" thickBot="1">
      <c r="E83" s="56"/>
      <c r="F83" s="56"/>
      <c r="G83" s="79" t="s">
        <v>1194</v>
      </c>
      <c r="H83" s="79"/>
      <c r="I83" s="79"/>
      <c r="J83" s="79"/>
      <c r="K83" s="79"/>
      <c r="L83" s="79"/>
      <c r="M83" s="79"/>
      <c r="N83" s="79"/>
      <c r="O83" s="79"/>
    </row>
    <row r="84" spans="5:16" ht="16.8" thickTop="1" thickBot="1">
      <c r="E84" s="56"/>
      <c r="F84" s="56"/>
      <c r="G84" s="403"/>
      <c r="H84" s="391" t="s">
        <v>1179</v>
      </c>
      <c r="I84" s="391" t="s">
        <v>1180</v>
      </c>
      <c r="J84" s="391" t="s">
        <v>1181</v>
      </c>
      <c r="K84" s="391" t="s">
        <v>1182</v>
      </c>
      <c r="L84" s="392" t="s">
        <v>1183</v>
      </c>
      <c r="M84" s="391" t="s">
        <v>1184</v>
      </c>
      <c r="N84" s="392" t="s">
        <v>1185</v>
      </c>
      <c r="O84" s="393" t="s">
        <v>1186</v>
      </c>
      <c r="P84" s="769">
        <v>502.56</v>
      </c>
    </row>
    <row r="85" spans="5:16" ht="16.8" thickTop="1" thickBot="1">
      <c r="G85" s="394" t="s">
        <v>1187</v>
      </c>
      <c r="H85" s="395">
        <v>55105</v>
      </c>
      <c r="I85" s="396">
        <v>3105</v>
      </c>
      <c r="J85" s="396">
        <v>8806</v>
      </c>
      <c r="K85" s="396">
        <v>33699</v>
      </c>
      <c r="L85" s="396">
        <v>6739.8</v>
      </c>
      <c r="M85" s="396">
        <v>5508.83</v>
      </c>
      <c r="N85" s="396">
        <v>4545</v>
      </c>
      <c r="O85" s="397">
        <v>29505.37</v>
      </c>
      <c r="P85" s="769"/>
    </row>
    <row r="86" spans="5:16" ht="16.8" thickTop="1" thickBot="1">
      <c r="E86" s="212"/>
      <c r="F86" s="212"/>
      <c r="G86" s="394" t="s">
        <v>1188</v>
      </c>
      <c r="H86" s="395">
        <v>7438.33</v>
      </c>
      <c r="I86" s="396">
        <v>3105</v>
      </c>
      <c r="J86" s="396">
        <v>733.83</v>
      </c>
      <c r="K86" s="396">
        <v>5654.5</v>
      </c>
      <c r="L86" s="396">
        <v>1130.9000000000001</v>
      </c>
      <c r="M86" s="396">
        <v>551.57000000000005</v>
      </c>
      <c r="N86" s="396">
        <v>805</v>
      </c>
      <c r="O86" s="397">
        <v>4217.03</v>
      </c>
      <c r="P86" s="769"/>
    </row>
    <row r="87" spans="5:16" ht="16.8" thickTop="1" thickBot="1">
      <c r="E87" s="56"/>
      <c r="F87" s="56"/>
      <c r="G87" s="398" t="s">
        <v>1189</v>
      </c>
      <c r="H87" s="399">
        <v>4333.33</v>
      </c>
      <c r="I87" s="400">
        <v>0</v>
      </c>
      <c r="J87" s="400">
        <v>733.83</v>
      </c>
      <c r="K87" s="400">
        <v>2549.5</v>
      </c>
      <c r="L87" s="400">
        <v>509.9</v>
      </c>
      <c r="M87" s="400">
        <v>450.66</v>
      </c>
      <c r="N87" s="400">
        <v>340</v>
      </c>
      <c r="O87" s="401">
        <v>2298.94</v>
      </c>
      <c r="P87" s="769"/>
    </row>
    <row r="88" spans="5:16" ht="14.4">
      <c r="E88" s="56"/>
      <c r="F88" s="56"/>
      <c r="G88" s="56"/>
      <c r="H88" s="56"/>
      <c r="P88" s="404">
        <f>O86-P84</f>
        <v>3714.47</v>
      </c>
    </row>
    <row r="89" spans="5:16" ht="15" thickBot="1">
      <c r="E89" s="56"/>
      <c r="F89" s="56"/>
      <c r="G89" s="402" t="s">
        <v>1195</v>
      </c>
      <c r="H89" s="402"/>
      <c r="I89" s="402"/>
      <c r="J89" s="402"/>
      <c r="K89" s="402"/>
      <c r="L89" s="402"/>
      <c r="M89" s="402"/>
      <c r="N89" s="402"/>
      <c r="O89" s="402"/>
    </row>
    <row r="90" spans="5:16" ht="16.8" thickTop="1" thickBot="1">
      <c r="E90" s="56"/>
      <c r="F90" s="56"/>
      <c r="G90" s="403"/>
      <c r="H90" s="391" t="s">
        <v>1179</v>
      </c>
      <c r="I90" s="391" t="s">
        <v>1180</v>
      </c>
      <c r="J90" s="391" t="s">
        <v>1181</v>
      </c>
      <c r="K90" s="391" t="s">
        <v>1182</v>
      </c>
      <c r="L90" s="392" t="s">
        <v>1183</v>
      </c>
      <c r="M90" s="391" t="s">
        <v>1184</v>
      </c>
      <c r="N90" s="392" t="s">
        <v>1185</v>
      </c>
      <c r="O90" s="393" t="s">
        <v>1186</v>
      </c>
      <c r="P90" s="769">
        <v>465.89</v>
      </c>
    </row>
    <row r="91" spans="5:16" ht="16.8" thickTop="1" thickBot="1">
      <c r="E91" s="56"/>
      <c r="F91" s="56"/>
      <c r="G91" s="394" t="s">
        <v>1187</v>
      </c>
      <c r="H91" s="395">
        <v>55105</v>
      </c>
      <c r="I91" s="396">
        <v>3105</v>
      </c>
      <c r="J91" s="396">
        <v>11007.5</v>
      </c>
      <c r="K91" s="396">
        <v>31497.5</v>
      </c>
      <c r="L91" s="396">
        <v>6299.5</v>
      </c>
      <c r="M91" s="396">
        <v>5508.83</v>
      </c>
      <c r="N91" s="396">
        <v>4545</v>
      </c>
      <c r="O91" s="397">
        <v>27744.17</v>
      </c>
      <c r="P91" s="769"/>
    </row>
    <row r="92" spans="5:16" ht="16.8" thickTop="1" thickBot="1">
      <c r="E92" s="56"/>
      <c r="F92" s="56"/>
      <c r="G92" s="394" t="s">
        <v>1188</v>
      </c>
      <c r="H92" s="395">
        <v>7438.33</v>
      </c>
      <c r="I92" s="396">
        <v>3105</v>
      </c>
      <c r="J92" s="396">
        <v>917.29</v>
      </c>
      <c r="K92" s="396">
        <v>5471.06</v>
      </c>
      <c r="L92" s="396">
        <v>1094.19</v>
      </c>
      <c r="M92" s="396">
        <v>551.57000000000005</v>
      </c>
      <c r="N92" s="396">
        <v>805</v>
      </c>
      <c r="O92" s="397">
        <v>4070.28</v>
      </c>
      <c r="P92" s="769"/>
    </row>
    <row r="93" spans="5:16" ht="16.8" thickTop="1" thickBot="1">
      <c r="E93" s="365"/>
      <c r="F93" s="365"/>
      <c r="G93" s="398" t="s">
        <v>1189</v>
      </c>
      <c r="H93" s="399">
        <v>4333.33</v>
      </c>
      <c r="I93" s="400">
        <v>0</v>
      </c>
      <c r="J93" s="400">
        <v>917.29</v>
      </c>
      <c r="K93" s="400">
        <v>2366.04</v>
      </c>
      <c r="L93" s="400">
        <v>473.21</v>
      </c>
      <c r="M93" s="400">
        <v>450.66</v>
      </c>
      <c r="N93" s="400">
        <v>340</v>
      </c>
      <c r="O93" s="401">
        <v>2152.17</v>
      </c>
      <c r="P93" s="769"/>
    </row>
    <row r="94" spans="5:16">
      <c r="P94" s="404">
        <f>O92-P90</f>
        <v>3604.3900000000003</v>
      </c>
    </row>
  </sheetData>
  <mergeCells count="35">
    <mergeCell ref="B4:E4"/>
    <mergeCell ref="B1:O1"/>
    <mergeCell ref="G3:H3"/>
    <mergeCell ref="I3:J3"/>
    <mergeCell ref="K3:L3"/>
    <mergeCell ref="M3:N3"/>
    <mergeCell ref="B40:D40"/>
    <mergeCell ref="B5:C5"/>
    <mergeCell ref="D5:E5"/>
    <mergeCell ref="B6:B21"/>
    <mergeCell ref="C6:C21"/>
    <mergeCell ref="B23:E23"/>
    <mergeCell ref="B24:C24"/>
    <mergeCell ref="D24:E24"/>
    <mergeCell ref="B31:E31"/>
    <mergeCell ref="B32:C32"/>
    <mergeCell ref="D32:E32"/>
    <mergeCell ref="B33:B37"/>
    <mergeCell ref="C33:C37"/>
    <mergeCell ref="G59:O59"/>
    <mergeCell ref="G71:O71"/>
    <mergeCell ref="B42:G42"/>
    <mergeCell ref="K42:O42"/>
    <mergeCell ref="B43:C43"/>
    <mergeCell ref="D43:E43"/>
    <mergeCell ref="J58:L58"/>
    <mergeCell ref="G52:O52"/>
    <mergeCell ref="K44:L44"/>
    <mergeCell ref="P90:P93"/>
    <mergeCell ref="P60:P63"/>
    <mergeCell ref="P84:P87"/>
    <mergeCell ref="P78:P81"/>
    <mergeCell ref="P72:P75"/>
    <mergeCell ref="G65:P65"/>
    <mergeCell ref="P66:P69"/>
  </mergeCells>
  <hyperlinks>
    <hyperlink ref="K72" r:id="rId1" location="breakdown" display="https://www.thesalarycalculator.co.uk/salary.php - breakdown" xr:uid="{A36E7B8C-19ED-489E-90F8-278B500F8794}"/>
    <hyperlink ref="M72" r:id="rId2" location="loanbreakdown" display="https://www.thesalarycalculator.co.uk/salary.php - loanbreakdown" xr:uid="{757AA29D-0CC0-4FCD-85CF-C3346FCA7045}"/>
    <hyperlink ref="K53" r:id="rId3" location="breakdown" display="https://www.thesalarycalculator.co.uk/salary.php - breakdown" xr:uid="{343C8C93-66D1-4C64-A974-3B32F8B206A5}"/>
    <hyperlink ref="M53" r:id="rId4" location="loanbreakdown" display="https://www.thesalarycalculator.co.uk/salary.php - loanbreakdown" xr:uid="{FACD6F0F-C745-4450-B122-3312E1F98DC4}"/>
    <hyperlink ref="L60" r:id="rId5" location="breakdown" display="https://www.thesalarycalculator.co.uk/salary.php - breakdown" xr:uid="{AF296C2A-6D7A-4C1A-951A-E077497FBED7}"/>
    <hyperlink ref="N60" r:id="rId6" location="loanbreakdown" display="https://www.thesalarycalculator.co.uk/salary.php - loanbreakdown" xr:uid="{C662768C-42D1-415E-BC8B-850FC3EC7D4F}"/>
    <hyperlink ref="L84" r:id="rId7" location="breakdown" display="https://www.thesalarycalculator.co.uk/salary.php - breakdown" xr:uid="{9F689D58-15A1-4B2A-A3EE-4CE05156A134}"/>
    <hyperlink ref="N84" r:id="rId8" location="loanbreakdown" display="https://www.thesalarycalculator.co.uk/salary.php - loanbreakdown" xr:uid="{B6ED6481-F9BE-457F-AD0D-C25BF6A3892D}"/>
    <hyperlink ref="L90" r:id="rId9" location="breakdown" display="https://www.thesalarycalculator.co.uk/salary.php - breakdown" xr:uid="{E6FEB37C-62F0-45FC-AA1C-9DCBAD58136A}"/>
    <hyperlink ref="N90" r:id="rId10" location="loanbreakdown" display="https://www.thesalarycalculator.co.uk/salary.php - loanbreakdown" xr:uid="{BB86EA3A-000D-44E0-BEDE-E1260BC0692E}"/>
    <hyperlink ref="L78" r:id="rId11" location="breakdown" display="https://www.thesalarycalculator.co.uk/salary.php - breakdown" xr:uid="{0A5F6BD5-3901-43BA-A4C0-A71DE94AE304}"/>
    <hyperlink ref="N78" r:id="rId12" location="loanbreakdown" display="https://www.thesalarycalculator.co.uk/salary.php - loanbreakdown" xr:uid="{1410035A-B94F-43E4-8F25-305B2D786ED4}"/>
    <hyperlink ref="K66" r:id="rId13" location="breakdown" display="https://www.thesalarycalculator.co.uk/salary.php - breakdown" xr:uid="{6599E101-7B4B-4586-95BA-F71781660B92}"/>
    <hyperlink ref="M66" r:id="rId14" location="loanbreakdown" display="https://www.thesalarycalculator.co.uk/salary.php - loanbreakdown" xr:uid="{088DFFF3-D101-4C10-A90A-AC8B83A14827}"/>
  </hyperlinks>
  <pageMargins left="0.7" right="0.7" top="0.75" bottom="0.75" header="0.3" footer="0.3"/>
  <pageSetup orientation="portrait" r:id="rId15"/>
  <legacyDrawing r:id="rId16"/>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4239-68D3-4D2B-A323-DF13819B9E70}">
  <dimension ref="A1:T96"/>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JUN-JUL 2022</v>
      </c>
      <c r="B1" s="730" t="str">
        <f ca="1">MID(CELL("filename",B1),FIND("]",CELL("filename",B1))+1,255)</f>
        <v>JUL-AUG 2022</v>
      </c>
      <c r="C1" s="731"/>
      <c r="D1" s="731"/>
      <c r="E1" s="731"/>
      <c r="F1" s="731"/>
      <c r="G1" s="731"/>
      <c r="H1" s="731"/>
      <c r="I1" s="731"/>
      <c r="J1" s="731"/>
      <c r="K1" s="731"/>
      <c r="L1" s="731"/>
      <c r="M1" s="731"/>
      <c r="N1" s="731"/>
      <c r="O1" s="731"/>
      <c r="P1" s="298"/>
      <c r="Q1" s="281"/>
      <c r="R1" s="272"/>
      <c r="S1" s="272"/>
      <c r="T1" s="272"/>
    </row>
    <row r="2" spans="1:20">
      <c r="B2" s="118"/>
      <c r="C2" s="118"/>
      <c r="E2" s="365">
        <f>2742.7-F2</f>
        <v>-376.92000000000053</v>
      </c>
      <c r="F2" s="365">
        <f>2590.53+H4</f>
        <v>3119.6200000000003</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ROUND(O5+O32+O24+IF(O38&lt;0,0,O38)+O39+O4,2) &amp; " / " &amp; "£" &amp; E41</f>
        <v>£1773.85 / £22601.64</v>
      </c>
      <c r="E3" s="365">
        <f>2802.81-2787.81</f>
        <v>15</v>
      </c>
      <c r="F3" s="365"/>
      <c r="G3" s="732">
        <v>44767</v>
      </c>
      <c r="H3" s="732"/>
      <c r="I3" s="732">
        <f>G3+7</f>
        <v>44774</v>
      </c>
      <c r="J3" s="732"/>
      <c r="K3" s="732">
        <f>I3+7</f>
        <v>44781</v>
      </c>
      <c r="L3" s="732"/>
      <c r="M3" s="732">
        <f>K3+7</f>
        <v>44788</v>
      </c>
      <c r="N3" s="732"/>
      <c r="O3" s="308">
        <f>243.24+54.34+96.22+20+20+40.92+16</f>
        <v>490.72000000000008</v>
      </c>
      <c r="P3" s="325" t="s">
        <v>1224</v>
      </c>
      <c r="Q3" s="282"/>
    </row>
    <row r="4" spans="1:20" ht="15" customHeight="1">
      <c r="B4" s="727" t="str">
        <f>_xlfn.CONCAT("Expenses - 50 - ",G41*0.5," / Actual = ",D5," (",ROUND((D5/G41)*100,2),")")</f>
        <v>Expenses - 50 - 3245.42 / Actual = 1929.44 (29.73)</v>
      </c>
      <c r="C4" s="727"/>
      <c r="D4" s="727"/>
      <c r="E4" s="727"/>
      <c r="F4" s="318"/>
      <c r="H4" s="243">
        <f>SUM(H5:H39)</f>
        <v>529.09</v>
      </c>
      <c r="J4" s="243">
        <f>SUM(J5:J39)</f>
        <v>163.94</v>
      </c>
      <c r="L4" s="243">
        <f>SUM(L5:L39)</f>
        <v>143.54000000000002</v>
      </c>
      <c r="N4" s="243">
        <f>SUM(N5:N39)</f>
        <v>209.48</v>
      </c>
      <c r="O4" s="308">
        <f>IF(H40&lt;&gt;"PAID",H4,0)+IF(J40&lt;&gt;"PAID",J4,0)+IF(L40&lt;&gt;"PAID",L4,0)+IF(N40&lt;&gt;"PAID",N4,0)</f>
        <v>1046.05</v>
      </c>
      <c r="P4" s="309" t="s">
        <v>973</v>
      </c>
      <c r="Q4" s="282"/>
      <c r="R4" s="243"/>
      <c r="S4" s="243"/>
    </row>
    <row r="5" spans="1:20" ht="15" customHeight="1">
      <c r="B5" s="733" t="str">
        <f>IF(D5&gt;E$41*0.5,ROUND(D5-E$41*0.5,2) &amp; " Over",ROUND(E$41*0.5-D5,2) &amp; " Under")</f>
        <v>9371.38 Under</v>
      </c>
      <c r="C5" s="733"/>
      <c r="D5" s="761">
        <f>SUM(F6:F21)</f>
        <v>1929.4399999999998</v>
      </c>
      <c r="E5" s="761"/>
      <c r="F5" s="321"/>
      <c r="G5" s="284"/>
      <c r="H5" s="306"/>
      <c r="I5" s="79"/>
      <c r="J5" s="306"/>
      <c r="K5" s="79"/>
      <c r="L5" s="306"/>
      <c r="M5" s="79"/>
      <c r="N5" s="305"/>
      <c r="O5" s="285">
        <f>SUMIF(O6:O21,"&gt;0")</f>
        <v>54.5</v>
      </c>
      <c r="P5" s="285" t="s">
        <v>892</v>
      </c>
      <c r="Q5" s="282">
        <f>SUM(Q6:Q21)</f>
        <v>18.230000000000018</v>
      </c>
      <c r="R5" s="243"/>
    </row>
    <row r="6" spans="1:20" ht="15" customHeight="1">
      <c r="B6" s="734" t="str">
        <f>"50%: " &amp; E$41*0.5</f>
        <v>50%: 11300.82</v>
      </c>
      <c r="C6" s="734" t="str">
        <f>ROUND((D5/E$41)*100,2) &amp; "%: " &amp;D5</f>
        <v>8.54%: 1929.44</v>
      </c>
      <c r="D6" s="13" t="s">
        <v>805</v>
      </c>
      <c r="E6" s="365">
        <v>0</v>
      </c>
      <c r="F6" s="374">
        <f>250+25</f>
        <v>275</v>
      </c>
      <c r="H6" s="305">
        <f>78.93+64.07</f>
        <v>143</v>
      </c>
      <c r="J6" s="305">
        <f>71.99+25.67</f>
        <v>97.66</v>
      </c>
      <c r="L6" s="305">
        <f>27.26</f>
        <v>27.26</v>
      </c>
      <c r="N6" s="305">
        <f>25.31</f>
        <v>25.31</v>
      </c>
      <c r="O6" s="274">
        <f>SUM(E6:F6)-SUM(G6:N6)</f>
        <v>-18.230000000000018</v>
      </c>
      <c r="P6" s="274" t="str">
        <f t="shared" ref="P6:P21" si="0">D6</f>
        <v>Car Petrol / commuting</v>
      </c>
      <c r="Q6" s="282">
        <f t="shared" ref="Q6:Q21" si="1">IF(O6&lt;0,O6*-1,0)</f>
        <v>18.230000000000018</v>
      </c>
      <c r="R6" s="243"/>
    </row>
    <row r="7" spans="1:20" ht="15" customHeight="1">
      <c r="B7" s="734"/>
      <c r="C7" s="734"/>
      <c r="D7" s="13" t="s">
        <v>169</v>
      </c>
      <c r="E7" s="365">
        <v>0</v>
      </c>
      <c r="F7" s="365">
        <f>400</f>
        <v>400</v>
      </c>
      <c r="G7">
        <f>16.87+7.45</f>
        <v>24.32</v>
      </c>
      <c r="H7" s="305">
        <f>32.32+14.25+2.95+6.05+29.2</f>
        <v>84.77</v>
      </c>
      <c r="I7">
        <f>8.87+7.5+26.61</f>
        <v>42.98</v>
      </c>
      <c r="J7" s="305">
        <f>2.42+22.11+15.91+3.1+2.3+2</f>
        <v>47.839999999999996</v>
      </c>
      <c r="L7" s="305">
        <f>21.03+76.55</f>
        <v>97.58</v>
      </c>
      <c r="N7" s="305">
        <f>8.4+13.15+12.14+26.05+10.31+2.75+14.16+7.35</f>
        <v>94.309999999999988</v>
      </c>
      <c r="O7" s="274">
        <f>SUM(E7:F7)-SUM(G7:N7)</f>
        <v>8.1999999999999886</v>
      </c>
      <c r="P7" s="274" t="str">
        <f t="shared" si="0"/>
        <v>Food</v>
      </c>
      <c r="Q7" s="282">
        <f t="shared" si="1"/>
        <v>0</v>
      </c>
      <c r="R7" s="243"/>
    </row>
    <row r="8" spans="1:20" ht="15" customHeight="1">
      <c r="B8" s="734"/>
      <c r="C8" s="734"/>
      <c r="D8" s="13" t="s">
        <v>153</v>
      </c>
      <c r="E8" s="365">
        <v>0</v>
      </c>
      <c r="F8" s="365">
        <f>100+63</f>
        <v>163</v>
      </c>
      <c r="G8">
        <f>27.2+24.5</f>
        <v>51.7</v>
      </c>
      <c r="H8" s="305"/>
      <c r="J8" s="362"/>
      <c r="K8">
        <f>63+25</f>
        <v>88</v>
      </c>
      <c r="L8" s="305"/>
      <c r="M8">
        <f>9.5+7.75</f>
        <v>17.25</v>
      </c>
      <c r="N8" s="305"/>
      <c r="O8" s="274">
        <f>SUM(E8:F8)-SUM(G8:N8)</f>
        <v>6.0500000000000114</v>
      </c>
      <c r="P8" s="274" t="str">
        <f t="shared" si="0"/>
        <v>Luna</v>
      </c>
      <c r="Q8" s="282">
        <f t="shared" si="1"/>
        <v>0</v>
      </c>
    </row>
    <row r="9" spans="1:20" ht="15" customHeight="1">
      <c r="B9" s="734"/>
      <c r="C9" s="734"/>
      <c r="D9" s="13" t="s">
        <v>1079</v>
      </c>
      <c r="E9" s="365">
        <v>0</v>
      </c>
      <c r="F9" s="365">
        <v>40</v>
      </c>
      <c r="H9" s="305">
        <f>12.96+16.09</f>
        <v>29.05</v>
      </c>
      <c r="J9" s="305"/>
      <c r="L9" s="305"/>
      <c r="N9" s="305"/>
      <c r="O9" s="274">
        <f>SUM(E9:F9)-SUM(G9:N9)</f>
        <v>10.95</v>
      </c>
      <c r="P9" s="274" t="str">
        <f t="shared" si="0"/>
        <v>Creamy</v>
      </c>
      <c r="Q9" s="282">
        <f t="shared" si="1"/>
        <v>0</v>
      </c>
    </row>
    <row r="10" spans="1:20" ht="15" customHeight="1" outlineLevel="1">
      <c r="B10" s="734"/>
      <c r="C10" s="734"/>
      <c r="D10" s="201" t="s">
        <v>595</v>
      </c>
      <c r="E10" s="365">
        <v>0</v>
      </c>
      <c r="F10" s="365">
        <f>452.64</f>
        <v>452.64</v>
      </c>
      <c r="H10" s="305"/>
      <c r="J10" s="305"/>
      <c r="L10" s="305"/>
      <c r="M10">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139</v>
      </c>
      <c r="H11" s="305"/>
      <c r="J11" s="305"/>
      <c r="L11" s="305"/>
      <c r="M11">
        <v>139</v>
      </c>
      <c r="N11" s="305"/>
      <c r="O11" s="274">
        <f t="shared" si="2"/>
        <v>0</v>
      </c>
      <c r="P11" s="274" t="str">
        <f t="shared" si="0"/>
        <v>Council tax</v>
      </c>
      <c r="Q11" s="282">
        <f t="shared" si="1"/>
        <v>0</v>
      </c>
    </row>
    <row r="12" spans="1:20" ht="15" customHeight="1" outlineLevel="1">
      <c r="B12" s="734"/>
      <c r="C12" s="734"/>
      <c r="D12" s="201" t="s">
        <v>1002</v>
      </c>
      <c r="E12" s="365">
        <v>0</v>
      </c>
      <c r="F12" s="365">
        <f>46+107.57+1</f>
        <v>154.57</v>
      </c>
      <c r="H12" s="305"/>
      <c r="I12">
        <f>1+107.57</f>
        <v>108.57</v>
      </c>
      <c r="J12" s="305"/>
      <c r="L12" s="305"/>
      <c r="M12">
        <f>46</f>
        <v>46</v>
      </c>
      <c r="N12" s="305"/>
      <c r="O12" s="274">
        <f>SUM(E12:F12)-SUM(G12:N12)</f>
        <v>0</v>
      </c>
      <c r="P12" s="274" t="str">
        <f t="shared" si="0"/>
        <v>Utilities (G,W,E,HTB)</v>
      </c>
      <c r="Q12" s="282">
        <f t="shared" si="1"/>
        <v>0</v>
      </c>
    </row>
    <row r="13" spans="1:20" ht="15" customHeight="1" outlineLevel="1">
      <c r="B13" s="734"/>
      <c r="C13" s="734"/>
      <c r="D13" s="201" t="s">
        <v>996</v>
      </c>
      <c r="E13" s="365">
        <v>0</v>
      </c>
      <c r="F13" s="365">
        <f>16.42</f>
        <v>16.420000000000002</v>
      </c>
      <c r="H13" s="305"/>
      <c r="I13">
        <f>16.42</f>
        <v>16.420000000000002</v>
      </c>
      <c r="J13" s="305"/>
      <c r="L13" s="305"/>
      <c r="N13" s="305"/>
      <c r="O13" s="274">
        <f>SUM(E13:F13)-SUM(G13:N13)</f>
        <v>0</v>
      </c>
      <c r="P13" s="274" t="str">
        <f t="shared" si="0"/>
        <v>Home Insurance</v>
      </c>
      <c r="Q13" s="282">
        <f t="shared" si="1"/>
        <v>0</v>
      </c>
    </row>
    <row r="14" spans="1:20" ht="15" customHeight="1" outlineLevel="1">
      <c r="B14" s="734"/>
      <c r="C14" s="734"/>
      <c r="D14" s="201" t="s">
        <v>359</v>
      </c>
      <c r="E14" s="365">
        <v>30</v>
      </c>
      <c r="F14" s="365">
        <v>11</v>
      </c>
      <c r="H14" s="305"/>
      <c r="J14" s="305"/>
      <c r="L14" s="305"/>
      <c r="M14">
        <v>41</v>
      </c>
      <c r="N14" s="305"/>
      <c r="O14" s="274">
        <f t="shared" si="2"/>
        <v>0</v>
      </c>
      <c r="P14" s="274" t="str">
        <f t="shared" si="0"/>
        <v>TV License</v>
      </c>
      <c r="Q14" s="282">
        <f t="shared" si="1"/>
        <v>0</v>
      </c>
    </row>
    <row r="15" spans="1:20" ht="15" customHeight="1" outlineLevel="1">
      <c r="B15" s="734"/>
      <c r="C15" s="734"/>
      <c r="D15" s="201" t="s">
        <v>1056</v>
      </c>
      <c r="E15" s="365">
        <v>0</v>
      </c>
      <c r="F15" s="365">
        <f>8+36.79+16.6</f>
        <v>61.39</v>
      </c>
      <c r="H15" s="305"/>
      <c r="I15">
        <f>16.6</f>
        <v>16.600000000000001</v>
      </c>
      <c r="J15" s="305"/>
      <c r="L15" s="305"/>
      <c r="M15">
        <f>8+35.99</f>
        <v>43.99</v>
      </c>
      <c r="N15" s="305"/>
      <c r="O15" s="274">
        <f>SUM(E15:F15)-SUM(G15:N15)</f>
        <v>0.79999999999999716</v>
      </c>
      <c r="P15" s="274" t="str">
        <f t="shared" si="0"/>
        <v>Pet Health / Insurance</v>
      </c>
      <c r="Q15" s="282">
        <f t="shared" si="1"/>
        <v>0</v>
      </c>
    </row>
    <row r="16" spans="1:20" ht="15" customHeight="1" outlineLevel="1">
      <c r="B16" s="734"/>
      <c r="C16" s="734"/>
      <c r="D16" s="201" t="s">
        <v>1057</v>
      </c>
      <c r="E16" s="365">
        <v>0</v>
      </c>
      <c r="F16" s="365">
        <f>4.52+15.97+8.56</f>
        <v>29.050000000000004</v>
      </c>
      <c r="H16" s="305"/>
      <c r="I16" s="11">
        <f>29.05</f>
        <v>29.05</v>
      </c>
      <c r="J16" s="305"/>
      <c r="L16" s="305"/>
      <c r="N16" s="305"/>
      <c r="O16" s="274">
        <f t="shared" si="2"/>
        <v>0</v>
      </c>
      <c r="P16" s="274" t="str">
        <f t="shared" si="0"/>
        <v>Life / Income Insurance</v>
      </c>
      <c r="Q16" s="282">
        <f t="shared" si="1"/>
        <v>0</v>
      </c>
    </row>
    <row r="17" spans="2:17" ht="15" customHeight="1" outlineLevel="1">
      <c r="B17" s="734"/>
      <c r="C17" s="734"/>
      <c r="D17" s="201" t="s">
        <v>602</v>
      </c>
      <c r="E17" s="365">
        <v>28.5</v>
      </c>
      <c r="F17" s="365">
        <v>32.340000000000003</v>
      </c>
      <c r="G17">
        <v>32.340000000000003</v>
      </c>
      <c r="H17" s="305"/>
      <c r="J17" s="305"/>
      <c r="L17" s="305"/>
      <c r="N17" s="305"/>
      <c r="O17" s="274">
        <f>SUM(E17:F17)-SUM(G17:N17)</f>
        <v>28.5</v>
      </c>
      <c r="P17" s="274" t="str">
        <f t="shared" si="0"/>
        <v>Broadband / TV</v>
      </c>
      <c r="Q17" s="282">
        <f t="shared" si="1"/>
        <v>0</v>
      </c>
    </row>
    <row r="18" spans="2:17" ht="15" customHeight="1" outlineLevel="1">
      <c r="B18" s="734"/>
      <c r="C18" s="734"/>
      <c r="D18" s="201" t="s">
        <v>582</v>
      </c>
      <c r="E18" s="365">
        <v>0</v>
      </c>
      <c r="F18" s="365">
        <v>7.99</v>
      </c>
      <c r="H18" s="305"/>
      <c r="I18">
        <f>7.99</f>
        <v>7.99</v>
      </c>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f>11.55</f>
        <v>11.55</v>
      </c>
      <c r="H19" s="305"/>
      <c r="I19">
        <f>11.55</f>
        <v>11.55</v>
      </c>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29.75+34.68+42.5+13.56</f>
        <v>120.49000000000001</v>
      </c>
      <c r="H20" s="305"/>
      <c r="I20">
        <f>13.56+29.75+34.68+42.5</f>
        <v>120.49000000000001</v>
      </c>
      <c r="J20" s="305"/>
      <c r="L20" s="305"/>
      <c r="N20" s="305"/>
      <c r="O20" s="274">
        <f>SUM(E20:F20)-SUM(G20:N20)</f>
        <v>0</v>
      </c>
      <c r="P20" s="274" t="str">
        <f t="shared" si="0"/>
        <v>Car Tax / Insurance</v>
      </c>
      <c r="Q20" s="282">
        <f t="shared" si="1"/>
        <v>0</v>
      </c>
    </row>
    <row r="21" spans="2:17" ht="15" customHeight="1" outlineLevel="1">
      <c r="B21" s="734"/>
      <c r="C21" s="734"/>
      <c r="D21" s="201" t="s">
        <v>944</v>
      </c>
      <c r="E21" s="365">
        <v>0</v>
      </c>
      <c r="F21" s="365">
        <v>15</v>
      </c>
      <c r="H21" s="305"/>
      <c r="I21">
        <v>15</v>
      </c>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",G41*0.2," / Actual = ",D24," (",ROUND((D24/G41)*100,2),")")</f>
        <v>Savings - 20 - 1298.168 / Actual = 175 (2.7)</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SUM(F25:F29)</f>
        <v>175</v>
      </c>
      <c r="E24" s="759"/>
      <c r="F24" s="319"/>
      <c r="H24" s="305"/>
      <c r="J24" s="305"/>
      <c r="L24" s="305"/>
      <c r="N24" s="305"/>
      <c r="O24" s="285">
        <f>SUMIF(O25:O29,"&gt;0")</f>
        <v>77.810000000000684</v>
      </c>
      <c r="P24" s="285" t="s">
        <v>895</v>
      </c>
      <c r="Q24" s="282">
        <f>SUM(Q25:Q29)</f>
        <v>0</v>
      </c>
    </row>
    <row r="25" spans="2:17" ht="15" customHeight="1" outlineLevel="1">
      <c r="B25" s="7" t="str">
        <f>"20% : " &amp; E$41*0.2</f>
        <v>20% : 4520.328</v>
      </c>
      <c r="C25" s="7" t="str">
        <f>"20% : " &amp; E$41*0.2</f>
        <v>20% : 4520.328</v>
      </c>
      <c r="D25" s="300" t="s">
        <v>590</v>
      </c>
      <c r="E25" s="365">
        <v>7.18</v>
      </c>
      <c r="F25" s="365">
        <v>75</v>
      </c>
      <c r="H25" s="305"/>
      <c r="J25" s="305"/>
      <c r="K25">
        <f>40</f>
        <v>40</v>
      </c>
      <c r="L25" s="315"/>
      <c r="N25" s="305"/>
      <c r="O25" s="274">
        <f>SUM(E25:F25)-SUM(G25:N25)-Q41</f>
        <v>22.810000000000684</v>
      </c>
      <c r="P25" s="274" t="str">
        <f t="shared" ref="P25:P29" si="3">D25</f>
        <v>Contingency</v>
      </c>
      <c r="Q25" s="282">
        <v>0</v>
      </c>
    </row>
    <row r="26" spans="2:17" ht="15" customHeight="1" outlineLevel="1">
      <c r="B26" s="7"/>
      <c r="C26" s="7"/>
      <c r="D26" s="300" t="s">
        <v>998</v>
      </c>
      <c r="E26" s="365">
        <v>0</v>
      </c>
      <c r="F26" s="365">
        <v>100</v>
      </c>
      <c r="G26" s="11"/>
      <c r="H26" s="306"/>
      <c r="J26" s="305"/>
      <c r="L26" s="305"/>
      <c r="M26">
        <f>45</f>
        <v>45</v>
      </c>
      <c r="N26" s="305"/>
      <c r="O26" s="274">
        <f>SUM(E26:F26)-SUM(G26:N26)</f>
        <v>55</v>
      </c>
      <c r="P26" s="274" t="str">
        <f t="shared" si="3"/>
        <v>Cars (Service / MOT)</v>
      </c>
      <c r="Q26" s="282">
        <f t="shared" ref="Q26:Q29" si="4">IF(O26&lt;0,O26*-1,0)</f>
        <v>0</v>
      </c>
    </row>
    <row r="27" spans="2:17" ht="15" customHeight="1" outlineLevel="1">
      <c r="B27" s="7"/>
      <c r="C27" s="7"/>
      <c r="D27" s="300" t="s">
        <v>1135</v>
      </c>
      <c r="E27" s="365">
        <v>0</v>
      </c>
      <c r="F27" s="365">
        <v>0</v>
      </c>
      <c r="G27" s="11"/>
      <c r="H27" s="306"/>
      <c r="J27" s="305"/>
      <c r="L27" s="305"/>
      <c r="N27" s="305"/>
      <c r="O27" s="274">
        <f>SUM(E27:F27)-SUM(G27:N27)</f>
        <v>0</v>
      </c>
      <c r="P27" s="274" t="str">
        <f t="shared" si="3"/>
        <v>Investment</v>
      </c>
      <c r="Q27" s="282">
        <f t="shared" si="4"/>
        <v>0</v>
      </c>
    </row>
    <row r="28" spans="2:17" ht="15" customHeight="1" outlineLevel="1">
      <c r="B28" s="7"/>
      <c r="C28" s="7"/>
      <c r="D28" s="300" t="s">
        <v>999</v>
      </c>
      <c r="E28" s="365">
        <v>0</v>
      </c>
      <c r="F28" s="365">
        <v>0</v>
      </c>
      <c r="G28" s="11"/>
      <c r="H28" s="306"/>
      <c r="J28" s="305"/>
      <c r="L28" s="305"/>
      <c r="N28" s="305"/>
      <c r="O28" s="274">
        <f t="shared" ref="O28:O29" si="5">SUM(E28:F28)-SUM(G28:N28)</f>
        <v>0</v>
      </c>
      <c r="P28" s="274" t="str">
        <f t="shared" si="3"/>
        <v>Mortgage Overpayment</v>
      </c>
      <c r="Q28" s="282">
        <f t="shared" si="4"/>
        <v>0</v>
      </c>
    </row>
    <row r="29" spans="2:17"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7" ht="15" customHeight="1">
      <c r="B30" s="118"/>
      <c r="C30" s="118"/>
      <c r="E30" s="365"/>
      <c r="F30" s="365"/>
      <c r="H30" s="305"/>
      <c r="J30" s="305"/>
      <c r="L30" s="305"/>
      <c r="N30" s="305"/>
      <c r="O30" s="273"/>
      <c r="P30" s="273"/>
      <c r="Q30" s="282"/>
    </row>
    <row r="31" spans="2:17" ht="15" customHeight="1">
      <c r="B31" s="727" t="str">
        <f>_xlfn.CONCAT("Wants - 30 - ",G41*0.3," / Actual = ",D32," (",ROUND((D32/G41)*100,2),")")</f>
        <v>Wants - 30 - 1947.252 / Actual = 19396.4 (298.83)</v>
      </c>
      <c r="C31" s="727"/>
      <c r="D31" s="727"/>
      <c r="E31" s="727"/>
      <c r="F31" s="318"/>
      <c r="H31" s="305"/>
      <c r="J31" s="305"/>
      <c r="L31" s="305"/>
      <c r="N31" s="305"/>
      <c r="O31" s="273"/>
      <c r="P31" s="273"/>
      <c r="Q31" s="282"/>
    </row>
    <row r="32" spans="2:17" ht="15" customHeight="1">
      <c r="B32" s="727" t="str">
        <f>IF(ISNUMBER((SEARCH("Over",B$5))),"Operating under budget","Operating over budget")</f>
        <v>Operating over budget</v>
      </c>
      <c r="C32" s="727"/>
      <c r="D32" s="759">
        <f>(E$41-D5-D24-E40)</f>
        <v>19396.400000000001</v>
      </c>
      <c r="E32" s="727"/>
      <c r="F32" s="319">
        <f>SUM(F33:F38)</f>
        <v>19396.400000000001</v>
      </c>
      <c r="H32" s="305"/>
      <c r="J32" s="305"/>
      <c r="L32" s="305"/>
      <c r="N32" s="305"/>
      <c r="O32" s="285">
        <f>SUMIF(O33:O37,"&gt;0")</f>
        <v>695.49000000000103</v>
      </c>
      <c r="P32" s="285" t="s">
        <v>899</v>
      </c>
      <c r="Q32" s="282">
        <f>SUM(Q33:Q38)</f>
        <v>1.1399999999993042</v>
      </c>
    </row>
    <row r="33" spans="2:19" ht="15" customHeight="1" outlineLevel="1">
      <c r="B33" s="734"/>
      <c r="C33" s="760"/>
      <c r="D33" s="300" t="s">
        <v>873</v>
      </c>
      <c r="E33" s="365">
        <v>1035.1199999999999</v>
      </c>
      <c r="F33" s="365">
        <f>550+550+1200+150+999.26+200+30.22</f>
        <v>3679.48</v>
      </c>
      <c r="G33">
        <v>4714.6000000000004</v>
      </c>
      <c r="H33" s="305"/>
      <c r="J33" s="305"/>
      <c r="L33" s="305"/>
      <c r="N33" s="305"/>
      <c r="O33" s="274">
        <f>SUM(E33:F33)-SUM(G33:N33)</f>
        <v>0</v>
      </c>
      <c r="P33" s="274" t="str">
        <f t="shared" ref="P33:P39" si="6">D33</f>
        <v>Maldives</v>
      </c>
      <c r="Q33" s="282">
        <f t="shared" ref="Q33:Q36" si="7">IF(O33&lt;0,O33*-1,0)</f>
        <v>0</v>
      </c>
      <c r="R33" s="11"/>
      <c r="S33" s="11"/>
    </row>
    <row r="34" spans="2:19" ht="15" customHeight="1" outlineLevel="1">
      <c r="B34" s="734"/>
      <c r="C34" s="760"/>
      <c r="D34" s="300" t="s">
        <v>606</v>
      </c>
      <c r="E34" s="365">
        <v>0</v>
      </c>
      <c r="F34" s="365">
        <v>15000</v>
      </c>
      <c r="H34" s="305"/>
      <c r="J34" s="305"/>
      <c r="L34" s="305"/>
      <c r="M34">
        <f>14200+81.9+1.96</f>
        <v>14283.859999999999</v>
      </c>
      <c r="N34" s="305">
        <f>86.26</f>
        <v>86.26</v>
      </c>
      <c r="O34" s="274">
        <f>SUM(E34:F34)-SUM(G34:N34)</f>
        <v>629.88000000000102</v>
      </c>
      <c r="P34" s="274" t="str">
        <f t="shared" si="6"/>
        <v>Car</v>
      </c>
      <c r="Q34" s="282">
        <f t="shared" si="7"/>
        <v>0</v>
      </c>
      <c r="R34" s="11"/>
      <c r="S34" s="11"/>
    </row>
    <row r="35" spans="2:19" ht="15" customHeight="1" outlineLevel="1">
      <c r="B35" s="734"/>
      <c r="C35" s="760"/>
      <c r="D35" s="300" t="s">
        <v>797</v>
      </c>
      <c r="E35" s="365">
        <v>0</v>
      </c>
      <c r="F35" s="365">
        <v>0</v>
      </c>
      <c r="H35" s="305"/>
      <c r="J35" s="305"/>
      <c r="L35" s="305"/>
      <c r="N35" s="305"/>
      <c r="O35" s="274">
        <f>SUM(E35:F35)-SUM(G35:N35)</f>
        <v>0</v>
      </c>
      <c r="P35" s="274" t="str">
        <f t="shared" si="6"/>
        <v>Bali</v>
      </c>
      <c r="Q35" s="282">
        <f t="shared" si="7"/>
        <v>0</v>
      </c>
      <c r="R35" s="11"/>
      <c r="S35" s="11"/>
    </row>
    <row r="36" spans="2:19" ht="15" customHeight="1" outlineLevel="1">
      <c r="B36" s="734"/>
      <c r="C36" s="760"/>
      <c r="D36" s="300" t="s">
        <v>170</v>
      </c>
      <c r="E36" s="365">
        <v>0</v>
      </c>
      <c r="F36" s="365">
        <f>263-150</f>
        <v>113</v>
      </c>
      <c r="H36" s="305">
        <f>34.99</f>
        <v>34.99</v>
      </c>
      <c r="J36" s="305">
        <f>4.49</f>
        <v>4.49</v>
      </c>
      <c r="L36" s="305">
        <f>10.9</f>
        <v>10.9</v>
      </c>
      <c r="N36" s="305"/>
      <c r="O36" s="274">
        <f>SUM(E36:F36)-SUM(G36:N36)</f>
        <v>62.62</v>
      </c>
      <c r="P36" s="274" t="str">
        <f t="shared" si="6"/>
        <v>Gift Fund</v>
      </c>
      <c r="Q36" s="282">
        <f t="shared" si="7"/>
        <v>0</v>
      </c>
      <c r="R36" s="11"/>
      <c r="S36" s="11"/>
    </row>
    <row r="37" spans="2:19" ht="15.75" customHeight="1" outlineLevel="1">
      <c r="B37" s="734"/>
      <c r="C37" s="760"/>
      <c r="D37" s="13" t="s">
        <v>781</v>
      </c>
      <c r="E37" s="365">
        <v>0</v>
      </c>
      <c r="F37" s="365">
        <f>13+2+6.99+10.99+2.99+25</f>
        <v>60.970000000000006</v>
      </c>
      <c r="G37">
        <f>13</f>
        <v>13</v>
      </c>
      <c r="H37" s="305"/>
      <c r="I37">
        <f>2+10.99+6.99+25</f>
        <v>44.980000000000004</v>
      </c>
      <c r="J37" s="305"/>
      <c r="L37" s="305"/>
      <c r="N37" s="305"/>
      <c r="O37" s="274">
        <f t="shared" ref="O37" si="8">SUM(E37:F37)-SUM(G37:N37)</f>
        <v>2.990000000000002</v>
      </c>
      <c r="P37" s="274" t="str">
        <f t="shared" si="6"/>
        <v>Subscriptions</v>
      </c>
      <c r="Q37" s="282">
        <f>IF(O37&lt;0,O37*-1,0)</f>
        <v>0</v>
      </c>
      <c r="S37" s="349"/>
    </row>
    <row r="38" spans="2:19" ht="18" outlineLevel="1">
      <c r="B38" s="734"/>
      <c r="C38" s="760"/>
      <c r="D38" s="13" t="s">
        <v>922</v>
      </c>
      <c r="E38" s="365">
        <v>0</v>
      </c>
      <c r="F38" s="365">
        <f>(D32-SUM(F33:F37))-F39</f>
        <v>542.95000000000073</v>
      </c>
      <c r="G38">
        <f>3+5+1.1+0.72+15+3.28</f>
        <v>28.1</v>
      </c>
      <c r="H38" s="305">
        <f>30+53.13+52.3+10.88+40.87+20.01+30.09</f>
        <v>237.28</v>
      </c>
      <c r="I38">
        <f>4.5+4.5+4.5+4.5+7+9.5+9.5+11.5+13.5+17+23.5+4+20+2.5+8.73+9.66+16.5+8</f>
        <v>178.89</v>
      </c>
      <c r="J38" s="305">
        <f>4+9.95</f>
        <v>13.95</v>
      </c>
      <c r="K38">
        <f>9.1+2+8.95+5+(34.71-25)</f>
        <v>34.76</v>
      </c>
      <c r="L38" s="305">
        <f>3.9+3.9</f>
        <v>7.8</v>
      </c>
      <c r="M38">
        <f>11+6.85+10+11.86</f>
        <v>39.71</v>
      </c>
      <c r="N38" s="305">
        <f>1+2.6</f>
        <v>3.6</v>
      </c>
      <c r="O38" s="274">
        <f>SUM(E38:F38)-SUM(G38:N38)</f>
        <v>-1.1399999999993042</v>
      </c>
      <c r="P38" s="274" t="str">
        <f t="shared" si="6"/>
        <v>Matt Fun</v>
      </c>
      <c r="Q38" s="282">
        <f>IF(SUM(E38:F38)-SUM(G38:N38)&lt;=0,(SUM(E38:F38)-SUM(G38:N38))*-1,0)</f>
        <v>1.1399999999993042</v>
      </c>
    </row>
    <row r="39" spans="2:19" ht="18" outlineLevel="1">
      <c r="B39" s="7"/>
      <c r="C39" s="284"/>
      <c r="D39" s="13" t="s">
        <v>152</v>
      </c>
      <c r="E39" s="365">
        <v>0</v>
      </c>
      <c r="F39" s="365">
        <v>0</v>
      </c>
      <c r="G39">
        <v>100</v>
      </c>
      <c r="H39" s="305"/>
      <c r="J39" s="305"/>
      <c r="L39" s="305"/>
      <c r="N39" s="305"/>
      <c r="O39" s="274">
        <f>SUM(E39:F39)-SUM(G39:N39)</f>
        <v>-100</v>
      </c>
      <c r="P39" s="274" t="str">
        <f t="shared" si="6"/>
        <v>Kris</v>
      </c>
      <c r="Q39" s="271">
        <f>IF(F39-SUM(G39:N39)&lt;=0,(F39-SUM(G39:N39))*-1,0)</f>
        <v>100</v>
      </c>
    </row>
    <row r="40" spans="2:19">
      <c r="B40" s="118"/>
      <c r="C40" s="118"/>
      <c r="E40" s="365">
        <f>SUM(E33:E39)+SUM(E25:E29)+SUM(E6:E21)</f>
        <v>1100.8</v>
      </c>
      <c r="F40" s="365"/>
      <c r="H40" s="7"/>
      <c r="J40" s="7"/>
      <c r="L40" s="7"/>
      <c r="N40" s="7"/>
      <c r="O40" s="273"/>
      <c r="P40" s="273"/>
      <c r="Q40" s="282"/>
    </row>
    <row r="41" spans="2:19" ht="18">
      <c r="B41" s="728" t="s">
        <v>817</v>
      </c>
      <c r="C41" s="728"/>
      <c r="D41" s="728"/>
      <c r="E41" s="375">
        <f>G41+I41+K41+M41+N41+E40</f>
        <v>22601.64</v>
      </c>
      <c r="F41" s="379"/>
      <c r="G41" s="271">
        <f>5105.84+1385</f>
        <v>6490.84</v>
      </c>
      <c r="H41" s="271"/>
      <c r="I41" s="271"/>
      <c r="J41" s="271"/>
      <c r="K41" s="271"/>
      <c r="L41" s="271"/>
      <c r="M41" s="271">
        <f>15000+10</f>
        <v>15010</v>
      </c>
      <c r="N41" s="271"/>
      <c r="O41" s="314" t="str">
        <f>"£" &amp; ROUND(O5+O32+O24+IF(O38&lt;0,0,O38)+O39+O4,2) &amp; " / " &amp; "£" &amp; E41</f>
        <v>£1773.85 / £22601.64</v>
      </c>
      <c r="P41" s="274"/>
      <c r="Q41" s="282">
        <f>SUM(Q32,Q24,Q5)</f>
        <v>19.369999999999322</v>
      </c>
    </row>
    <row r="42" spans="2:19">
      <c r="B42" s="118"/>
      <c r="C42" s="7"/>
      <c r="E42" s="365"/>
      <c r="F42" s="365"/>
      <c r="G42" s="365"/>
      <c r="H42" s="365"/>
    </row>
    <row r="43" spans="2:19" ht="14.4">
      <c r="B43" s="729"/>
      <c r="C43" s="729"/>
      <c r="D43" s="729"/>
      <c r="E43" s="729"/>
      <c r="F43" s="729"/>
      <c r="G43" s="729"/>
      <c r="H43" s="297"/>
      <c r="K43" s="729"/>
      <c r="L43" s="729"/>
      <c r="M43" s="729"/>
      <c r="N43" s="729"/>
      <c r="O43" s="729"/>
      <c r="P43" s="297"/>
    </row>
    <row r="44" spans="2:19" ht="15" customHeight="1">
      <c r="B44" s="726" t="s">
        <v>955</v>
      </c>
      <c r="C44" s="726"/>
      <c r="D44" s="726"/>
      <c r="E44" s="726"/>
      <c r="F44" s="348"/>
      <c r="K44" s="212"/>
      <c r="L44" s="212"/>
      <c r="N44" s="118" t="s">
        <v>991</v>
      </c>
      <c r="O44" s="316">
        <v>44795</v>
      </c>
      <c r="P44" s="7">
        <f ca="1">DATEDIF(O44,NOW(),"d")</f>
        <v>1456</v>
      </c>
      <c r="Q44">
        <v>46</v>
      </c>
      <c r="R44" t="s">
        <v>597</v>
      </c>
    </row>
    <row r="45" spans="2:19">
      <c r="B45" s="365"/>
      <c r="C45" s="38"/>
      <c r="E45" s="284"/>
      <c r="F45" s="11"/>
      <c r="G45" s="367"/>
      <c r="H45" s="243">
        <f>263*4</f>
        <v>1052</v>
      </c>
      <c r="K45" s="11"/>
      <c r="N45" s="322" t="s">
        <v>992</v>
      </c>
      <c r="O45" s="42">
        <v>44795</v>
      </c>
      <c r="P45" s="7">
        <f ca="1">DATEDIF(O45,NOW(),"d")</f>
        <v>1456</v>
      </c>
      <c r="Q45">
        <v>7.35</v>
      </c>
      <c r="R45" t="s">
        <v>1073</v>
      </c>
    </row>
    <row r="46" spans="2:19">
      <c r="E46" s="365"/>
      <c r="F46" s="365"/>
      <c r="G46" s="11"/>
      <c r="H46" s="243"/>
      <c r="L46" s="243"/>
      <c r="O46"/>
      <c r="P46"/>
    </row>
    <row r="47" spans="2:19" ht="16.2" customHeight="1">
      <c r="E47" s="384"/>
      <c r="F47" s="278"/>
      <c r="G47" s="213">
        <f>G33+500</f>
        <v>5214.6000000000004</v>
      </c>
      <c r="H47" s="373"/>
      <c r="I47" s="213"/>
      <c r="J47" s="213"/>
      <c r="K47" s="213"/>
      <c r="L47" s="243"/>
      <c r="O47" s="292"/>
      <c r="P47" s="212"/>
    </row>
    <row r="48" spans="2:19">
      <c r="B48" s="378"/>
      <c r="E48" s="343"/>
      <c r="F48" s="361"/>
      <c r="G48">
        <f>1385-980-42-50</f>
        <v>313</v>
      </c>
      <c r="L48" s="243"/>
      <c r="P48" s="56"/>
    </row>
    <row r="49" spans="2:17" ht="14.4">
      <c r="E49" s="343"/>
      <c r="F49" s="361"/>
      <c r="K49">
        <f>21+15+15+15</f>
        <v>66</v>
      </c>
      <c r="L49" t="s">
        <v>724</v>
      </c>
      <c r="P49"/>
    </row>
    <row r="50" spans="2:17">
      <c r="E50" s="365"/>
      <c r="F50" s="383"/>
      <c r="K50">
        <v>30</v>
      </c>
      <c r="L50" t="s">
        <v>1204</v>
      </c>
      <c r="P50" s="212"/>
      <c r="Q50" s="212"/>
    </row>
    <row r="51" spans="2:17" ht="15" customHeight="1">
      <c r="E51" s="284"/>
      <c r="F51" s="89"/>
      <c r="K51">
        <v>10</v>
      </c>
      <c r="L51" t="s">
        <v>1205</v>
      </c>
      <c r="P51" s="56"/>
      <c r="Q51" s="38"/>
    </row>
    <row r="52" spans="2:17">
      <c r="E52" s="365"/>
      <c r="F52" s="360"/>
      <c r="O52"/>
      <c r="P52"/>
    </row>
    <row r="53" spans="2:17" ht="15" customHeight="1">
      <c r="E53" s="360"/>
      <c r="F53" s="360"/>
      <c r="G53" s="771"/>
      <c r="H53" s="771"/>
      <c r="I53" s="771"/>
      <c r="J53" s="771"/>
      <c r="K53" s="771"/>
      <c r="L53" s="771"/>
      <c r="M53" s="771"/>
      <c r="N53" s="771"/>
      <c r="O53" s="771"/>
      <c r="P53"/>
    </row>
    <row r="54" spans="2:17">
      <c r="E54" s="365"/>
      <c r="F54" s="383"/>
      <c r="O54"/>
      <c r="P54"/>
    </row>
    <row r="55" spans="2:17">
      <c r="B55" s="11"/>
      <c r="D55">
        <v>0</v>
      </c>
      <c r="E55" t="s">
        <v>1215</v>
      </c>
      <c r="F55" s="384"/>
      <c r="G55">
        <v>0</v>
      </c>
      <c r="H55" t="s">
        <v>1215</v>
      </c>
      <c r="O55"/>
      <c r="P55"/>
    </row>
    <row r="56" spans="2:17" ht="14.4">
      <c r="B56" s="11"/>
      <c r="D56">
        <f>22*24</f>
        <v>528</v>
      </c>
      <c r="E56" t="s">
        <v>1216</v>
      </c>
      <c r="F56" s="79"/>
      <c r="G56">
        <f>32*24</f>
        <v>768</v>
      </c>
      <c r="H56" t="s">
        <v>1216</v>
      </c>
      <c r="O56"/>
      <c r="P56"/>
    </row>
    <row r="57" spans="2:17" ht="14.4">
      <c r="D57">
        <f>(3.5*3)+(7*18)</f>
        <v>136.5</v>
      </c>
      <c r="E57" t="s">
        <v>971</v>
      </c>
      <c r="F57" s="79"/>
      <c r="G57">
        <f>11.55*24</f>
        <v>277.20000000000005</v>
      </c>
      <c r="H57" t="s">
        <v>971</v>
      </c>
      <c r="O57"/>
      <c r="P57"/>
    </row>
    <row r="58" spans="2:17" ht="14.4">
      <c r="B58" s="212"/>
      <c r="C58" s="212"/>
      <c r="D58">
        <f>SUM(D55:D57)</f>
        <v>664.5</v>
      </c>
      <c r="E58" t="s">
        <v>131</v>
      </c>
      <c r="F58" s="7"/>
      <c r="G58">
        <f>SUM(G55:G57)</f>
        <v>1045.2</v>
      </c>
      <c r="H58" t="s">
        <v>131</v>
      </c>
      <c r="O58"/>
      <c r="P58"/>
    </row>
    <row r="59" spans="2:17" ht="14.4">
      <c r="C59" s="56"/>
      <c r="D59" s="243">
        <f>D58/24</f>
        <v>27.6875</v>
      </c>
      <c r="E59"/>
      <c r="F59"/>
      <c r="G59">
        <f>G58/24</f>
        <v>43.550000000000004</v>
      </c>
      <c r="J59" s="771"/>
      <c r="K59" s="771"/>
      <c r="L59" s="771"/>
      <c r="O59"/>
      <c r="P59"/>
    </row>
    <row r="60" spans="2:17" ht="15.75" customHeight="1">
      <c r="C60" s="56"/>
      <c r="E60"/>
      <c r="F60"/>
      <c r="G60" s="771"/>
      <c r="H60" s="771"/>
      <c r="I60" s="771"/>
      <c r="J60" s="771"/>
      <c r="K60" s="771"/>
      <c r="L60" s="771"/>
      <c r="M60" s="771"/>
      <c r="N60" s="771"/>
      <c r="O60" s="771"/>
      <c r="P60"/>
    </row>
    <row r="61" spans="2:17" ht="14.4">
      <c r="C61" s="56"/>
      <c r="E61"/>
      <c r="F61"/>
      <c r="O61"/>
      <c r="P61" s="771"/>
    </row>
    <row r="62" spans="2:17" ht="14.4">
      <c r="C62" s="56"/>
      <c r="E62"/>
      <c r="F62"/>
      <c r="K62" t="s">
        <v>978</v>
      </c>
      <c r="O62"/>
      <c r="P62" s="771"/>
    </row>
    <row r="63" spans="2:17" ht="14.4">
      <c r="C63" s="56"/>
      <c r="D63">
        <v>185</v>
      </c>
      <c r="E63" s="243" t="s">
        <v>1217</v>
      </c>
      <c r="F63"/>
      <c r="K63" s="243">
        <f>(F11+F19+25+6.99)*0.01</f>
        <v>1.8254000000000001</v>
      </c>
      <c r="O63"/>
      <c r="P63" s="771"/>
    </row>
    <row r="64" spans="2:17" ht="14.4">
      <c r="C64" s="56"/>
      <c r="D64" s="243">
        <v>10</v>
      </c>
      <c r="E64" t="s">
        <v>1218</v>
      </c>
      <c r="F64"/>
      <c r="O64"/>
      <c r="P64" s="771"/>
    </row>
    <row r="65" spans="2:16" ht="14.4">
      <c r="C65" s="56"/>
      <c r="D65" t="s">
        <v>1219</v>
      </c>
      <c r="E65"/>
      <c r="F65"/>
      <c r="O65"/>
      <c r="P65"/>
    </row>
    <row r="66" spans="2:16" ht="14.4">
      <c r="C66" s="56"/>
      <c r="E66" s="347"/>
      <c r="F66"/>
      <c r="G66" s="771"/>
      <c r="H66" s="771"/>
      <c r="I66" s="771"/>
      <c r="J66" s="771"/>
      <c r="K66" s="771"/>
      <c r="L66" s="771"/>
      <c r="M66" s="771"/>
      <c r="N66" s="771"/>
      <c r="O66" s="771"/>
      <c r="P66" s="771"/>
    </row>
    <row r="67" spans="2:16" ht="14.4">
      <c r="C67" s="56"/>
      <c r="D67">
        <v>25</v>
      </c>
      <c r="E67" s="332" t="s">
        <v>1220</v>
      </c>
      <c r="F67" s="332"/>
      <c r="O67"/>
      <c r="P67" s="771"/>
    </row>
    <row r="68" spans="2:16" ht="14.4">
      <c r="C68" s="56"/>
      <c r="D68">
        <v>8</v>
      </c>
      <c r="E68" t="s">
        <v>971</v>
      </c>
      <c r="F68"/>
      <c r="I68">
        <v>125</v>
      </c>
      <c r="J68" t="s">
        <v>1216</v>
      </c>
      <c r="O68"/>
      <c r="P68" s="771"/>
    </row>
    <row r="69" spans="2:16" ht="14.4">
      <c r="C69" s="56"/>
      <c r="E69"/>
      <c r="F69"/>
      <c r="I69">
        <v>25</v>
      </c>
      <c r="J69" t="s">
        <v>1222</v>
      </c>
      <c r="O69"/>
      <c r="P69" s="771"/>
    </row>
    <row r="70" spans="2:16">
      <c r="D70" t="s">
        <v>1221</v>
      </c>
      <c r="E70" s="365"/>
      <c r="F70" s="365"/>
      <c r="I70">
        <v>150</v>
      </c>
      <c r="J70" t="s">
        <v>1123</v>
      </c>
      <c r="O70"/>
      <c r="P70" s="771"/>
    </row>
    <row r="71" spans="2:16" ht="14.4">
      <c r="B71" s="212"/>
      <c r="C71" s="294"/>
      <c r="D71" s="212"/>
      <c r="E71" s="212"/>
      <c r="F71" s="212"/>
      <c r="O71"/>
      <c r="P71"/>
    </row>
    <row r="72" spans="2:16" ht="14.4">
      <c r="C72" s="56"/>
      <c r="D72" s="56"/>
      <c r="E72" s="56"/>
      <c r="F72" s="56"/>
      <c r="G72" s="771"/>
      <c r="H72" s="771"/>
      <c r="I72" s="771"/>
      <c r="J72" s="771"/>
      <c r="K72" s="771"/>
      <c r="L72" s="771"/>
      <c r="M72" s="771"/>
      <c r="N72" s="771"/>
      <c r="O72" s="771"/>
      <c r="P72"/>
    </row>
    <row r="73" spans="2:16" ht="14.4">
      <c r="C73" s="56"/>
      <c r="D73" s="56"/>
      <c r="E73" s="56"/>
      <c r="F73" s="56"/>
      <c r="O73"/>
      <c r="P73" s="771"/>
    </row>
    <row r="74" spans="2:16" ht="14.4">
      <c r="C74" s="56"/>
      <c r="D74" s="56"/>
      <c r="E74" s="56"/>
      <c r="F74" s="56"/>
      <c r="O74"/>
      <c r="P74" s="771"/>
    </row>
    <row r="75" spans="2:16" ht="14.4">
      <c r="C75" s="56"/>
      <c r="D75" s="56"/>
      <c r="E75" s="56"/>
      <c r="F75" s="56"/>
      <c r="O75"/>
      <c r="P75" s="771"/>
    </row>
    <row r="76" spans="2:16" ht="14.4">
      <c r="C76" s="56"/>
      <c r="D76" s="56"/>
      <c r="E76" s="56"/>
      <c r="F76" s="56"/>
      <c r="O76"/>
      <c r="P76" s="771"/>
    </row>
    <row r="77" spans="2:16" ht="14.4">
      <c r="C77" s="56"/>
      <c r="E77" s="56"/>
      <c r="F77" s="56"/>
      <c r="O77"/>
      <c r="P77"/>
    </row>
    <row r="78" spans="2:16">
      <c r="O78"/>
      <c r="P78"/>
    </row>
    <row r="79" spans="2:16" ht="14.4">
      <c r="E79" s="212"/>
      <c r="F79" s="212"/>
      <c r="O79"/>
      <c r="P79" s="771"/>
    </row>
    <row r="80" spans="2:16" ht="14.4">
      <c r="E80" s="56"/>
      <c r="F80" s="56"/>
      <c r="O80"/>
      <c r="P80" s="771"/>
    </row>
    <row r="81" spans="5:16" ht="14.4">
      <c r="E81" s="56"/>
      <c r="F81" s="56"/>
      <c r="O81"/>
      <c r="P81" s="771"/>
    </row>
    <row r="82" spans="5:16" ht="14.4">
      <c r="E82" s="56"/>
      <c r="F82" s="56"/>
      <c r="O82"/>
      <c r="P82" s="771"/>
    </row>
    <row r="83" spans="5:16" ht="14.4">
      <c r="E83" s="56"/>
      <c r="F83" s="56"/>
      <c r="O83"/>
      <c r="P83"/>
    </row>
    <row r="84" spans="5:16" ht="14.4">
      <c r="E84" s="56"/>
      <c r="F84" s="56"/>
      <c r="O84"/>
      <c r="P84"/>
    </row>
    <row r="85" spans="5:16" ht="14.4">
      <c r="E85" s="56"/>
      <c r="F85" s="56"/>
      <c r="O85"/>
      <c r="P85" s="771"/>
    </row>
    <row r="86" spans="5:16">
      <c r="O86"/>
      <c r="P86" s="771"/>
    </row>
    <row r="87" spans="5:16" ht="14.4">
      <c r="E87" s="212"/>
      <c r="F87" s="212"/>
      <c r="O87"/>
      <c r="P87" s="771"/>
    </row>
    <row r="88" spans="5:16" ht="14.4">
      <c r="E88" s="56"/>
      <c r="F88" s="56"/>
      <c r="O88"/>
      <c r="P88" s="771"/>
    </row>
    <row r="89" spans="5:16" ht="14.4">
      <c r="E89" s="56"/>
      <c r="F89" s="56"/>
      <c r="O89"/>
      <c r="P89"/>
    </row>
    <row r="90" spans="5:16" ht="14.4">
      <c r="E90" s="56"/>
      <c r="F90" s="56"/>
      <c r="O90"/>
      <c r="P90"/>
    </row>
    <row r="91" spans="5:16" ht="14.4">
      <c r="E91" s="56"/>
      <c r="F91" s="56"/>
      <c r="O91"/>
      <c r="P91" s="771"/>
    </row>
    <row r="92" spans="5:16" ht="14.4">
      <c r="E92" s="56"/>
      <c r="F92" s="56"/>
      <c r="O92"/>
      <c r="P92" s="771"/>
    </row>
    <row r="93" spans="5:16" ht="14.4">
      <c r="E93" s="56"/>
      <c r="F93" s="56"/>
      <c r="O93"/>
      <c r="P93" s="771"/>
    </row>
    <row r="94" spans="5:16">
      <c r="E94" s="365"/>
      <c r="F94" s="365"/>
      <c r="O94"/>
      <c r="P94" s="771"/>
    </row>
    <row r="95" spans="5:16">
      <c r="O95"/>
      <c r="P95"/>
    </row>
    <row r="96" spans="5:16">
      <c r="O96"/>
      <c r="P96"/>
    </row>
  </sheetData>
  <mergeCells count="34">
    <mergeCell ref="P79:P82"/>
    <mergeCell ref="P85:P88"/>
    <mergeCell ref="P91:P94"/>
    <mergeCell ref="G60:O60"/>
    <mergeCell ref="P61:P64"/>
    <mergeCell ref="G66:P66"/>
    <mergeCell ref="P67:P70"/>
    <mergeCell ref="G72:O72"/>
    <mergeCell ref="P73:P76"/>
    <mergeCell ref="J59:L59"/>
    <mergeCell ref="B31:E31"/>
    <mergeCell ref="B32:C32"/>
    <mergeCell ref="D32:E32"/>
    <mergeCell ref="B33:B38"/>
    <mergeCell ref="C33:C38"/>
    <mergeCell ref="B41:D41"/>
    <mergeCell ref="B43:G43"/>
    <mergeCell ref="K43:O43"/>
    <mergeCell ref="B44:C44"/>
    <mergeCell ref="D44:E44"/>
    <mergeCell ref="G53:O53"/>
    <mergeCell ref="B24:C24"/>
    <mergeCell ref="D24:E24"/>
    <mergeCell ref="B1:O1"/>
    <mergeCell ref="G3:H3"/>
    <mergeCell ref="I3:J3"/>
    <mergeCell ref="K3:L3"/>
    <mergeCell ref="M3:N3"/>
    <mergeCell ref="B4:E4"/>
    <mergeCell ref="B5:C5"/>
    <mergeCell ref="D5:E5"/>
    <mergeCell ref="B6:B21"/>
    <mergeCell ref="C6:C21"/>
    <mergeCell ref="B23:E23"/>
  </mergeCells>
  <pageMargins left="0.7" right="0.7" top="0.75" bottom="0.75" header="0.3" footer="0.3"/>
  <pageSetup orientation="portrait" r:id="rId1"/>
  <legacyDrawing r:id="rId2"/>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D121-F517-4916-8C9B-58D89EE16964}">
  <dimension ref="A1:T99"/>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JUL-AUG 2022</v>
      </c>
      <c r="B1" s="730" t="str">
        <f ca="1">MID(CELL("filename",B1),FIND("]",CELL("filename",B1))+1,255)</f>
        <v>AUG-SEP 2022</v>
      </c>
      <c r="C1" s="731"/>
      <c r="D1" s="731"/>
      <c r="E1" s="731"/>
      <c r="F1" s="731"/>
      <c r="G1" s="731"/>
      <c r="H1" s="731"/>
      <c r="I1" s="731"/>
      <c r="J1" s="731"/>
      <c r="K1" s="731"/>
      <c r="L1" s="731"/>
      <c r="M1" s="731"/>
      <c r="N1" s="731"/>
      <c r="O1" s="731"/>
      <c r="P1" s="298"/>
      <c r="Q1" s="281"/>
      <c r="R1" s="272"/>
      <c r="S1" s="272"/>
      <c r="T1" s="272"/>
    </row>
    <row r="2" spans="1:20">
      <c r="B2" s="118"/>
      <c r="C2" s="118"/>
      <c r="E2" s="365">
        <f>2742.7-F2</f>
        <v>-433.07000000000062</v>
      </c>
      <c r="F2" s="365">
        <f>2590.53+H4</f>
        <v>3175.7700000000004</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ROUND(O5+O33+O24+IF(O41&lt;0,0,O41)+O42+O4,2) &amp; " / " &amp; "£" &amp; E44</f>
        <v>£920.78 / £5921.38</v>
      </c>
      <c r="E3" s="365">
        <f>2802.81-2787.81</f>
        <v>15</v>
      </c>
      <c r="F3" s="365"/>
      <c r="G3" s="732">
        <v>44798</v>
      </c>
      <c r="H3" s="732"/>
      <c r="I3" s="732">
        <f>G3+7</f>
        <v>44805</v>
      </c>
      <c r="J3" s="732"/>
      <c r="K3" s="732">
        <f>I3+7</f>
        <v>44812</v>
      </c>
      <c r="L3" s="732"/>
      <c r="M3" s="732">
        <f>K3+7</f>
        <v>44819</v>
      </c>
      <c r="N3" s="732"/>
      <c r="O3" s="308">
        <f>22.69+22.68+50.01</f>
        <v>95.38</v>
      </c>
      <c r="P3" s="325" t="s">
        <v>1224</v>
      </c>
      <c r="Q3" s="282"/>
    </row>
    <row r="4" spans="1:20" ht="15" customHeight="1">
      <c r="B4" s="727" t="str">
        <f>_xlfn.CONCAT("Expenses - 50 - ",G44*0.5," / Actual = ",D5," (",ROUND((D5/G44)*100,2),")")</f>
        <v>Expenses - 50 - 2010.84 / Actual = 1834.76666666667 (45.62)</v>
      </c>
      <c r="C4" s="727"/>
      <c r="D4" s="727"/>
      <c r="E4" s="727"/>
      <c r="F4" s="318"/>
      <c r="H4" s="243">
        <f>SUM(H5:H42)</f>
        <v>585.24</v>
      </c>
      <c r="J4" s="243">
        <f>SUM(J5:J42)</f>
        <v>875.8</v>
      </c>
      <c r="L4" s="243">
        <f>SUM(L5:L42)</f>
        <v>257.26</v>
      </c>
      <c r="N4" s="243">
        <f>SUM(N5:N42)</f>
        <v>86.460000000000008</v>
      </c>
      <c r="O4" s="308">
        <f>IF(H43&lt;&gt;"PAID",H4,0)+IF(J43&lt;&gt;"PAID",J4,0)+IF(L43&lt;&gt;"PAID",L4,0)+IF(N43&lt;&gt;"PAID",N4,0)</f>
        <v>0</v>
      </c>
      <c r="P4" s="309" t="s">
        <v>973</v>
      </c>
      <c r="Q4" s="408">
        <f>401.15-O4</f>
        <v>401.15</v>
      </c>
      <c r="R4" s="243"/>
      <c r="S4" s="243"/>
    </row>
    <row r="5" spans="1:20" ht="15" customHeight="1">
      <c r="B5" s="733" t="str">
        <f>IF(D5&gt;E$44*0.5,ROUND(D5-E$44*0.5,2) &amp; " Over",ROUND(E$44*0.5-D5,2) &amp; " Under")</f>
        <v>1125.92 Under</v>
      </c>
      <c r="C5" s="733"/>
      <c r="D5" s="761">
        <f>SUM(F6:F21)</f>
        <v>1834.7666666666667</v>
      </c>
      <c r="E5" s="761"/>
      <c r="F5" s="321"/>
      <c r="G5" s="284"/>
      <c r="H5" s="306"/>
      <c r="I5" s="79"/>
      <c r="J5" s="306"/>
      <c r="K5" s="79"/>
      <c r="L5" s="306"/>
      <c r="M5" s="79"/>
      <c r="N5" s="305"/>
      <c r="O5" s="285">
        <f>SUMIF(O6:O21,"&gt;0")</f>
        <v>89.386666666666656</v>
      </c>
      <c r="P5" s="285" t="s">
        <v>892</v>
      </c>
      <c r="Q5" s="282">
        <f>SUM(Q6:Q21)</f>
        <v>46.620000000000061</v>
      </c>
      <c r="R5" s="243"/>
    </row>
    <row r="6" spans="1:20" ht="15" customHeight="1">
      <c r="B6" s="734" t="str">
        <f>"50%: " &amp; E$44*0.5</f>
        <v>50%: 2960.69</v>
      </c>
      <c r="C6" s="734" t="str">
        <f>ROUND((D5/E$44)*100,2) &amp; "%: " &amp;D5</f>
        <v>30.99%: 1834.76666666667</v>
      </c>
      <c r="D6" s="13" t="s">
        <v>805</v>
      </c>
      <c r="E6" s="365">
        <v>0</v>
      </c>
      <c r="F6" s="374">
        <f>150+19</f>
        <v>169</v>
      </c>
      <c r="G6">
        <f>20.02</f>
        <v>20.02</v>
      </c>
      <c r="H6" s="305">
        <f>73.78</f>
        <v>73.78</v>
      </c>
      <c r="J6">
        <f>20.04+80.46+20.06</f>
        <v>120.56</v>
      </c>
      <c r="L6" s="305"/>
      <c r="N6" s="305"/>
      <c r="O6" s="274">
        <f>SUM(E6:F6)-SUM(G6:N6)</f>
        <v>-45.360000000000014</v>
      </c>
      <c r="P6" s="274" t="str">
        <f t="shared" ref="P6:P21" si="0">D6</f>
        <v>Car Petrol / commuting</v>
      </c>
      <c r="Q6" s="282">
        <f t="shared" ref="Q6:Q21" si="1">IF(O6&lt;0,O6*-1,0)</f>
        <v>45.360000000000014</v>
      </c>
      <c r="R6" s="243"/>
    </row>
    <row r="7" spans="1:20" ht="15" customHeight="1">
      <c r="B7" s="734"/>
      <c r="C7" s="734"/>
      <c r="D7" s="13" t="s">
        <v>169</v>
      </c>
      <c r="E7" s="365">
        <v>8.1999999999999886</v>
      </c>
      <c r="F7" s="365">
        <f>400+45+10</f>
        <v>455</v>
      </c>
      <c r="G7">
        <f>10.37+26.64+8.45</f>
        <v>45.459999999999994</v>
      </c>
      <c r="H7" s="305">
        <f>6.39+16.85+8.59+13.51+9.13+38.86</f>
        <v>93.330000000000013</v>
      </c>
      <c r="J7" s="305">
        <f>11.7+12.19+49.58+13.41+5.7+18.54</f>
        <v>111.12</v>
      </c>
      <c r="K7">
        <f>5.69</f>
        <v>5.69</v>
      </c>
      <c r="L7" s="305">
        <f>3.27+10.12+5+20.35+12.5+8.16+27.88+12.29+15+12.06+9.97+11.9</f>
        <v>148.5</v>
      </c>
      <c r="N7" s="305">
        <f>57.86+2.5</f>
        <v>60.36</v>
      </c>
      <c r="O7" s="274">
        <f>SUM(E7:F7)-SUM(G7:N7)</f>
        <v>-1.2600000000000477</v>
      </c>
      <c r="P7" s="274" t="str">
        <f t="shared" si="0"/>
        <v>Food</v>
      </c>
      <c r="Q7" s="282">
        <f t="shared" si="1"/>
        <v>1.2600000000000477</v>
      </c>
      <c r="R7" s="243"/>
    </row>
    <row r="8" spans="1:20" ht="15" customHeight="1">
      <c r="B8" s="734"/>
      <c r="C8" s="734"/>
      <c r="D8" s="13" t="s">
        <v>153</v>
      </c>
      <c r="E8" s="365">
        <v>6.0500000000000114</v>
      </c>
      <c r="F8" s="365">
        <f>100+60-10.1</f>
        <v>149.9</v>
      </c>
      <c r="H8" s="305">
        <f>8+19</f>
        <v>27</v>
      </c>
      <c r="I8">
        <f>22.12+60</f>
        <v>82.12</v>
      </c>
      <c r="J8" s="362"/>
      <c r="K8">
        <f>20.73</f>
        <v>20.73</v>
      </c>
      <c r="L8" s="305"/>
      <c r="M8">
        <v>26.1</v>
      </c>
      <c r="N8" s="305"/>
      <c r="O8" s="274">
        <f>SUM(E8:F8)-SUM(G8:N8)</f>
        <v>0</v>
      </c>
      <c r="P8" s="274" t="str">
        <f t="shared" si="0"/>
        <v>Luna</v>
      </c>
      <c r="Q8" s="282">
        <f t="shared" si="1"/>
        <v>0</v>
      </c>
    </row>
    <row r="9" spans="1:20" ht="15" customHeight="1">
      <c r="B9" s="734"/>
      <c r="C9" s="734"/>
      <c r="D9" s="13" t="s">
        <v>1079</v>
      </c>
      <c r="E9" s="365">
        <v>10.95</v>
      </c>
      <c r="F9" s="365">
        <f>40-19</f>
        <v>21</v>
      </c>
      <c r="H9" s="305">
        <f>13.47</f>
        <v>13.47</v>
      </c>
      <c r="J9" s="305">
        <f>6.48+12</f>
        <v>18.48</v>
      </c>
      <c r="L9" s="305"/>
      <c r="N9" s="305"/>
      <c r="O9" s="274">
        <f>SUM(E9:F9)-SUM(G9:N9)</f>
        <v>0</v>
      </c>
      <c r="P9" s="274" t="str">
        <f t="shared" si="0"/>
        <v>Creamy</v>
      </c>
      <c r="Q9" s="282">
        <f t="shared" si="1"/>
        <v>0</v>
      </c>
    </row>
    <row r="10" spans="1:20" ht="15" customHeight="1" outlineLevel="1">
      <c r="B10" s="734"/>
      <c r="C10" s="734"/>
      <c r="D10" s="201" t="s">
        <v>595</v>
      </c>
      <c r="E10" s="365">
        <v>0</v>
      </c>
      <c r="F10" s="365">
        <f>452.64</f>
        <v>452.64</v>
      </c>
      <c r="H10" s="305"/>
      <c r="J10" s="305"/>
      <c r="L10" s="305"/>
      <c r="M10">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139</v>
      </c>
      <c r="H11" s="305"/>
      <c r="J11" s="305"/>
      <c r="K11">
        <v>139</v>
      </c>
      <c r="L11" s="305"/>
      <c r="N11" s="305"/>
      <c r="O11" s="274">
        <f t="shared" si="2"/>
        <v>0</v>
      </c>
      <c r="P11" s="274" t="str">
        <f t="shared" si="0"/>
        <v>Council tax</v>
      </c>
      <c r="Q11" s="282">
        <f t="shared" si="1"/>
        <v>0</v>
      </c>
    </row>
    <row r="12" spans="1:20" ht="15" customHeight="1" outlineLevel="1">
      <c r="B12" s="734"/>
      <c r="C12" s="734"/>
      <c r="D12" s="201" t="s">
        <v>1002</v>
      </c>
      <c r="E12" s="365">
        <v>0</v>
      </c>
      <c r="F12" s="365">
        <f>46+107.57+1</f>
        <v>154.57</v>
      </c>
      <c r="H12" s="305"/>
      <c r="I12">
        <f>1+107.57</f>
        <v>108.57</v>
      </c>
      <c r="J12" s="305"/>
      <c r="L12" s="305"/>
      <c r="N12" s="305"/>
      <c r="O12" s="274">
        <f>SUM(E12:F12)-SUM(G12:N12)</f>
        <v>46</v>
      </c>
      <c r="P12" s="274" t="str">
        <f t="shared" si="0"/>
        <v>Utilities (G,W,E,HTB)</v>
      </c>
      <c r="Q12" s="282">
        <f t="shared" si="1"/>
        <v>0</v>
      </c>
    </row>
    <row r="13" spans="1:20" ht="15" customHeight="1" outlineLevel="1">
      <c r="B13" s="734"/>
      <c r="C13" s="734"/>
      <c r="D13" s="201" t="s">
        <v>996</v>
      </c>
      <c r="E13" s="365">
        <v>0</v>
      </c>
      <c r="F13" s="365">
        <f>16.42</f>
        <v>16.420000000000002</v>
      </c>
      <c r="H13" s="305"/>
      <c r="I13">
        <v>16.420000000000002</v>
      </c>
      <c r="J13" s="305"/>
      <c r="L13" s="305"/>
      <c r="N13" s="305"/>
      <c r="O13" s="274">
        <f>SUM(E13:F13)-SUM(G13:N13)</f>
        <v>0</v>
      </c>
      <c r="P13" s="274" t="str">
        <f t="shared" si="0"/>
        <v>Home Insurance</v>
      </c>
      <c r="Q13" s="282">
        <f t="shared" si="1"/>
        <v>0</v>
      </c>
    </row>
    <row r="14" spans="1:20" ht="15" customHeight="1" outlineLevel="1">
      <c r="B14" s="734"/>
      <c r="C14" s="734"/>
      <c r="D14" s="201" t="s">
        <v>359</v>
      </c>
      <c r="E14" s="365">
        <v>0</v>
      </c>
      <c r="F14" s="365">
        <f>41/3</f>
        <v>13.666666666666666</v>
      </c>
      <c r="H14" s="305"/>
      <c r="J14" s="305"/>
      <c r="L14" s="305"/>
      <c r="N14" s="305"/>
      <c r="O14" s="274">
        <f t="shared" si="2"/>
        <v>13.666666666666666</v>
      </c>
      <c r="P14" s="274" t="str">
        <f t="shared" si="0"/>
        <v>TV License</v>
      </c>
      <c r="Q14" s="282">
        <f t="shared" si="1"/>
        <v>0</v>
      </c>
    </row>
    <row r="15" spans="1:20" ht="15" customHeight="1" outlineLevel="1">
      <c r="B15" s="734"/>
      <c r="C15" s="734"/>
      <c r="D15" s="201" t="s">
        <v>1056</v>
      </c>
      <c r="E15" s="365">
        <v>0</v>
      </c>
      <c r="F15" s="365">
        <f>8+36.79+16.6-0.8</f>
        <v>60.59</v>
      </c>
      <c r="H15" s="305"/>
      <c r="I15">
        <f>16.6</f>
        <v>16.600000000000001</v>
      </c>
      <c r="J15" s="305"/>
      <c r="K15">
        <f>8+35.99</f>
        <v>43.99</v>
      </c>
      <c r="L15" s="305"/>
      <c r="N15" s="305"/>
      <c r="O15" s="274">
        <f>SUM(E15:F15)-SUM(G15:N15)</f>
        <v>0</v>
      </c>
      <c r="P15" s="274" t="str">
        <f t="shared" si="0"/>
        <v>Pet Health / Insurance</v>
      </c>
      <c r="Q15" s="282">
        <f t="shared" si="1"/>
        <v>0</v>
      </c>
    </row>
    <row r="16" spans="1:20" ht="15" customHeight="1" outlineLevel="1">
      <c r="B16" s="734"/>
      <c r="C16" s="734"/>
      <c r="D16" s="201" t="s">
        <v>1057</v>
      </c>
      <c r="E16" s="365">
        <v>0</v>
      </c>
      <c r="F16" s="365">
        <f>4.52+15.97+8.56</f>
        <v>29.050000000000004</v>
      </c>
      <c r="H16" s="305"/>
      <c r="I16" s="11">
        <v>29.05</v>
      </c>
      <c r="J16" s="305"/>
      <c r="L16" s="305"/>
      <c r="N16" s="305"/>
      <c r="O16" s="274">
        <f t="shared" si="2"/>
        <v>0</v>
      </c>
      <c r="P16" s="274" t="str">
        <f t="shared" si="0"/>
        <v>Life / Income Insurance</v>
      </c>
      <c r="Q16" s="282">
        <f t="shared" si="1"/>
        <v>0</v>
      </c>
    </row>
    <row r="17" spans="2:17" ht="15" customHeight="1" outlineLevel="1">
      <c r="B17" s="734"/>
      <c r="C17" s="734"/>
      <c r="D17" s="201" t="s">
        <v>602</v>
      </c>
      <c r="E17" s="365">
        <v>28.5</v>
      </c>
      <c r="F17" s="365">
        <v>25</v>
      </c>
      <c r="H17" s="305"/>
      <c r="J17" s="305"/>
      <c r="K17">
        <f>23.78</f>
        <v>23.78</v>
      </c>
      <c r="L17" s="305"/>
      <c r="N17" s="305"/>
      <c r="O17" s="274">
        <f>SUM(E17:F17)-SUM(G17:N17)</f>
        <v>29.72</v>
      </c>
      <c r="P17" s="274" t="str">
        <f t="shared" si="0"/>
        <v>Broadband / TV</v>
      </c>
      <c r="Q17" s="282">
        <f t="shared" si="1"/>
        <v>0</v>
      </c>
    </row>
    <row r="18" spans="2:17" ht="15" customHeight="1" outlineLevel="1">
      <c r="B18" s="734"/>
      <c r="C18" s="734"/>
      <c r="D18" s="201" t="s">
        <v>582</v>
      </c>
      <c r="E18" s="365">
        <v>0</v>
      </c>
      <c r="F18" s="365">
        <v>7.99</v>
      </c>
      <c r="H18" s="305"/>
      <c r="I18">
        <v>7.99</v>
      </c>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f>11.55</f>
        <v>11.55</v>
      </c>
      <c r="H19" s="305"/>
      <c r="I19">
        <v>11.55</v>
      </c>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23.65+34.68+42.5+13.56</f>
        <v>114.39</v>
      </c>
      <c r="H20" s="305"/>
      <c r="I20">
        <f>13.56+34.68+42.5+23.65</f>
        <v>114.39000000000001</v>
      </c>
      <c r="J20" s="305"/>
      <c r="L20" s="305"/>
      <c r="N20" s="305"/>
      <c r="O20" s="274">
        <f>SUM(E20:F20)-SUM(G20:N20)</f>
        <v>0</v>
      </c>
      <c r="P20" s="274" t="str">
        <f t="shared" si="0"/>
        <v>Car Tax / Insurance</v>
      </c>
      <c r="Q20" s="282">
        <f t="shared" si="1"/>
        <v>0</v>
      </c>
    </row>
    <row r="21" spans="2:17" ht="15" customHeight="1" outlineLevel="1">
      <c r="B21" s="734"/>
      <c r="C21" s="734"/>
      <c r="D21" s="201" t="s">
        <v>944</v>
      </c>
      <c r="E21" s="365">
        <v>0</v>
      </c>
      <c r="F21" s="365">
        <v>15</v>
      </c>
      <c r="H21" s="305"/>
      <c r="I21">
        <v>15</v>
      </c>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",G44*0.2," / Actual = ",D24," (",ROUND((D24/G44)*100,2),")")</f>
        <v>Savings - 20 - 804.336 / Actual = 690.48 (17.17)</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SUM(F25:F30)</f>
        <v>690.48</v>
      </c>
      <c r="E24" s="759"/>
      <c r="F24" s="319"/>
      <c r="H24" s="305"/>
      <c r="J24" s="305"/>
      <c r="L24" s="305"/>
      <c r="N24" s="305"/>
      <c r="O24" s="285">
        <f>SUMIF(O25:O29,"&gt;0")</f>
        <v>145.20000000000067</v>
      </c>
      <c r="P24" s="285" t="s">
        <v>895</v>
      </c>
      <c r="Q24" s="282">
        <f>SUM(Q25:Q29)</f>
        <v>0</v>
      </c>
    </row>
    <row r="25" spans="2:17" ht="15" customHeight="1" outlineLevel="1">
      <c r="B25" s="7" t="str">
        <f>"20% : " &amp; E$44*0.2</f>
        <v>20% : 1184.276</v>
      </c>
      <c r="C25" s="7" t="str">
        <f>"20% : " &amp; E$44*0.2</f>
        <v>20% : 1184.276</v>
      </c>
      <c r="D25" s="300" t="s">
        <v>590</v>
      </c>
      <c r="E25" s="365">
        <f>22.8100000000007+55+0.8</f>
        <v>78.610000000000696</v>
      </c>
      <c r="F25" s="365">
        <f>75</f>
        <v>75</v>
      </c>
      <c r="H25" s="305">
        <f>5</f>
        <v>5</v>
      </c>
      <c r="J25" s="305"/>
      <c r="L25" s="315"/>
      <c r="N25" s="305"/>
      <c r="O25" s="274">
        <f>SUM(E25:F25)-SUM(G25:N25)-Q44</f>
        <v>45.200000000000671</v>
      </c>
      <c r="P25" s="274" t="str">
        <f t="shared" ref="P25:P30" si="3">D25</f>
        <v>Contingency</v>
      </c>
      <c r="Q25" s="282">
        <v>0</v>
      </c>
    </row>
    <row r="26" spans="2:17" ht="15" customHeight="1" outlineLevel="1">
      <c r="B26" s="7"/>
      <c r="C26" s="7"/>
      <c r="D26" s="300" t="s">
        <v>998</v>
      </c>
      <c r="E26" s="365">
        <v>0</v>
      </c>
      <c r="F26" s="365">
        <v>100</v>
      </c>
      <c r="G26" s="11"/>
      <c r="H26" s="306"/>
      <c r="J26" s="305"/>
      <c r="L26" s="305"/>
      <c r="N26" s="305"/>
      <c r="O26" s="274">
        <f>SUM(E26:F26)-SUM(G26:N26)</f>
        <v>100</v>
      </c>
      <c r="P26" s="274" t="str">
        <f t="shared" si="3"/>
        <v>Cars (Service / MOT)</v>
      </c>
      <c r="Q26" s="282">
        <f t="shared" ref="Q26:Q30" si="4">IF(O26&lt;0,O26*-1,0)</f>
        <v>0</v>
      </c>
    </row>
    <row r="27" spans="2:17" ht="15" customHeight="1" outlineLevel="1">
      <c r="B27" s="7"/>
      <c r="C27" s="7"/>
      <c r="D27" s="300" t="s">
        <v>1135</v>
      </c>
      <c r="E27" s="365">
        <v>0</v>
      </c>
      <c r="F27" s="365">
        <f>25-0.24</f>
        <v>24.76</v>
      </c>
      <c r="G27" s="11"/>
      <c r="H27" s="306"/>
      <c r="J27" s="305">
        <v>24.76</v>
      </c>
      <c r="L27" s="305"/>
      <c r="N27" s="305"/>
      <c r="O27" s="274">
        <f>SUM(E27:F27)-SUM(G27:N27)</f>
        <v>0</v>
      </c>
      <c r="P27" s="274" t="str">
        <f t="shared" si="3"/>
        <v>Investment</v>
      </c>
      <c r="Q27" s="282">
        <f t="shared" si="4"/>
        <v>0</v>
      </c>
    </row>
    <row r="28" spans="2:17" ht="15" customHeight="1" outlineLevel="1">
      <c r="B28" s="7"/>
      <c r="C28" s="7"/>
      <c r="D28" s="300" t="s">
        <v>999</v>
      </c>
      <c r="E28" s="365">
        <v>0</v>
      </c>
      <c r="F28" s="365">
        <v>0</v>
      </c>
      <c r="G28" s="11"/>
      <c r="H28" s="306"/>
      <c r="J28" s="305"/>
      <c r="L28" s="305"/>
      <c r="N28" s="305"/>
      <c r="O28" s="274">
        <f t="shared" ref="O28:O30" si="5">SUM(E28:F28)-SUM(G28:N28)</f>
        <v>0</v>
      </c>
      <c r="P28" s="274" t="str">
        <f t="shared" si="3"/>
        <v>Mortgage Overpayment</v>
      </c>
      <c r="Q28" s="282">
        <f t="shared" si="4"/>
        <v>0</v>
      </c>
    </row>
    <row r="29" spans="2:17" ht="15" customHeight="1" outlineLevel="1">
      <c r="B29" s="7"/>
      <c r="C29" s="7"/>
      <c r="D29" s="300" t="s">
        <v>814</v>
      </c>
      <c r="E29" s="365">
        <v>1046.05</v>
      </c>
      <c r="F29" s="365">
        <v>490.72</v>
      </c>
      <c r="G29" s="11">
        <v>1536.77</v>
      </c>
      <c r="H29" s="306"/>
      <c r="J29" s="305"/>
      <c r="L29" s="305"/>
      <c r="N29" s="305"/>
      <c r="O29" s="274">
        <f t="shared" si="5"/>
        <v>0</v>
      </c>
      <c r="P29" s="274" t="str">
        <f t="shared" si="3"/>
        <v>CC</v>
      </c>
      <c r="Q29" s="282">
        <f t="shared" si="4"/>
        <v>0</v>
      </c>
    </row>
    <row r="30" spans="2:17" ht="15" customHeight="1" outlineLevel="1">
      <c r="B30" s="7"/>
      <c r="C30" s="7"/>
      <c r="D30" s="300" t="s">
        <v>1225</v>
      </c>
      <c r="E30" s="365">
        <v>0</v>
      </c>
      <c r="F30" s="365">
        <v>0</v>
      </c>
      <c r="G30" s="11"/>
      <c r="H30" s="306"/>
      <c r="J30" s="305"/>
      <c r="L30" s="305"/>
      <c r="N30" s="305"/>
      <c r="O30" s="274">
        <f t="shared" si="5"/>
        <v>0</v>
      </c>
      <c r="P30" s="274" t="str">
        <f t="shared" si="3"/>
        <v>Tesco Finance</v>
      </c>
      <c r="Q30" s="282">
        <f t="shared" si="4"/>
        <v>0</v>
      </c>
    </row>
    <row r="31" spans="2:17" ht="15" customHeight="1">
      <c r="B31" s="118"/>
      <c r="C31" s="118"/>
      <c r="E31" s="365"/>
      <c r="F31" s="365"/>
      <c r="H31" s="305"/>
      <c r="J31" s="305"/>
      <c r="L31" s="305"/>
      <c r="N31" s="305"/>
      <c r="O31" s="273"/>
      <c r="P31" s="273"/>
      <c r="Q31" s="282"/>
    </row>
    <row r="32" spans="2:17" ht="15" customHeight="1">
      <c r="B32" s="727" t="str">
        <f>_xlfn.CONCAT("Wants - 30 - ",G44*0.3," / Actual = ",D33," (",ROUND((D33/G44)*100,2),")")</f>
        <v>Wants - 30 - 1206.504 / Actual = 1622.28333333333 (40.34)</v>
      </c>
      <c r="C32" s="727"/>
      <c r="D32" s="727"/>
      <c r="E32" s="727"/>
      <c r="F32" s="318"/>
      <c r="H32" s="305"/>
      <c r="J32" s="305"/>
      <c r="L32" s="305"/>
      <c r="N32" s="305"/>
      <c r="O32" s="273"/>
      <c r="P32" s="273"/>
      <c r="Q32" s="282"/>
    </row>
    <row r="33" spans="2:19" ht="15" customHeight="1">
      <c r="B33" s="727" t="str">
        <f>IF(ISNUMBER((SEARCH("Over",B$5))),"Operating under budget","Operating over budget")</f>
        <v>Operating over budget</v>
      </c>
      <c r="C33" s="727"/>
      <c r="D33" s="759">
        <f>(E$44-D5-D24-E43)</f>
        <v>1622.2833333333338</v>
      </c>
      <c r="E33" s="727"/>
      <c r="F33" s="319">
        <f>SUM(F34:F41)</f>
        <v>1622.2833333333338</v>
      </c>
      <c r="H33" s="305"/>
      <c r="J33" s="305"/>
      <c r="L33" s="305"/>
      <c r="N33" s="305"/>
      <c r="O33" s="285">
        <f>SUMIF(O34:O40,"&gt;0")</f>
        <v>685.28</v>
      </c>
      <c r="P33" s="285" t="s">
        <v>899</v>
      </c>
      <c r="Q33" s="282">
        <f>SUM(Q34:Q41)</f>
        <v>56.789999999999964</v>
      </c>
    </row>
    <row r="34" spans="2:19" ht="15" customHeight="1" outlineLevel="1">
      <c r="B34" s="734"/>
      <c r="C34" s="760"/>
      <c r="D34" s="300" t="s">
        <v>873</v>
      </c>
      <c r="E34" s="365">
        <v>0</v>
      </c>
      <c r="F34" s="365">
        <v>0</v>
      </c>
      <c r="H34" s="305"/>
      <c r="J34" s="305"/>
      <c r="L34" s="305"/>
      <c r="N34" s="305"/>
      <c r="O34" s="274">
        <f t="shared" ref="O34:O39" si="6">SUM(E34:F34)-SUM(G34:N34)</f>
        <v>0</v>
      </c>
      <c r="P34" s="274" t="str">
        <f t="shared" ref="P34:P42" si="7">D34</f>
        <v>Maldives</v>
      </c>
      <c r="Q34" s="282">
        <f t="shared" ref="Q34:Q39" si="8">IF(O34&lt;0,O34*-1,0)</f>
        <v>0</v>
      </c>
      <c r="R34" s="11"/>
      <c r="S34" s="11"/>
    </row>
    <row r="35" spans="2:19" ht="15" customHeight="1" outlineLevel="1">
      <c r="B35" s="734"/>
      <c r="C35" s="760"/>
      <c r="D35" s="300" t="s">
        <v>867</v>
      </c>
      <c r="E35" s="365">
        <f>100+1.31</f>
        <v>101.31</v>
      </c>
      <c r="F35" s="365">
        <f>150+0.24</f>
        <v>150.24</v>
      </c>
      <c r="H35" s="305"/>
      <c r="J35" s="305">
        <f>44.79+13.98+33.4+3.2+11+3.2+13.2+145.8+18.9+2.5+4.39+2.5+11.48</f>
        <v>308.33999999999997</v>
      </c>
      <c r="L35" s="305"/>
      <c r="N35" s="305"/>
      <c r="O35" s="274">
        <f t="shared" si="6"/>
        <v>-56.789999999999964</v>
      </c>
      <c r="P35" s="274" t="str">
        <f t="shared" si="7"/>
        <v>London</v>
      </c>
      <c r="Q35" s="282">
        <f t="shared" si="8"/>
        <v>56.789999999999964</v>
      </c>
      <c r="R35" s="11"/>
      <c r="S35" s="11"/>
    </row>
    <row r="36" spans="2:19" ht="15" customHeight="1" outlineLevel="1">
      <c r="B36" s="734"/>
      <c r="C36" s="760"/>
      <c r="D36" s="300" t="s">
        <v>1226</v>
      </c>
      <c r="E36" s="365">
        <v>0</v>
      </c>
      <c r="F36" s="365">
        <f>200+20-3.09</f>
        <v>216.91</v>
      </c>
      <c r="H36" s="305"/>
      <c r="J36" s="305"/>
      <c r="L36" s="305">
        <f>50.01</f>
        <v>50.01</v>
      </c>
      <c r="M36">
        <f>10+23.7+50.38+56.72</f>
        <v>140.80000000000001</v>
      </c>
      <c r="N36" s="305">
        <f>26.1</f>
        <v>26.1</v>
      </c>
      <c r="O36" s="274">
        <f t="shared" si="6"/>
        <v>0</v>
      </c>
      <c r="P36" s="274" t="str">
        <f t="shared" si="7"/>
        <v>Lakes</v>
      </c>
      <c r="Q36" s="282">
        <f t="shared" si="8"/>
        <v>0</v>
      </c>
      <c r="R36" s="11"/>
      <c r="S36" s="11"/>
    </row>
    <row r="37" spans="2:19" ht="15" customHeight="1" outlineLevel="1">
      <c r="B37" s="734"/>
      <c r="C37" s="760"/>
      <c r="D37" s="300" t="s">
        <v>606</v>
      </c>
      <c r="E37" s="365">
        <f>100-1.31</f>
        <v>98.69</v>
      </c>
      <c r="F37" s="365">
        <v>0</v>
      </c>
      <c r="G37">
        <f>74.95</f>
        <v>74.95</v>
      </c>
      <c r="H37" s="305">
        <v>17</v>
      </c>
      <c r="J37" s="305">
        <f>6.74</f>
        <v>6.74</v>
      </c>
      <c r="L37" s="305"/>
      <c r="N37" s="305"/>
      <c r="O37" s="274">
        <f t="shared" si="6"/>
        <v>0</v>
      </c>
      <c r="P37" s="274" t="str">
        <f t="shared" si="7"/>
        <v>Car</v>
      </c>
      <c r="Q37" s="282">
        <f t="shared" si="8"/>
        <v>0</v>
      </c>
      <c r="R37" s="11"/>
      <c r="S37" s="11"/>
    </row>
    <row r="38" spans="2:19" ht="15" customHeight="1" outlineLevel="1">
      <c r="B38" s="734"/>
      <c r="C38" s="760"/>
      <c r="D38" s="300" t="s">
        <v>797</v>
      </c>
      <c r="E38" s="365">
        <v>0</v>
      </c>
      <c r="F38" s="365">
        <v>450</v>
      </c>
      <c r="H38" s="305"/>
      <c r="J38" s="305"/>
      <c r="L38" s="305"/>
      <c r="N38" s="305"/>
      <c r="O38" s="274">
        <f t="shared" si="6"/>
        <v>450</v>
      </c>
      <c r="P38" s="274" t="str">
        <f t="shared" si="7"/>
        <v>Bali</v>
      </c>
      <c r="Q38" s="282">
        <f t="shared" si="8"/>
        <v>0</v>
      </c>
      <c r="R38" s="11"/>
      <c r="S38" s="11"/>
    </row>
    <row r="39" spans="2:19" ht="15" customHeight="1" outlineLevel="1">
      <c r="B39" s="734"/>
      <c r="C39" s="760"/>
      <c r="D39" s="300" t="s">
        <v>170</v>
      </c>
      <c r="E39" s="365">
        <v>362.62</v>
      </c>
      <c r="F39" s="365">
        <f>263+150</f>
        <v>413</v>
      </c>
      <c r="H39" s="305">
        <f>18.99+50</f>
        <v>68.989999999999995</v>
      </c>
      <c r="J39" s="305">
        <f>32.1+30.05+132+88</f>
        <v>282.14999999999998</v>
      </c>
      <c r="K39">
        <f>60+54+20</f>
        <v>134</v>
      </c>
      <c r="L39" s="305">
        <f>54.1+10.1+-9</f>
        <v>55.2</v>
      </c>
      <c r="N39" s="305"/>
      <c r="O39" s="274">
        <f t="shared" si="6"/>
        <v>235.27999999999997</v>
      </c>
      <c r="P39" s="274" t="str">
        <f t="shared" si="7"/>
        <v>Gift Fund</v>
      </c>
      <c r="Q39" s="282">
        <f t="shared" si="8"/>
        <v>0</v>
      </c>
      <c r="R39" s="11"/>
      <c r="S39" s="11"/>
    </row>
    <row r="40" spans="2:19" ht="15.75" customHeight="1" outlineLevel="1">
      <c r="B40" s="734"/>
      <c r="C40" s="760"/>
      <c r="D40" s="13" t="s">
        <v>781</v>
      </c>
      <c r="E40" s="365">
        <v>2.990000000000002</v>
      </c>
      <c r="F40" s="365">
        <f>13+2+6.99+10.99+2.99+25</f>
        <v>60.970000000000006</v>
      </c>
      <c r="G40">
        <f>2.99</f>
        <v>2.99</v>
      </c>
      <c r="H40" s="305"/>
      <c r="I40">
        <f>13+2+10.99+25+6.99</f>
        <v>57.980000000000004</v>
      </c>
      <c r="J40" s="305"/>
      <c r="K40">
        <v>2.99</v>
      </c>
      <c r="L40" s="305"/>
      <c r="N40" s="305"/>
      <c r="O40" s="274">
        <f t="shared" ref="O40" si="9">SUM(E40:F40)-SUM(G40:N40)</f>
        <v>0</v>
      </c>
      <c r="P40" s="274" t="str">
        <f t="shared" si="7"/>
        <v>Subscriptions</v>
      </c>
      <c r="Q40" s="282">
        <f>IF(O40&lt;0,O40*-1,0)</f>
        <v>0</v>
      </c>
      <c r="S40" s="349"/>
    </row>
    <row r="41" spans="2:19" ht="18" outlineLevel="1">
      <c r="B41" s="734"/>
      <c r="C41" s="760"/>
      <c r="D41" s="13" t="s">
        <v>922</v>
      </c>
      <c r="E41" s="365">
        <v>29.88</v>
      </c>
      <c r="F41" s="365">
        <f>(D33-SUM(F34:F40))-F42</f>
        <v>331.16333333333364</v>
      </c>
      <c r="G41">
        <f>20+9.99+8.7+1.98</f>
        <v>40.669999999999995</v>
      </c>
      <c r="H41" s="305">
        <f>11.96+37.4+15.49+7+7.99+18.69+20.9+5.35+51.68+3.9+2+1.95+22+6.1+-11.96+7.99+36.98+38.4+2.85</f>
        <v>286.66999999999996</v>
      </c>
      <c r="I41">
        <f>4.5</f>
        <v>4.5</v>
      </c>
      <c r="J41" s="305">
        <f>3.65</f>
        <v>3.65</v>
      </c>
      <c r="K41">
        <f>8.99+5.05</f>
        <v>14.04</v>
      </c>
      <c r="L41" s="305">
        <f>3.55</f>
        <v>3.55</v>
      </c>
      <c r="M41">
        <f>3.55+3.5</f>
        <v>7.05</v>
      </c>
      <c r="N41" s="305"/>
      <c r="O41" s="274">
        <f>SUM(E41:F41)-SUM(G41:N41)</f>
        <v>0.91333333333363953</v>
      </c>
      <c r="P41" s="274" t="str">
        <f t="shared" si="7"/>
        <v>Matt Fun</v>
      </c>
      <c r="Q41" s="282">
        <f>IF(SUM(E41:F41)-SUM(G41:N41)&lt;=0,(SUM(E41:F41)-SUM(G41:N41))*-1,0)</f>
        <v>0</v>
      </c>
    </row>
    <row r="42" spans="2:19" ht="18" outlineLevel="1">
      <c r="B42" s="7"/>
      <c r="C42" s="284"/>
      <c r="D42" s="13" t="s">
        <v>152</v>
      </c>
      <c r="E42" s="365">
        <v>0</v>
      </c>
      <c r="F42" s="365">
        <v>0</v>
      </c>
      <c r="H42" s="305"/>
      <c r="J42" s="305"/>
      <c r="L42" s="305"/>
      <c r="N42" s="305"/>
      <c r="O42" s="274">
        <f>SUM(E42:F42)-SUM(G42:N42)</f>
        <v>0</v>
      </c>
      <c r="P42" s="274" t="str">
        <f t="shared" si="7"/>
        <v>Kris</v>
      </c>
      <c r="Q42" s="271">
        <f>IF(F42-SUM(G42:N42)&lt;=0,(F42-SUM(G42:N42))*-1,0)</f>
        <v>0</v>
      </c>
    </row>
    <row r="43" spans="2:19">
      <c r="B43" s="118"/>
      <c r="C43" s="118"/>
      <c r="E43" s="365">
        <f>SUM(E34:E42)+SUM(E25:E29)+SUM(E6:E21)</f>
        <v>1773.8500000000008</v>
      </c>
      <c r="F43" s="365"/>
      <c r="H43" s="7" t="s">
        <v>986</v>
      </c>
      <c r="J43" s="7" t="s">
        <v>986</v>
      </c>
      <c r="L43" s="7" t="s">
        <v>986</v>
      </c>
      <c r="N43" s="7" t="s">
        <v>986</v>
      </c>
      <c r="O43" s="273"/>
      <c r="P43" s="273"/>
      <c r="Q43" s="282"/>
    </row>
    <row r="44" spans="2:19" ht="18">
      <c r="B44" s="728" t="s">
        <v>817</v>
      </c>
      <c r="C44" s="728"/>
      <c r="D44" s="728"/>
      <c r="E44" s="375">
        <f>G44+I44+K44+M44+N44+E43</f>
        <v>5921.380000000001</v>
      </c>
      <c r="F44" s="379"/>
      <c r="G44" s="271">
        <f>2414.99+556.69+980+50+20</f>
        <v>4021.68</v>
      </c>
      <c r="H44" s="271"/>
      <c r="I44" s="271"/>
      <c r="J44" s="271"/>
      <c r="K44" s="271"/>
      <c r="L44" s="271"/>
      <c r="M44" s="271">
        <f>25.85+100</f>
        <v>125.85</v>
      </c>
      <c r="N44" s="271"/>
      <c r="O44" s="314" t="str">
        <f>"£" &amp; ROUND(O5+O33+O24+IF(O41&lt;0,0,O41)+O42+O4,2) &amp; " / " &amp; "£" &amp; E44</f>
        <v>£920.78 / £5921.38</v>
      </c>
      <c r="P44" s="274"/>
      <c r="Q44" s="282">
        <f>SUM(Q33,Q24,Q5)</f>
        <v>103.41000000000003</v>
      </c>
    </row>
    <row r="45" spans="2:19">
      <c r="B45" s="118"/>
      <c r="C45" s="7"/>
      <c r="E45" s="365"/>
      <c r="F45" s="365"/>
      <c r="G45" s="365"/>
      <c r="H45" s="365"/>
    </row>
    <row r="46" spans="2:19" ht="14.4">
      <c r="B46" s="729"/>
      <c r="C46" s="729"/>
      <c r="D46" s="729"/>
      <c r="E46" s="729"/>
      <c r="F46" s="729"/>
      <c r="G46" s="729"/>
      <c r="H46" s="297"/>
      <c r="K46" s="729"/>
      <c r="L46" s="729"/>
      <c r="M46" s="729"/>
      <c r="N46" s="729"/>
      <c r="O46" s="729"/>
      <c r="P46" s="297"/>
    </row>
    <row r="47" spans="2:19" ht="15" customHeight="1">
      <c r="B47" s="726" t="s">
        <v>955</v>
      </c>
      <c r="C47" s="726"/>
      <c r="D47" s="726"/>
      <c r="E47" s="726"/>
      <c r="F47" s="348"/>
      <c r="K47" s="212"/>
      <c r="L47" s="212"/>
      <c r="N47" s="118" t="s">
        <v>991</v>
      </c>
      <c r="O47" s="316">
        <v>44823</v>
      </c>
      <c r="P47" s="7">
        <f ca="1">DATEDIF(O47,NOW(),"d")</f>
        <v>1428</v>
      </c>
      <c r="Q47">
        <v>56.72</v>
      </c>
      <c r="R47" t="s">
        <v>1234</v>
      </c>
      <c r="S47">
        <v>3226.28</v>
      </c>
    </row>
    <row r="48" spans="2:19">
      <c r="B48" s="365"/>
      <c r="C48" s="38"/>
      <c r="E48" s="284"/>
      <c r="F48" s="11"/>
      <c r="G48" s="367"/>
      <c r="H48" s="243"/>
      <c r="K48" s="11"/>
      <c r="N48" s="322" t="s">
        <v>992</v>
      </c>
      <c r="O48" s="42">
        <v>44819</v>
      </c>
      <c r="P48" s="7">
        <f ca="1">DATEDIF(O48,NOW(),"d")</f>
        <v>1432</v>
      </c>
      <c r="Q48">
        <v>11.9</v>
      </c>
      <c r="R48" t="s">
        <v>1233</v>
      </c>
      <c r="S48">
        <v>1703.09</v>
      </c>
    </row>
    <row r="49" spans="2:17">
      <c r="E49" s="365"/>
      <c r="F49" s="365"/>
      <c r="G49" s="11"/>
      <c r="H49" s="243"/>
      <c r="I49" s="243"/>
      <c r="L49" s="243"/>
      <c r="O49"/>
      <c r="P49"/>
    </row>
    <row r="50" spans="2:17" ht="16.2" customHeight="1">
      <c r="E50" s="384"/>
      <c r="F50" s="278"/>
      <c r="G50" s="213">
        <v>81</v>
      </c>
      <c r="H50" s="373" t="s">
        <v>724</v>
      </c>
      <c r="I50" s="213"/>
      <c r="J50" s="213"/>
      <c r="K50" s="213" t="s">
        <v>152</v>
      </c>
      <c r="L50" s="243"/>
      <c r="M50" s="243">
        <f>81+O17+O35+O6</f>
        <v>8.5700000000000216</v>
      </c>
      <c r="O50" s="292"/>
      <c r="P50" s="212"/>
    </row>
    <row r="51" spans="2:17">
      <c r="B51" s="378"/>
      <c r="E51" s="343"/>
      <c r="F51" s="361"/>
      <c r="G51" s="407">
        <f>20+40+60+20</f>
        <v>140</v>
      </c>
      <c r="H51" t="s">
        <v>1228</v>
      </c>
      <c r="L51" s="243" t="s">
        <v>122</v>
      </c>
      <c r="P51" s="56"/>
    </row>
    <row r="52" spans="2:17" ht="14.4">
      <c r="E52" s="343"/>
      <c r="F52" s="361"/>
      <c r="G52">
        <v>175</v>
      </c>
      <c r="H52" t="s">
        <v>1229</v>
      </c>
      <c r="L52" s="734" t="s">
        <v>1232</v>
      </c>
      <c r="M52" s="243"/>
      <c r="P52"/>
    </row>
    <row r="53" spans="2:17">
      <c r="E53" s="384"/>
      <c r="F53" s="361"/>
      <c r="G53">
        <v>200</v>
      </c>
      <c r="H53" t="s">
        <v>1230</v>
      </c>
      <c r="K53" t="s">
        <v>98</v>
      </c>
      <c r="L53" s="734"/>
      <c r="P53" s="212"/>
      <c r="Q53" s="212"/>
    </row>
    <row r="54" spans="2:17" ht="15" customHeight="1">
      <c r="E54" s="284"/>
      <c r="F54" s="361"/>
      <c r="K54">
        <v>88</v>
      </c>
      <c r="L54" s="734"/>
      <c r="O54" s="343"/>
      <c r="P54" s="56"/>
      <c r="Q54" s="38"/>
    </row>
    <row r="55" spans="2:17">
      <c r="E55" s="365"/>
      <c r="F55" s="360"/>
      <c r="O55"/>
      <c r="P55"/>
    </row>
    <row r="56" spans="2:17" ht="15" customHeight="1">
      <c r="E56" s="360"/>
      <c r="F56" s="360"/>
      <c r="J56">
        <f>132+88</f>
        <v>220</v>
      </c>
      <c r="K56">
        <v>22.69</v>
      </c>
      <c r="L56" t="s">
        <v>1235</v>
      </c>
      <c r="O56"/>
      <c r="P56"/>
    </row>
    <row r="57" spans="2:17">
      <c r="E57" s="365"/>
      <c r="F57" s="383"/>
      <c r="O57"/>
      <c r="P57"/>
    </row>
    <row r="58" spans="2:17">
      <c r="B58" s="11"/>
      <c r="E58"/>
      <c r="F58" s="384"/>
      <c r="I58" s="243"/>
      <c r="O58"/>
      <c r="P58"/>
    </row>
    <row r="59" spans="2:17" ht="14.4">
      <c r="B59" s="11"/>
      <c r="E59"/>
      <c r="F59" s="79"/>
      <c r="H59" t="s">
        <v>1236</v>
      </c>
      <c r="O59"/>
      <c r="P59"/>
    </row>
    <row r="60" spans="2:17" ht="14.4">
      <c r="E60"/>
      <c r="F60" s="79"/>
      <c r="H60" t="s">
        <v>1237</v>
      </c>
      <c r="O60"/>
      <c r="P60"/>
    </row>
    <row r="61" spans="2:17" ht="14.4">
      <c r="B61" s="212"/>
      <c r="C61" s="212"/>
      <c r="E61"/>
      <c r="F61" s="7"/>
      <c r="O61"/>
      <c r="P61"/>
    </row>
    <row r="62" spans="2:17" ht="14.4">
      <c r="C62" s="56"/>
      <c r="D62" s="243"/>
      <c r="E62"/>
      <c r="F62"/>
      <c r="J62" s="771"/>
      <c r="K62" s="771"/>
      <c r="L62" s="771"/>
      <c r="O62"/>
      <c r="P62"/>
    </row>
    <row r="63" spans="2:17" ht="15.75" customHeight="1">
      <c r="C63" s="56"/>
      <c r="E63"/>
      <c r="F63"/>
      <c r="G63" s="771"/>
      <c r="H63" s="771"/>
      <c r="I63" s="771"/>
      <c r="J63" s="771"/>
      <c r="K63" s="771"/>
      <c r="L63" s="771"/>
      <c r="M63" s="771"/>
      <c r="N63" s="771"/>
      <c r="O63" s="771"/>
      <c r="P63"/>
    </row>
    <row r="64" spans="2:17" ht="14.4">
      <c r="C64" s="56"/>
      <c r="E64"/>
      <c r="F64"/>
      <c r="H64" s="726" t="s">
        <v>332</v>
      </c>
      <c r="I64" s="726"/>
      <c r="O64"/>
      <c r="P64"/>
    </row>
    <row r="65" spans="2:18" ht="14.4">
      <c r="C65" s="56"/>
      <c r="E65"/>
      <c r="F65"/>
      <c r="H65" t="s">
        <v>871</v>
      </c>
      <c r="I65">
        <v>13</v>
      </c>
      <c r="O65"/>
      <c r="P65"/>
    </row>
    <row r="66" spans="2:18" ht="14.4">
      <c r="C66" s="56"/>
      <c r="E66" s="243"/>
      <c r="F66"/>
      <c r="H66" t="s">
        <v>873</v>
      </c>
      <c r="I66">
        <v>6.5</v>
      </c>
      <c r="K66" s="243"/>
      <c r="O66"/>
      <c r="P66"/>
    </row>
    <row r="67" spans="2:18" ht="14.4">
      <c r="C67" s="56"/>
      <c r="D67" s="243"/>
      <c r="E67"/>
      <c r="F67"/>
      <c r="H67" t="s">
        <v>129</v>
      </c>
      <c r="I67">
        <v>5.5</v>
      </c>
      <c r="O67"/>
      <c r="P67"/>
    </row>
    <row r="68" spans="2:18" ht="14.4">
      <c r="C68" s="56"/>
      <c r="E68"/>
      <c r="F68"/>
      <c r="O68"/>
      <c r="P68"/>
    </row>
    <row r="69" spans="2:18" ht="14.4">
      <c r="C69" s="56"/>
      <c r="E69" s="347"/>
      <c r="F69"/>
      <c r="G69" s="771"/>
      <c r="H69" s="771"/>
      <c r="I69" s="771"/>
      <c r="J69" s="771"/>
      <c r="K69" s="771"/>
      <c r="L69" s="771"/>
      <c r="M69" s="771"/>
      <c r="N69" s="771"/>
      <c r="O69" s="771"/>
      <c r="P69" s="771"/>
    </row>
    <row r="70" spans="2:18" ht="14.4">
      <c r="C70" s="56"/>
      <c r="E70" s="332"/>
      <c r="F70" s="332"/>
      <c r="O70"/>
      <c r="P70"/>
    </row>
    <row r="71" spans="2:18" ht="14.4">
      <c r="C71" s="56"/>
      <c r="E71"/>
      <c r="F71"/>
      <c r="G71" s="726" t="s">
        <v>1239</v>
      </c>
      <c r="H71" s="726"/>
      <c r="I71" s="726"/>
      <c r="J71" s="726"/>
      <c r="K71" s="726"/>
      <c r="L71" s="726"/>
      <c r="M71" s="726"/>
      <c r="O71"/>
      <c r="P71"/>
    </row>
    <row r="72" spans="2:18" ht="14.4">
      <c r="C72" s="56"/>
      <c r="E72"/>
      <c r="F72"/>
      <c r="G72" t="s">
        <v>1238</v>
      </c>
      <c r="H72">
        <v>152</v>
      </c>
      <c r="I72">
        <v>26.055</v>
      </c>
      <c r="J72">
        <f>ROUND((H72*I72)/100,2)</f>
        <v>39.6</v>
      </c>
      <c r="K72" s="734">
        <f>SUM(J72:J73) + ROUND(SUM(J72:J73)*0.05,2)</f>
        <v>56.63</v>
      </c>
      <c r="L72" s="734">
        <f>SUM(K72:K76)</f>
        <v>76.69</v>
      </c>
      <c r="M72" s="734">
        <f>L78-L72</f>
        <v>18.580000000000013</v>
      </c>
      <c r="O72"/>
      <c r="P72"/>
      <c r="Q72" t="s">
        <v>1244</v>
      </c>
    </row>
    <row r="73" spans="2:18">
      <c r="E73" s="365"/>
      <c r="F73" s="365"/>
      <c r="H73">
        <v>31</v>
      </c>
      <c r="I73">
        <v>46.216000000000001</v>
      </c>
      <c r="J73">
        <f>ROUND((H73*I73)/100,2)</f>
        <v>14.33</v>
      </c>
      <c r="K73" s="734"/>
      <c r="L73" s="734"/>
      <c r="M73" s="734"/>
      <c r="N73" t="s">
        <v>1241</v>
      </c>
      <c r="O73" t="s">
        <v>1242</v>
      </c>
      <c r="P73" t="s">
        <v>1243</v>
      </c>
      <c r="Q73">
        <v>240</v>
      </c>
    </row>
    <row r="74" spans="2:18" ht="14.4">
      <c r="B74" s="212"/>
      <c r="C74" s="294"/>
      <c r="D74" s="212"/>
      <c r="E74" s="212"/>
      <c r="F74" s="212"/>
      <c r="L74" s="734"/>
      <c r="M74" s="734"/>
      <c r="N74">
        <v>107</v>
      </c>
      <c r="O74">
        <v>100</v>
      </c>
      <c r="P74" s="7">
        <f>(O74-N74)*-1</f>
        <v>7</v>
      </c>
      <c r="Q74">
        <f t="shared" ref="Q74:Q79" si="10">Q73+P74</f>
        <v>247</v>
      </c>
      <c r="R74" t="s">
        <v>277</v>
      </c>
    </row>
    <row r="75" spans="2:18" ht="14.4">
      <c r="C75" s="56"/>
      <c r="D75" s="56"/>
      <c r="E75" s="56"/>
      <c r="F75" s="56"/>
      <c r="G75" t="s">
        <v>599</v>
      </c>
      <c r="H75">
        <v>159.5</v>
      </c>
      <c r="I75">
        <v>6.9329999999999998</v>
      </c>
      <c r="J75">
        <f>ROUND((H75*I75)/100,2)</f>
        <v>11.06</v>
      </c>
      <c r="K75" s="734">
        <f>SUM(J75:J76) + ROUND(SUM(J75:J76)*0.05,2)</f>
        <v>20.060000000000002</v>
      </c>
      <c r="L75" s="734"/>
      <c r="M75" s="734"/>
      <c r="N75">
        <v>107</v>
      </c>
      <c r="O75">
        <v>150</v>
      </c>
      <c r="P75" s="7">
        <f t="shared" ref="P75:P79" si="11">(O75-N75)*-1</f>
        <v>-43</v>
      </c>
      <c r="Q75">
        <f t="shared" si="10"/>
        <v>204</v>
      </c>
      <c r="R75" t="s">
        <v>278</v>
      </c>
    </row>
    <row r="76" spans="2:18" ht="14.4">
      <c r="C76" s="56"/>
      <c r="D76" s="56"/>
      <c r="E76" s="56"/>
      <c r="F76" s="56"/>
      <c r="H76">
        <v>31</v>
      </c>
      <c r="I76">
        <v>25.922999999999998</v>
      </c>
      <c r="J76">
        <f>ROUND((H76*I76)/100,2)</f>
        <v>8.0399999999999991</v>
      </c>
      <c r="K76" s="734"/>
      <c r="L76" s="734"/>
      <c r="M76" s="734"/>
      <c r="N76">
        <v>140</v>
      </c>
      <c r="O76">
        <v>200</v>
      </c>
      <c r="P76" s="7">
        <f t="shared" si="11"/>
        <v>-60</v>
      </c>
      <c r="Q76">
        <f t="shared" si="10"/>
        <v>144</v>
      </c>
      <c r="R76" t="s">
        <v>279</v>
      </c>
    </row>
    <row r="77" spans="2:18" ht="14.4">
      <c r="C77" s="56"/>
      <c r="D77" s="56"/>
      <c r="E77" s="56"/>
      <c r="F77" s="56"/>
      <c r="M77" s="734"/>
      <c r="N77">
        <v>140</v>
      </c>
      <c r="O77">
        <v>250</v>
      </c>
      <c r="P77" s="7">
        <f t="shared" si="11"/>
        <v>-110</v>
      </c>
      <c r="Q77">
        <f t="shared" si="10"/>
        <v>34</v>
      </c>
      <c r="R77" t="s">
        <v>280</v>
      </c>
    </row>
    <row r="78" spans="2:18" ht="14.4">
      <c r="C78" s="56"/>
      <c r="D78" s="56"/>
      <c r="E78" s="56"/>
      <c r="F78" s="56"/>
      <c r="G78" t="s">
        <v>1238</v>
      </c>
      <c r="H78">
        <v>152</v>
      </c>
      <c r="I78">
        <v>33.029000000000003</v>
      </c>
      <c r="J78">
        <f>ROUND((H78*I78)/100,2)</f>
        <v>50.2</v>
      </c>
      <c r="K78" s="734">
        <f>SUM(J78:J79) + ROUND(SUM(J78:J79)*0.05,2)</f>
        <v>68.84</v>
      </c>
      <c r="L78" s="734">
        <f>SUM(K78:K82)</f>
        <v>95.27000000000001</v>
      </c>
      <c r="M78" s="734"/>
      <c r="N78">
        <v>140</v>
      </c>
      <c r="O78">
        <v>200</v>
      </c>
      <c r="P78" s="7">
        <f t="shared" si="11"/>
        <v>-60</v>
      </c>
      <c r="Q78">
        <f t="shared" si="10"/>
        <v>-26</v>
      </c>
      <c r="R78" t="s">
        <v>281</v>
      </c>
    </row>
    <row r="79" spans="2:18" ht="14.4">
      <c r="C79" s="56"/>
      <c r="D79" s="56"/>
      <c r="E79" s="56"/>
      <c r="F79" s="56"/>
      <c r="H79">
        <v>31</v>
      </c>
      <c r="I79">
        <v>49.545000000000002</v>
      </c>
      <c r="J79">
        <f>ROUND((H79*I79)/100,2)</f>
        <v>15.36</v>
      </c>
      <c r="K79" s="734"/>
      <c r="L79" s="734"/>
      <c r="M79" s="734"/>
      <c r="N79">
        <v>140</v>
      </c>
      <c r="O79">
        <v>150</v>
      </c>
      <c r="P79" s="7">
        <f t="shared" si="11"/>
        <v>-10</v>
      </c>
      <c r="Q79">
        <f t="shared" si="10"/>
        <v>-36</v>
      </c>
      <c r="R79" t="s">
        <v>282</v>
      </c>
    </row>
    <row r="80" spans="2:18" ht="14.4">
      <c r="C80" s="56"/>
      <c r="E80" s="56"/>
      <c r="F80" s="56"/>
      <c r="L80" s="734"/>
      <c r="M80" s="734"/>
      <c r="O80"/>
      <c r="P80"/>
    </row>
    <row r="81" spans="5:16">
      <c r="G81" t="s">
        <v>599</v>
      </c>
      <c r="H81">
        <v>159.5</v>
      </c>
      <c r="I81">
        <v>10.244</v>
      </c>
      <c r="J81">
        <f>ROUND((H81*I81)/100,2)</f>
        <v>16.34</v>
      </c>
      <c r="K81" s="734">
        <f>SUM(J81:J82) + ROUND(SUM(J81:J82)*0.05,2)</f>
        <v>26.430000000000003</v>
      </c>
      <c r="L81" s="734"/>
      <c r="M81" s="734"/>
      <c r="O81"/>
      <c r="P81"/>
    </row>
    <row r="82" spans="5:16" ht="14.4">
      <c r="E82" s="212"/>
      <c r="F82" s="212"/>
      <c r="H82">
        <v>31</v>
      </c>
      <c r="I82">
        <v>28.484000000000002</v>
      </c>
      <c r="J82">
        <f>ROUND((H82*I82)/100,2)</f>
        <v>8.83</v>
      </c>
      <c r="K82" s="734"/>
      <c r="L82" s="734"/>
      <c r="M82" s="734"/>
      <c r="O82"/>
      <c r="P82"/>
    </row>
    <row r="83" spans="5:16" ht="14.4">
      <c r="E83" s="56"/>
      <c r="F83" s="56"/>
      <c r="O83"/>
      <c r="P83"/>
    </row>
    <row r="84" spans="5:16" ht="14.4">
      <c r="E84" s="56"/>
      <c r="F84" s="56"/>
      <c r="O84"/>
      <c r="P84"/>
    </row>
    <row r="85" spans="5:16" ht="14.4">
      <c r="E85" s="56"/>
      <c r="F85" s="56"/>
      <c r="G85" s="726" t="s">
        <v>1240</v>
      </c>
      <c r="H85" s="726"/>
      <c r="I85" s="726"/>
      <c r="J85" s="726"/>
      <c r="K85" s="726"/>
      <c r="L85" s="726"/>
      <c r="M85" s="726"/>
      <c r="O85"/>
      <c r="P85"/>
    </row>
    <row r="86" spans="5:16" ht="14.4">
      <c r="E86" s="56"/>
      <c r="F86" s="56"/>
      <c r="G86" t="s">
        <v>1238</v>
      </c>
      <c r="H86">
        <v>217</v>
      </c>
      <c r="I86">
        <v>26.055</v>
      </c>
      <c r="J86">
        <f>ROUND((H86*I86)/100,2)</f>
        <v>56.54</v>
      </c>
      <c r="K86" s="734">
        <f>SUM(J86:J87) + ROUND(SUM(J86:J87)*0.05,2)</f>
        <v>74.899999999999991</v>
      </c>
      <c r="L86" s="734">
        <f>SUM(K86:K90)</f>
        <v>183.07</v>
      </c>
      <c r="M86" s="734">
        <f>L92-L86</f>
        <v>65.460000000000036</v>
      </c>
      <c r="O86"/>
      <c r="P86"/>
    </row>
    <row r="87" spans="5:16" ht="14.4">
      <c r="E87" s="56"/>
      <c r="F87" s="56"/>
      <c r="H87">
        <v>32</v>
      </c>
      <c r="I87">
        <v>46.216000000000001</v>
      </c>
      <c r="J87">
        <f>ROUND((H87*I87)/100,2)</f>
        <v>14.79</v>
      </c>
      <c r="K87" s="734"/>
      <c r="L87" s="734"/>
      <c r="M87" s="734"/>
      <c r="O87"/>
      <c r="P87"/>
    </row>
    <row r="88" spans="5:16" ht="14.4">
      <c r="E88" s="56"/>
      <c r="F88" s="56"/>
      <c r="L88" s="734"/>
      <c r="M88" s="734"/>
      <c r="O88"/>
      <c r="P88"/>
    </row>
    <row r="89" spans="5:16">
      <c r="G89" t="s">
        <v>599</v>
      </c>
      <c r="H89">
        <v>1370</v>
      </c>
      <c r="I89">
        <v>6.9329999999999998</v>
      </c>
      <c r="J89">
        <f>ROUND((H89*I89)/100,2)</f>
        <v>94.98</v>
      </c>
      <c r="K89" s="734">
        <f>SUM(J89:J90) + ROUND(SUM(J89:J90)*0.05,2)</f>
        <v>108.17000000000002</v>
      </c>
      <c r="L89" s="734"/>
      <c r="M89" s="734"/>
      <c r="O89"/>
      <c r="P89"/>
    </row>
    <row r="90" spans="5:16" ht="14.4">
      <c r="E90" s="212"/>
      <c r="F90" s="212"/>
      <c r="H90">
        <v>31</v>
      </c>
      <c r="I90">
        <v>25.922999999999998</v>
      </c>
      <c r="J90">
        <f>ROUND((H90*I90)/100,2)</f>
        <v>8.0399999999999991</v>
      </c>
      <c r="K90" s="734"/>
      <c r="L90" s="734"/>
      <c r="M90" s="734"/>
      <c r="O90"/>
      <c r="P90"/>
    </row>
    <row r="91" spans="5:16" ht="14.4">
      <c r="E91" s="56"/>
      <c r="F91" s="56"/>
      <c r="M91" s="734"/>
      <c r="O91"/>
      <c r="P91"/>
    </row>
    <row r="92" spans="5:16" ht="14.4">
      <c r="E92" s="56"/>
      <c r="F92" s="56"/>
      <c r="G92" t="s">
        <v>1238</v>
      </c>
      <c r="H92">
        <v>217</v>
      </c>
      <c r="I92">
        <v>33.029000000000003</v>
      </c>
      <c r="J92">
        <f>ROUND((H92*I92)/100,2)</f>
        <v>71.67</v>
      </c>
      <c r="K92" s="734">
        <f>SUM(J92:J93) + ROUND(SUM(J92:J93)*0.05,2)</f>
        <v>91.899999999999991</v>
      </c>
      <c r="L92" s="734">
        <f>SUM(K92:K96)</f>
        <v>248.53000000000003</v>
      </c>
      <c r="M92" s="734"/>
      <c r="O92"/>
      <c r="P92"/>
    </row>
    <row r="93" spans="5:16" ht="14.4">
      <c r="E93" s="56"/>
      <c r="F93" s="56"/>
      <c r="H93">
        <v>32</v>
      </c>
      <c r="I93">
        <v>49.545000000000002</v>
      </c>
      <c r="J93">
        <f>ROUND((H93*I93)/100,2)</f>
        <v>15.85</v>
      </c>
      <c r="K93" s="734"/>
      <c r="L93" s="734"/>
      <c r="M93" s="734"/>
      <c r="O93"/>
      <c r="P93"/>
    </row>
    <row r="94" spans="5:16" ht="14.4">
      <c r="E94" s="56"/>
      <c r="F94" s="56"/>
      <c r="L94" s="734"/>
      <c r="M94" s="734"/>
      <c r="O94"/>
      <c r="P94"/>
    </row>
    <row r="95" spans="5:16" ht="14.4">
      <c r="E95" s="56"/>
      <c r="F95" s="56"/>
      <c r="G95" t="s">
        <v>599</v>
      </c>
      <c r="H95">
        <v>1370</v>
      </c>
      <c r="I95">
        <v>10.244</v>
      </c>
      <c r="J95">
        <f>ROUND((H95*I95)/100,2)</f>
        <v>140.34</v>
      </c>
      <c r="K95" s="734">
        <f>SUM(J95:J96) + ROUND(SUM(J95:J96)*0.05,2)</f>
        <v>156.63000000000002</v>
      </c>
      <c r="L95" s="734"/>
      <c r="M95" s="734"/>
      <c r="O95"/>
      <c r="P95"/>
    </row>
    <row r="96" spans="5:16" ht="14.4">
      <c r="E96" s="56"/>
      <c r="F96" s="56"/>
      <c r="H96">
        <v>31</v>
      </c>
      <c r="I96">
        <v>28.484000000000002</v>
      </c>
      <c r="J96">
        <f>ROUND((H96*I96)/100,2)</f>
        <v>8.83</v>
      </c>
      <c r="K96" s="734"/>
      <c r="L96" s="734"/>
      <c r="M96" s="734"/>
      <c r="O96"/>
      <c r="P96"/>
    </row>
    <row r="97" spans="5:16">
      <c r="E97" s="365"/>
      <c r="F97" s="365"/>
      <c r="O97"/>
      <c r="P97"/>
    </row>
    <row r="98" spans="5:16">
      <c r="O98"/>
      <c r="P98"/>
    </row>
    <row r="99" spans="5:16">
      <c r="O99"/>
      <c r="P99"/>
    </row>
  </sheetData>
  <mergeCells count="44">
    <mergeCell ref="B24:C24"/>
    <mergeCell ref="D24:E24"/>
    <mergeCell ref="B1:O1"/>
    <mergeCell ref="G3:H3"/>
    <mergeCell ref="I3:J3"/>
    <mergeCell ref="K3:L3"/>
    <mergeCell ref="M3:N3"/>
    <mergeCell ref="B4:E4"/>
    <mergeCell ref="B5:C5"/>
    <mergeCell ref="D5:E5"/>
    <mergeCell ref="B6:B21"/>
    <mergeCell ref="C6:C21"/>
    <mergeCell ref="B23:E23"/>
    <mergeCell ref="J62:L62"/>
    <mergeCell ref="B32:E32"/>
    <mergeCell ref="B33:C33"/>
    <mergeCell ref="D33:E33"/>
    <mergeCell ref="B34:B41"/>
    <mergeCell ref="C34:C41"/>
    <mergeCell ref="B44:D44"/>
    <mergeCell ref="B46:G46"/>
    <mergeCell ref="K46:O46"/>
    <mergeCell ref="B47:C47"/>
    <mergeCell ref="D47:E47"/>
    <mergeCell ref="L52:L54"/>
    <mergeCell ref="G63:O63"/>
    <mergeCell ref="G69:P69"/>
    <mergeCell ref="H64:I64"/>
    <mergeCell ref="K72:K73"/>
    <mergeCell ref="K75:K76"/>
    <mergeCell ref="L72:L76"/>
    <mergeCell ref="M72:M82"/>
    <mergeCell ref="G71:M71"/>
    <mergeCell ref="K78:K79"/>
    <mergeCell ref="K81:K82"/>
    <mergeCell ref="L78:L82"/>
    <mergeCell ref="G85:M85"/>
    <mergeCell ref="K86:K87"/>
    <mergeCell ref="L86:L90"/>
    <mergeCell ref="M86:M96"/>
    <mergeCell ref="K89:K90"/>
    <mergeCell ref="K92:K93"/>
    <mergeCell ref="L92:L96"/>
    <mergeCell ref="K95:K96"/>
  </mergeCells>
  <pageMargins left="0.7" right="0.7" top="0.75" bottom="0.75" header="0.3" footer="0.3"/>
  <pageSetup orientation="portrait" r:id="rId1"/>
  <legacyDrawing r:id="rId2"/>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E26A-3195-4EC7-81A1-C518929342A4}">
  <dimension ref="A1:T97"/>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AUG-SEP 2022</v>
      </c>
      <c r="B1" s="730" t="str">
        <f ca="1">MID(CELL("filename",B1),FIND("]",CELL("filename",B1))+1,255)</f>
        <v>SEP-OCT 2022</v>
      </c>
      <c r="C1" s="731"/>
      <c r="D1" s="731"/>
      <c r="E1" s="731"/>
      <c r="F1" s="731"/>
      <c r="G1" s="731"/>
      <c r="H1" s="731"/>
      <c r="I1" s="731"/>
      <c r="J1" s="731"/>
      <c r="K1" s="731"/>
      <c r="L1" s="731"/>
      <c r="M1" s="731"/>
      <c r="N1" s="731"/>
      <c r="O1" s="731"/>
      <c r="P1" s="298"/>
      <c r="Q1" s="281"/>
      <c r="R1" s="272"/>
      <c r="S1" s="272"/>
      <c r="T1" s="272"/>
    </row>
    <row r="2" spans="1:20">
      <c r="B2" s="118"/>
      <c r="C2" s="118"/>
      <c r="E2" s="365">
        <f>2742.7-F2</f>
        <v>-784.14000000000033</v>
      </c>
      <c r="F2" s="365">
        <f>2590.53+H4</f>
        <v>3526.84</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ROUND(O5+O33+O24+IF(O39&lt;0,0,O39)+O40+O4,2) &amp; " / " &amp; "£" &amp; E42</f>
        <v>£750.98 / £5200.6</v>
      </c>
      <c r="E3" s="365">
        <f>2802.81-2787.81</f>
        <v>15</v>
      </c>
      <c r="F3" s="365"/>
      <c r="G3" s="732">
        <v>44767</v>
      </c>
      <c r="H3" s="732"/>
      <c r="I3" s="732">
        <f>G3+7</f>
        <v>44774</v>
      </c>
      <c r="J3" s="732"/>
      <c r="K3" s="732">
        <f>I3+7</f>
        <v>44781</v>
      </c>
      <c r="L3" s="732"/>
      <c r="M3" s="732">
        <f>K3+7</f>
        <v>44788</v>
      </c>
      <c r="N3" s="732"/>
      <c r="O3" s="308">
        <v>0</v>
      </c>
      <c r="P3" s="325" t="s">
        <v>1224</v>
      </c>
      <c r="Q3" s="282"/>
    </row>
    <row r="4" spans="1:20" ht="15" customHeight="1">
      <c r="B4" s="727" t="str">
        <f>_xlfn.CONCAT("Expenses - 50 - ",G42*0.5," / Actual = ",ROUND(D5,2)," (",ROUND((D5/G42)*100,2),")")</f>
        <v>Expenses - 50 - 1948.085 / Actual = 1775.34 (45.57)</v>
      </c>
      <c r="C4" s="727"/>
      <c r="D4" s="727"/>
      <c r="E4" s="727"/>
      <c r="F4" s="318"/>
      <c r="H4" s="243">
        <f>SUM(H5:H40)</f>
        <v>936.31</v>
      </c>
      <c r="J4" s="243">
        <f>SUM(J5:J40)</f>
        <v>196.45</v>
      </c>
      <c r="L4" s="243">
        <f>SUM(L5:L40)</f>
        <v>171.32</v>
      </c>
      <c r="N4" s="243">
        <f>SUM(N5:N40)</f>
        <v>436.53999999999996</v>
      </c>
      <c r="O4" s="308">
        <f>IF(H41&lt;&gt;"PAID",H4,0)+IF(J41&lt;&gt;"PAID",J4,0)+IF(L41&lt;&gt;"PAID",L4,0)+IF(N41&lt;&gt;"PAID",N4,0)</f>
        <v>0</v>
      </c>
      <c r="P4" s="309" t="s">
        <v>973</v>
      </c>
      <c r="Q4" s="408">
        <f>401.15-O4</f>
        <v>401.15</v>
      </c>
      <c r="R4" s="243"/>
      <c r="S4" s="243"/>
    </row>
    <row r="5" spans="1:20" ht="15" customHeight="1">
      <c r="B5" s="733" t="str">
        <f>IF(D5&gt;E$42*0.5,ROUND(D5-E$42*0.5,2) &amp; " Over",ROUND(E$42*0.5-D5,2) &amp; " Under")</f>
        <v>824.96 Under</v>
      </c>
      <c r="C5" s="733"/>
      <c r="D5" s="761">
        <f>ROUND(SUM(F6:F21),2)</f>
        <v>1775.34</v>
      </c>
      <c r="E5" s="761"/>
      <c r="F5" s="321"/>
      <c r="G5" s="284"/>
      <c r="H5" s="306"/>
      <c r="I5" s="79"/>
      <c r="J5" s="306"/>
      <c r="K5" s="79"/>
      <c r="L5" s="306"/>
      <c r="M5" s="79"/>
      <c r="N5" s="305"/>
      <c r="O5" s="285">
        <f>SUMIF(O6:O21,"&gt;0")</f>
        <v>27.333333333333332</v>
      </c>
      <c r="P5" s="285" t="s">
        <v>892</v>
      </c>
      <c r="Q5" s="282">
        <f>SUM(Q6:Q21)</f>
        <v>53.169999999999973</v>
      </c>
      <c r="R5" s="243"/>
    </row>
    <row r="6" spans="1:20" ht="15" customHeight="1">
      <c r="B6" s="734" t="str">
        <f>"50%: " &amp; E$42*0.5</f>
        <v>50%: 2600.3</v>
      </c>
      <c r="C6" s="734" t="str">
        <f>ROUND((D5/E$42)*100,2) &amp; "%: " &amp;D5</f>
        <v>34.14%: 1775.34</v>
      </c>
      <c r="D6" s="13" t="s">
        <v>805</v>
      </c>
      <c r="E6" s="365">
        <v>0</v>
      </c>
      <c r="F6" s="374">
        <v>200</v>
      </c>
      <c r="G6">
        <f>20.11</f>
        <v>20.11</v>
      </c>
      <c r="H6" s="305">
        <f>50.01+35.18-49.56+35.38+35.21</f>
        <v>106.22</v>
      </c>
      <c r="I6">
        <f>25.06</f>
        <v>25.06</v>
      </c>
      <c r="J6" s="305"/>
      <c r="K6">
        <v>35.450000000000003</v>
      </c>
      <c r="L6" s="305"/>
      <c r="M6">
        <f>20.01</f>
        <v>20.010000000000002</v>
      </c>
      <c r="N6" s="305"/>
      <c r="O6" s="274">
        <f>SUM(E6:F6)-SUM(G6:N6)</f>
        <v>-6.8499999999999659</v>
      </c>
      <c r="P6" s="274" t="str">
        <f t="shared" ref="P6:P21" si="0">D6</f>
        <v>Car Petrol / commuting</v>
      </c>
      <c r="Q6" s="282">
        <f t="shared" ref="Q6:Q21" si="1">IF(O6&lt;0,O6*-1,0)</f>
        <v>6.8499999999999659</v>
      </c>
      <c r="R6" s="243"/>
    </row>
    <row r="7" spans="1:20" ht="15" customHeight="1">
      <c r="B7" s="734"/>
      <c r="C7" s="734"/>
      <c r="D7" s="13" t="s">
        <v>169</v>
      </c>
      <c r="E7" s="365">
        <v>0</v>
      </c>
      <c r="F7" s="365">
        <f>400</f>
        <v>400</v>
      </c>
      <c r="G7">
        <f>35.03</f>
        <v>35.03</v>
      </c>
      <c r="H7" s="305">
        <f>9.35+13.44+23.74+3.8+4.7+3.15+3.75+13.74</f>
        <v>75.67</v>
      </c>
      <c r="I7">
        <f>101.8</f>
        <v>101.8</v>
      </c>
      <c r="J7" s="305"/>
      <c r="K7">
        <f>14.19+18.25+56.88</f>
        <v>89.32</v>
      </c>
      <c r="L7" s="305">
        <f>27.58+8.76+13.6</f>
        <v>49.94</v>
      </c>
      <c r="M7">
        <f>7.53+34.83+5.99</f>
        <v>48.35</v>
      </c>
      <c r="N7" s="305">
        <f>30.9+14.35</f>
        <v>45.25</v>
      </c>
      <c r="O7" s="274">
        <f>SUM(E7:F7)-SUM(G7:N7)</f>
        <v>-45.360000000000014</v>
      </c>
      <c r="P7" s="274" t="str">
        <f t="shared" si="0"/>
        <v>Food</v>
      </c>
      <c r="Q7" s="282">
        <f t="shared" si="1"/>
        <v>45.360000000000014</v>
      </c>
      <c r="R7" s="243"/>
    </row>
    <row r="8" spans="1:20" ht="15" customHeight="1">
      <c r="B8" s="734"/>
      <c r="C8" s="734"/>
      <c r="D8" s="13" t="s">
        <v>153</v>
      </c>
      <c r="E8" s="365">
        <v>0</v>
      </c>
      <c r="F8" s="365">
        <f>100+63-10.55</f>
        <v>152.44999999999999</v>
      </c>
      <c r="G8">
        <f>9.49+15.95</f>
        <v>25.439999999999998</v>
      </c>
      <c r="H8" s="305"/>
      <c r="I8">
        <f>15.33+8.99+63</f>
        <v>87.32</v>
      </c>
      <c r="J8" s="362"/>
      <c r="L8" s="305">
        <f>35.6</f>
        <v>35.6</v>
      </c>
      <c r="M8">
        <f>4.09</f>
        <v>4.09</v>
      </c>
      <c r="N8" s="305"/>
      <c r="O8" s="274">
        <f>SUM(E8:F8)-SUM(G8:N8)</f>
        <v>0</v>
      </c>
      <c r="P8" s="274" t="str">
        <f t="shared" si="0"/>
        <v>Luna</v>
      </c>
      <c r="Q8" s="282">
        <f t="shared" si="1"/>
        <v>0</v>
      </c>
    </row>
    <row r="9" spans="1:20" ht="15" customHeight="1">
      <c r="B9" s="734"/>
      <c r="C9" s="734"/>
      <c r="D9" s="13" t="s">
        <v>1079</v>
      </c>
      <c r="E9" s="365">
        <v>0</v>
      </c>
      <c r="F9" s="365">
        <f>40-2.55</f>
        <v>37.450000000000003</v>
      </c>
      <c r="H9" s="305">
        <f>12+25.45</f>
        <v>37.450000000000003</v>
      </c>
      <c r="J9" s="305"/>
      <c r="L9" s="305"/>
      <c r="N9" s="305"/>
      <c r="O9" s="274">
        <f>SUM(E9:F9)-SUM(G9:N9)</f>
        <v>0</v>
      </c>
      <c r="P9" s="274" t="str">
        <f t="shared" si="0"/>
        <v>Creamy</v>
      </c>
      <c r="Q9" s="282">
        <f t="shared" si="1"/>
        <v>0</v>
      </c>
    </row>
    <row r="10" spans="1:20" ht="15" customHeight="1" outlineLevel="1">
      <c r="B10" s="734"/>
      <c r="C10" s="734"/>
      <c r="D10" s="201" t="s">
        <v>595</v>
      </c>
      <c r="E10" s="365">
        <v>0</v>
      </c>
      <c r="F10" s="365">
        <f>452.64</f>
        <v>452.64</v>
      </c>
      <c r="H10" s="305"/>
      <c r="J10" s="305"/>
      <c r="L10" s="305"/>
      <c r="M10">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139</v>
      </c>
      <c r="H11" s="305"/>
      <c r="J11" s="305"/>
      <c r="L11" s="305"/>
      <c r="M11">
        <f>139</f>
        <v>139</v>
      </c>
      <c r="N11" s="305"/>
      <c r="O11" s="274">
        <f t="shared" si="2"/>
        <v>0</v>
      </c>
      <c r="P11" s="274" t="str">
        <f t="shared" si="0"/>
        <v>Council tax</v>
      </c>
      <c r="Q11" s="282">
        <f t="shared" si="1"/>
        <v>0</v>
      </c>
    </row>
    <row r="12" spans="1:20" ht="15" customHeight="1" outlineLevel="1">
      <c r="B12" s="734"/>
      <c r="C12" s="734"/>
      <c r="D12" s="201" t="s">
        <v>1002</v>
      </c>
      <c r="E12" s="365">
        <v>46</v>
      </c>
      <c r="F12" s="365">
        <f>46+74.75+1</f>
        <v>121.75</v>
      </c>
      <c r="G12">
        <v>46</v>
      </c>
      <c r="H12" s="305"/>
      <c r="I12">
        <f>1+74.75</f>
        <v>75.75</v>
      </c>
      <c r="J12" s="305"/>
      <c r="L12" s="305"/>
      <c r="M12">
        <v>46</v>
      </c>
      <c r="N12" s="305"/>
      <c r="O12" s="274">
        <f>SUM(E12:F12)-SUM(G12:N12)</f>
        <v>0</v>
      </c>
      <c r="P12" s="274" t="str">
        <f t="shared" si="0"/>
        <v>Utilities (G,W,E,HTB)</v>
      </c>
      <c r="Q12" s="282">
        <f t="shared" si="1"/>
        <v>0</v>
      </c>
    </row>
    <row r="13" spans="1:20" ht="15" customHeight="1" outlineLevel="1">
      <c r="B13" s="734"/>
      <c r="C13" s="734"/>
      <c r="D13" s="201" t="s">
        <v>996</v>
      </c>
      <c r="E13" s="365">
        <v>0</v>
      </c>
      <c r="F13" s="365">
        <f>16.42</f>
        <v>16.420000000000002</v>
      </c>
      <c r="H13" s="305"/>
      <c r="I13">
        <f>16.42</f>
        <v>16.420000000000002</v>
      </c>
      <c r="J13" s="305"/>
      <c r="L13" s="305"/>
      <c r="N13" s="305"/>
      <c r="O13" s="274">
        <f>SUM(E13:F13)-SUM(G13:N13)</f>
        <v>0</v>
      </c>
      <c r="P13" s="274" t="str">
        <f t="shared" si="0"/>
        <v>Home Insurance</v>
      </c>
      <c r="Q13" s="282">
        <f t="shared" si="1"/>
        <v>0</v>
      </c>
    </row>
    <row r="14" spans="1:20" ht="15" customHeight="1" outlineLevel="1">
      <c r="B14" s="734"/>
      <c r="C14" s="734"/>
      <c r="D14" s="201" t="s">
        <v>359</v>
      </c>
      <c r="E14" s="365">
        <v>13.666666666666666</v>
      </c>
      <c r="F14" s="365">
        <f>41/3</f>
        <v>13.666666666666666</v>
      </c>
      <c r="H14" s="305"/>
      <c r="J14" s="305"/>
      <c r="L14" s="305"/>
      <c r="N14" s="305"/>
      <c r="O14" s="274">
        <f t="shared" si="2"/>
        <v>27.333333333333332</v>
      </c>
      <c r="P14" s="274" t="str">
        <f t="shared" si="0"/>
        <v>TV License</v>
      </c>
      <c r="Q14" s="282">
        <f t="shared" si="1"/>
        <v>0</v>
      </c>
    </row>
    <row r="15" spans="1:20" ht="15" customHeight="1" outlineLevel="1">
      <c r="B15" s="734"/>
      <c r="C15" s="734"/>
      <c r="D15" s="201" t="s">
        <v>1056</v>
      </c>
      <c r="E15" s="365">
        <v>0</v>
      </c>
      <c r="F15" s="365">
        <f>8+35.99+16.6</f>
        <v>60.59</v>
      </c>
      <c r="H15" s="305"/>
      <c r="I15">
        <f>16.6</f>
        <v>16.600000000000001</v>
      </c>
      <c r="J15" s="305"/>
      <c r="L15" s="305"/>
      <c r="M15">
        <f>8+35.99</f>
        <v>43.99</v>
      </c>
      <c r="N15" s="305"/>
      <c r="O15" s="274">
        <f>SUM(E15:F15)-SUM(G15:N15)</f>
        <v>0</v>
      </c>
      <c r="P15" s="274" t="str">
        <f t="shared" si="0"/>
        <v>Pet Health / Insurance</v>
      </c>
      <c r="Q15" s="282">
        <f t="shared" si="1"/>
        <v>0</v>
      </c>
    </row>
    <row r="16" spans="1:20" ht="15" customHeight="1" outlineLevel="1">
      <c r="B16" s="734"/>
      <c r="C16" s="734"/>
      <c r="D16" s="201" t="s">
        <v>1057</v>
      </c>
      <c r="E16" s="365">
        <v>0</v>
      </c>
      <c r="F16" s="365">
        <f>4.52+15.97+8.56</f>
        <v>29.050000000000004</v>
      </c>
      <c r="H16" s="305"/>
      <c r="I16" s="11">
        <v>29.05</v>
      </c>
      <c r="J16" s="305"/>
      <c r="L16" s="305"/>
      <c r="N16" s="305"/>
      <c r="O16" s="274">
        <f t="shared" si="2"/>
        <v>0</v>
      </c>
      <c r="P16" s="274" t="str">
        <f t="shared" si="0"/>
        <v>Life / Income Insurance</v>
      </c>
      <c r="Q16" s="282">
        <f t="shared" si="1"/>
        <v>0</v>
      </c>
    </row>
    <row r="17" spans="2:18" ht="15" customHeight="1" outlineLevel="1">
      <c r="B17" s="734"/>
      <c r="C17" s="734"/>
      <c r="D17" s="201" t="s">
        <v>602</v>
      </c>
      <c r="E17" s="365">
        <v>0</v>
      </c>
      <c r="F17" s="365">
        <v>25</v>
      </c>
      <c r="H17" s="305"/>
      <c r="J17" s="305"/>
      <c r="K17">
        <f>25</f>
        <v>25</v>
      </c>
      <c r="L17" s="305"/>
      <c r="N17" s="305"/>
      <c r="O17" s="274">
        <f>SUM(E17:F17)-SUM(G17:N17)</f>
        <v>0</v>
      </c>
      <c r="P17" s="274" t="str">
        <f t="shared" si="0"/>
        <v>Broadband / TV</v>
      </c>
      <c r="Q17" s="282">
        <f t="shared" si="1"/>
        <v>0</v>
      </c>
    </row>
    <row r="18" spans="2:18" ht="15" customHeight="1" outlineLevel="1">
      <c r="B18" s="734"/>
      <c r="C18" s="734"/>
      <c r="D18" s="201" t="s">
        <v>582</v>
      </c>
      <c r="E18" s="365">
        <v>0</v>
      </c>
      <c r="F18" s="365">
        <v>7.99</v>
      </c>
      <c r="H18" s="305"/>
      <c r="I18">
        <f>7.99</f>
        <v>7.99</v>
      </c>
      <c r="J18" s="305"/>
      <c r="L18" s="305"/>
      <c r="N18" s="305"/>
      <c r="O18" s="274">
        <f>SUM(E18:F18)-SUM(G18:N18)</f>
        <v>0</v>
      </c>
      <c r="P18" s="274" t="str">
        <f t="shared" si="0"/>
        <v>Onedrive (6th)</v>
      </c>
      <c r="Q18" s="282">
        <f t="shared" si="1"/>
        <v>0</v>
      </c>
    </row>
    <row r="19" spans="2:18" ht="15" customHeight="1" outlineLevel="1">
      <c r="B19" s="734"/>
      <c r="C19" s="734"/>
      <c r="D19" s="201" t="s">
        <v>788</v>
      </c>
      <c r="E19" s="365">
        <v>0</v>
      </c>
      <c r="F19" s="365">
        <f>11.55</f>
        <v>11.55</v>
      </c>
      <c r="H19" s="305"/>
      <c r="I19">
        <f>11.55</f>
        <v>11.55</v>
      </c>
      <c r="J19" s="305"/>
      <c r="L19" s="305"/>
      <c r="N19" s="305"/>
      <c r="O19" s="274">
        <f>SUM(E19:F19)-SUM(G19:N19)</f>
        <v>0</v>
      </c>
      <c r="P19" s="274" t="str">
        <f t="shared" si="0"/>
        <v>Matt Phone</v>
      </c>
      <c r="Q19" s="282">
        <f t="shared" si="1"/>
        <v>0</v>
      </c>
    </row>
    <row r="20" spans="2:18" ht="15" customHeight="1" outlineLevel="1">
      <c r="B20" s="734"/>
      <c r="C20" s="734"/>
      <c r="D20" s="201" t="s">
        <v>985</v>
      </c>
      <c r="E20" s="365">
        <v>0</v>
      </c>
      <c r="F20" s="365">
        <f>11.81+34.68+32.73+13.56</f>
        <v>92.78</v>
      </c>
      <c r="H20" s="305"/>
      <c r="I20">
        <f>11.81+32.73+34.68+14.52</f>
        <v>93.74</v>
      </c>
      <c r="J20" s="305"/>
      <c r="L20" s="305"/>
      <c r="N20" s="305"/>
      <c r="O20" s="274">
        <f>SUM(E20:F20)-SUM(G20:N20)</f>
        <v>-0.95999999999999375</v>
      </c>
      <c r="P20" s="274" t="str">
        <f t="shared" si="0"/>
        <v>Car Tax / Insurance</v>
      </c>
      <c r="Q20" s="282">
        <f t="shared" si="1"/>
        <v>0.95999999999999375</v>
      </c>
    </row>
    <row r="21" spans="2:18" ht="15" customHeight="1" outlineLevel="1">
      <c r="B21" s="734"/>
      <c r="C21" s="734"/>
      <c r="D21" s="201" t="s">
        <v>944</v>
      </c>
      <c r="E21" s="365">
        <v>0</v>
      </c>
      <c r="F21" s="365">
        <v>15</v>
      </c>
      <c r="H21" s="305"/>
      <c r="I21">
        <v>15</v>
      </c>
      <c r="J21" s="305"/>
      <c r="L21" s="305"/>
      <c r="N21" s="305"/>
      <c r="O21" s="274">
        <f>SUM(E21:F21)-SUM(G21:N21)</f>
        <v>0</v>
      </c>
      <c r="P21" s="274" t="str">
        <f t="shared" si="0"/>
        <v>Windows</v>
      </c>
      <c r="Q21" s="282">
        <f t="shared" si="1"/>
        <v>0</v>
      </c>
    </row>
    <row r="22" spans="2:18" ht="15" customHeight="1">
      <c r="B22" s="118"/>
      <c r="C22" s="118"/>
      <c r="D22" s="188"/>
      <c r="E22" s="365"/>
      <c r="F22" s="365"/>
      <c r="H22" s="305"/>
      <c r="J22" s="305"/>
      <c r="L22" s="305"/>
      <c r="N22" s="305"/>
      <c r="O22" s="273"/>
      <c r="P22" s="273"/>
      <c r="Q22" s="282"/>
      <c r="R22" s="243">
        <f>1740.62-O4</f>
        <v>1740.62</v>
      </c>
    </row>
    <row r="23" spans="2:18" ht="15" customHeight="1">
      <c r="B23" s="736" t="str">
        <f>_xlfn.CONCAT("Savings - 20 - ",G42*0.2," / Actual = ",D24," (",ROUND((D24/G42)*100,2),")")</f>
        <v>Savings - 20 - 779.234 / Actual = 394.69 (10.13)</v>
      </c>
      <c r="C23" s="736"/>
      <c r="D23" s="736"/>
      <c r="E23" s="736"/>
      <c r="F23" s="320"/>
      <c r="H23" s="305"/>
      <c r="J23" s="305"/>
      <c r="L23" s="305"/>
      <c r="N23" s="305"/>
      <c r="O23" s="274"/>
      <c r="P23" s="274"/>
      <c r="Q23" s="282"/>
    </row>
    <row r="24" spans="2:18" ht="15" customHeight="1">
      <c r="B24" s="727" t="str">
        <f>IF(ISNUMBER((SEARCH("Over",C$5))),"Operating under budget","Operating over budget")</f>
        <v>Operating over budget</v>
      </c>
      <c r="C24" s="727"/>
      <c r="D24" s="759">
        <f>SUM(F25:F30)</f>
        <v>394.69</v>
      </c>
      <c r="E24" s="759"/>
      <c r="F24" s="319"/>
      <c r="H24" s="305"/>
      <c r="J24" s="305"/>
      <c r="L24" s="305"/>
      <c r="N24" s="305"/>
      <c r="O24" s="285">
        <f>SUMIF(O25:O30,"&gt;0")</f>
        <v>36.933333333333564</v>
      </c>
      <c r="P24" s="285" t="s">
        <v>895</v>
      </c>
      <c r="Q24" s="282">
        <f>SUM(Q25:Q29)</f>
        <v>64</v>
      </c>
    </row>
    <row r="25" spans="2:18" ht="15" customHeight="1" outlineLevel="1">
      <c r="B25" s="7" t="str">
        <f>"20% : " &amp; E$42*0.2</f>
        <v>20% : 1040.12</v>
      </c>
      <c r="C25" s="7" t="str">
        <f>"20% : " &amp; E$42*0.2</f>
        <v>20% : 1040.12</v>
      </c>
      <c r="D25" s="300" t="s">
        <v>590</v>
      </c>
      <c r="E25" s="365">
        <f>45.2000000000007+29.72</f>
        <v>74.920000000000698</v>
      </c>
      <c r="F25" s="365">
        <f>75</f>
        <v>75</v>
      </c>
      <c r="H25" s="305"/>
      <c r="J25" s="305"/>
      <c r="L25" s="315"/>
      <c r="N25" s="305"/>
      <c r="O25" s="274">
        <f>SUM(E25:F25)-SUM(G25:N25)-Q42</f>
        <v>8.7533333333335577</v>
      </c>
      <c r="P25" s="274" t="str">
        <f t="shared" ref="P25:P30" si="3">D25</f>
        <v>Contingency</v>
      </c>
      <c r="Q25" s="282">
        <v>0</v>
      </c>
    </row>
    <row r="26" spans="2:18" ht="15" customHeight="1" outlineLevel="1">
      <c r="B26" s="7"/>
      <c r="C26" s="7"/>
      <c r="D26" s="300" t="s">
        <v>998</v>
      </c>
      <c r="E26" s="365">
        <v>100</v>
      </c>
      <c r="F26" s="365">
        <v>100</v>
      </c>
      <c r="G26" s="11"/>
      <c r="H26" s="306"/>
      <c r="J26" s="305"/>
      <c r="L26" s="305"/>
      <c r="M26">
        <f>264</f>
        <v>264</v>
      </c>
      <c r="N26" s="305"/>
      <c r="O26" s="274">
        <f>SUM(E26:F26)-SUM(G26:N26)</f>
        <v>-64</v>
      </c>
      <c r="P26" s="274" t="str">
        <f t="shared" si="3"/>
        <v>Cars (Service / MOT)</v>
      </c>
      <c r="Q26" s="282">
        <f t="shared" ref="Q26:Q30" si="4">IF(O26&lt;0,O26*-1,0)</f>
        <v>64</v>
      </c>
    </row>
    <row r="27" spans="2:18" ht="15" customHeight="1" outlineLevel="1">
      <c r="B27" s="7"/>
      <c r="C27" s="7"/>
      <c r="D27" s="300" t="s">
        <v>1135</v>
      </c>
      <c r="E27" s="365">
        <v>0</v>
      </c>
      <c r="F27" s="365">
        <v>0</v>
      </c>
      <c r="G27" s="11"/>
      <c r="H27" s="306"/>
      <c r="J27" s="305"/>
      <c r="L27" s="305"/>
      <c r="N27" s="305"/>
      <c r="O27" s="274">
        <f>SUM(E27:F27)-SUM(G27:N27)</f>
        <v>0</v>
      </c>
      <c r="P27" s="274" t="str">
        <f t="shared" si="3"/>
        <v>Investment</v>
      </c>
      <c r="Q27" s="282">
        <f t="shared" si="4"/>
        <v>0</v>
      </c>
    </row>
    <row r="28" spans="2:18" ht="15" customHeight="1" outlineLevel="1">
      <c r="B28" s="7"/>
      <c r="C28" s="7"/>
      <c r="D28" s="300" t="s">
        <v>999</v>
      </c>
      <c r="E28" s="365">
        <v>0</v>
      </c>
      <c r="F28" s="365">
        <v>0</v>
      </c>
      <c r="G28" s="11"/>
      <c r="H28" s="306"/>
      <c r="J28" s="305"/>
      <c r="L28" s="305"/>
      <c r="N28" s="305"/>
      <c r="O28" s="274">
        <f t="shared" ref="O28:O30" si="5">SUM(E28:F28)-SUM(G28:N28)</f>
        <v>0</v>
      </c>
      <c r="P28" s="274" t="str">
        <f t="shared" si="3"/>
        <v>Mortgage Overpayment</v>
      </c>
      <c r="Q28" s="282">
        <f t="shared" si="4"/>
        <v>0</v>
      </c>
    </row>
    <row r="29" spans="2:18"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8" ht="15" customHeight="1" outlineLevel="1">
      <c r="B30" s="7"/>
      <c r="C30" s="7"/>
      <c r="D30" s="300" t="s">
        <v>1225</v>
      </c>
      <c r="E30" s="365">
        <v>0</v>
      </c>
      <c r="F30" s="365">
        <v>219.69</v>
      </c>
      <c r="G30" s="11"/>
      <c r="H30" s="306"/>
      <c r="J30" s="305"/>
      <c r="L30" s="305"/>
      <c r="M30">
        <f>87.53+9.99+93.99</f>
        <v>191.51</v>
      </c>
      <c r="N30" s="305"/>
      <c r="O30" s="274">
        <f t="shared" si="5"/>
        <v>28.180000000000007</v>
      </c>
      <c r="P30" s="274" t="str">
        <f t="shared" si="3"/>
        <v>Tesco Finance</v>
      </c>
      <c r="Q30" s="282">
        <f t="shared" si="4"/>
        <v>0</v>
      </c>
    </row>
    <row r="31" spans="2:18" ht="15" customHeight="1">
      <c r="B31" s="118"/>
      <c r="C31" s="118"/>
      <c r="E31" s="365"/>
      <c r="F31" s="365"/>
      <c r="H31" s="305"/>
      <c r="J31" s="305"/>
      <c r="L31" s="305"/>
      <c r="N31" s="305"/>
      <c r="O31" s="273"/>
      <c r="P31" s="273"/>
      <c r="Q31" s="282"/>
    </row>
    <row r="32" spans="2:18" ht="15" customHeight="1">
      <c r="B32" s="727" t="str">
        <f>_xlfn.CONCAT("Wants - 30 - ",G42*0.3," / Actual = ",D33," (",ROUND((D33/G42)*100,2),")")</f>
        <v>Wants - 30 - 1168.851 / Actual = 2109.79 (54.15)</v>
      </c>
      <c r="C32" s="727"/>
      <c r="D32" s="727"/>
      <c r="E32" s="727"/>
      <c r="F32" s="318"/>
      <c r="H32" s="305"/>
      <c r="J32" s="305"/>
      <c r="L32" s="305"/>
      <c r="N32" s="305"/>
      <c r="O32" s="273"/>
      <c r="P32" s="273"/>
      <c r="Q32" s="282"/>
    </row>
    <row r="33" spans="2:19" ht="15" customHeight="1">
      <c r="B33" s="727" t="str">
        <f>IF(ISNUMBER((SEARCH("Over",B$5))),"Operating under budget","Operating over budget")</f>
        <v>Operating over budget</v>
      </c>
      <c r="C33" s="727"/>
      <c r="D33" s="759">
        <f>(E$42-D5-D24-E41)</f>
        <v>2109.7899999999991</v>
      </c>
      <c r="E33" s="727"/>
      <c r="F33" s="319">
        <f>SUM(F34:F39)</f>
        <v>1858.7899999999991</v>
      </c>
      <c r="H33" s="305"/>
      <c r="J33" s="305"/>
      <c r="L33" s="305"/>
      <c r="N33" s="305"/>
      <c r="O33" s="285">
        <f>SUMIF(O34:O38,"&gt;0")</f>
        <v>897.28</v>
      </c>
      <c r="P33" s="285" t="s">
        <v>899</v>
      </c>
      <c r="Q33" s="282">
        <f>SUM(Q34:Q39)</f>
        <v>23.996666666667181</v>
      </c>
    </row>
    <row r="34" spans="2:19" ht="15" customHeight="1" outlineLevel="1">
      <c r="B34" s="734"/>
      <c r="C34" s="760"/>
      <c r="D34" s="300" t="s">
        <v>354</v>
      </c>
      <c r="E34" s="365">
        <v>0</v>
      </c>
      <c r="F34" s="365">
        <v>425</v>
      </c>
      <c r="H34" s="305"/>
      <c r="J34" s="305"/>
      <c r="L34" s="305"/>
      <c r="M34">
        <f>9.7+184.46+6.89</f>
        <v>201.04999999999998</v>
      </c>
      <c r="N34" s="305">
        <f>11+117.6+116.15</f>
        <v>244.75</v>
      </c>
      <c r="O34" s="274">
        <f>SUM(E34:F34)-SUM(G34:N34)</f>
        <v>-20.799999999999955</v>
      </c>
      <c r="P34" s="274" t="str">
        <f t="shared" ref="P34:P40" si="6">D34</f>
        <v>Holiday</v>
      </c>
      <c r="Q34" s="282">
        <f t="shared" ref="Q34:Q37" si="7">IF(O34&lt;0,O34*-1,0)</f>
        <v>20.799999999999955</v>
      </c>
      <c r="R34" s="11"/>
      <c r="S34" s="11">
        <f>637.3</f>
        <v>637.29999999999995</v>
      </c>
    </row>
    <row r="35" spans="2:19" ht="15" customHeight="1" outlineLevel="1">
      <c r="B35" s="734"/>
      <c r="C35" s="760"/>
      <c r="D35" s="300" t="s">
        <v>1231</v>
      </c>
      <c r="E35" s="365">
        <v>0</v>
      </c>
      <c r="F35" s="365">
        <v>368.34</v>
      </c>
      <c r="H35" s="305">
        <f>22.69+-21.7+113.12+42.63</f>
        <v>156.74</v>
      </c>
      <c r="I35">
        <f>5.45+9.7</f>
        <v>15.149999999999999</v>
      </c>
      <c r="J35" s="305">
        <f>13.7+182.75</f>
        <v>196.45</v>
      </c>
      <c r="L35" s="305"/>
      <c r="N35" s="305"/>
      <c r="O35" s="274">
        <f>SUM(E35:F35)-SUM(G35:N35)</f>
        <v>0</v>
      </c>
      <c r="P35" s="274" t="str">
        <f t="shared" si="6"/>
        <v>Manchester</v>
      </c>
      <c r="Q35" s="282">
        <f t="shared" si="7"/>
        <v>0</v>
      </c>
      <c r="R35" s="11"/>
      <c r="S35" s="11"/>
    </row>
    <row r="36" spans="2:19" ht="15" customHeight="1" outlineLevel="1">
      <c r="B36" s="734"/>
      <c r="C36" s="760"/>
      <c r="D36" s="300" t="s">
        <v>797</v>
      </c>
      <c r="E36" s="365">
        <v>450</v>
      </c>
      <c r="F36" s="365">
        <v>400</v>
      </c>
      <c r="H36" s="305">
        <f>79.11+99.99</f>
        <v>179.1</v>
      </c>
      <c r="J36" s="305"/>
      <c r="L36" s="305">
        <f>-49.24</f>
        <v>-49.24</v>
      </c>
      <c r="N36" s="305"/>
      <c r="O36" s="274">
        <f>SUM(E36:F36)-SUM(G36:N36)</f>
        <v>720.14</v>
      </c>
      <c r="P36" s="274" t="str">
        <f t="shared" si="6"/>
        <v>Bali</v>
      </c>
      <c r="Q36" s="282">
        <f t="shared" si="7"/>
        <v>0</v>
      </c>
      <c r="R36" s="11"/>
      <c r="S36" s="11"/>
    </row>
    <row r="37" spans="2:19" ht="15" customHeight="1" outlineLevel="1">
      <c r="B37" s="734"/>
      <c r="C37" s="760"/>
      <c r="D37" s="300" t="s">
        <v>170</v>
      </c>
      <c r="E37" s="365">
        <v>235.27999999999997</v>
      </c>
      <c r="F37" s="365">
        <f>250</f>
        <v>250</v>
      </c>
      <c r="H37" s="305"/>
      <c r="J37" s="305"/>
      <c r="L37" s="305">
        <f>80</f>
        <v>80</v>
      </c>
      <c r="M37">
        <f>90</f>
        <v>90</v>
      </c>
      <c r="N37" s="305">
        <f>100+8.95+4.3+3.9+22.99</f>
        <v>140.14000000000001</v>
      </c>
      <c r="O37" s="274">
        <f>SUM(E37:F37)-SUM(G37:N37)</f>
        <v>175.14</v>
      </c>
      <c r="P37" s="274" t="str">
        <f t="shared" si="6"/>
        <v>Gift Fund</v>
      </c>
      <c r="Q37" s="282">
        <f t="shared" si="7"/>
        <v>0</v>
      </c>
      <c r="R37" s="11"/>
      <c r="S37" s="11"/>
    </row>
    <row r="38" spans="2:19" ht="15.75" customHeight="1" outlineLevel="1">
      <c r="B38" s="734"/>
      <c r="C38" s="760"/>
      <c r="D38" s="13" t="s">
        <v>781</v>
      </c>
      <c r="E38" s="365">
        <v>0</v>
      </c>
      <c r="F38" s="365">
        <f>13+2+6.99+10.99+2.99+25</f>
        <v>60.970000000000006</v>
      </c>
      <c r="H38" s="305"/>
      <c r="I38">
        <f>13+10.99+2+0.99</f>
        <v>26.98</v>
      </c>
      <c r="J38" s="305"/>
      <c r="K38">
        <f>25+6.99</f>
        <v>31.990000000000002</v>
      </c>
      <c r="L38" s="305"/>
      <c r="N38" s="305"/>
      <c r="O38" s="274">
        <f t="shared" ref="O38" si="8">SUM(E38:F38)-SUM(G38:N38)</f>
        <v>2.0000000000000071</v>
      </c>
      <c r="P38" s="274" t="str">
        <f t="shared" si="6"/>
        <v>Subscriptions</v>
      </c>
      <c r="Q38" s="282">
        <f>IF(O38&lt;0,O38*-1,0)</f>
        <v>0</v>
      </c>
      <c r="S38" s="349"/>
    </row>
    <row r="39" spans="2:19" ht="18" outlineLevel="1">
      <c r="B39" s="734"/>
      <c r="C39" s="760"/>
      <c r="D39" s="13" t="s">
        <v>922</v>
      </c>
      <c r="E39" s="365">
        <v>0.91333333333363953</v>
      </c>
      <c r="F39" s="365">
        <f>(D33-SUM(F34:F38))-F40</f>
        <v>354.47999999999911</v>
      </c>
      <c r="G39">
        <f>4.49+4.75+12.09+9.99+4.7+26.75+2.85+5</f>
        <v>70.62</v>
      </c>
      <c r="H39" s="305">
        <f>22.68+19.99+23.99+7+3.8+3.64+6.54</f>
        <v>87.64</v>
      </c>
      <c r="I39">
        <f>9.25+5.45</f>
        <v>14.7</v>
      </c>
      <c r="J39" s="305"/>
      <c r="K39">
        <f>2+8+10.4+27.25</f>
        <v>47.65</v>
      </c>
      <c r="L39" s="305">
        <f>4.75+0.5+11.09+23+4.6</f>
        <v>43.940000000000005</v>
      </c>
      <c r="M39">
        <f>9.7+15+8.99+13.85+20.1+20</f>
        <v>87.64</v>
      </c>
      <c r="N39" s="305">
        <f>3.25+3.15</f>
        <v>6.4</v>
      </c>
      <c r="O39" s="274">
        <f>SUM(E39:F39)-SUM(G39:N39)</f>
        <v>-3.1966666666672268</v>
      </c>
      <c r="P39" s="274" t="str">
        <f t="shared" si="6"/>
        <v>Matt Fun</v>
      </c>
      <c r="Q39" s="282">
        <f>IF(SUM(E39:F39)-SUM(G39:N39)&lt;=0,(SUM(E39:F39)-SUM(G39:N39))*-1,0)</f>
        <v>3.1966666666672268</v>
      </c>
    </row>
    <row r="40" spans="2:19" ht="18" outlineLevel="1">
      <c r="B40" s="7"/>
      <c r="C40" s="284"/>
      <c r="D40" s="13" t="s">
        <v>152</v>
      </c>
      <c r="E40" s="365">
        <v>0</v>
      </c>
      <c r="F40" s="365">
        <f>29+20+140+62</f>
        <v>251</v>
      </c>
      <c r="G40">
        <f>54.99+33.48+54.05+20.45+9.97+10.97+13.92</f>
        <v>197.82999999999996</v>
      </c>
      <c r="H40" s="305">
        <f>276+54.99-162.5+125</f>
        <v>293.49</v>
      </c>
      <c r="I40">
        <f>10.17</f>
        <v>10.17</v>
      </c>
      <c r="J40" s="305"/>
      <c r="K40">
        <f>-51</f>
        <v>-51</v>
      </c>
      <c r="L40" s="305">
        <f>62.1+28.98-80</f>
        <v>11.079999999999998</v>
      </c>
      <c r="N40" s="305"/>
      <c r="O40" s="274">
        <f>SUM(E40:F40)-SUM(G40:N40)</f>
        <v>-210.56999999999994</v>
      </c>
      <c r="P40" s="274" t="str">
        <f t="shared" si="6"/>
        <v>Kris</v>
      </c>
      <c r="Q40" s="271">
        <f>IF(F40-SUM(G40:N40)&lt;=0,(F40-SUM(G40:N40))*-1,0)</f>
        <v>210.56999999999994</v>
      </c>
    </row>
    <row r="41" spans="2:19">
      <c r="B41" s="118"/>
      <c r="C41" s="118"/>
      <c r="E41" s="365">
        <f>SUM(E34:E40)+SUM(E25:E29)+SUM(E6:E21)</f>
        <v>920.780000000001</v>
      </c>
      <c r="F41" s="365"/>
      <c r="H41" s="7" t="s">
        <v>986</v>
      </c>
      <c r="J41" s="7" t="s">
        <v>986</v>
      </c>
      <c r="L41" s="7" t="s">
        <v>986</v>
      </c>
      <c r="N41" s="7" t="s">
        <v>986</v>
      </c>
      <c r="O41" s="273"/>
      <c r="P41" s="273"/>
      <c r="Q41" s="282"/>
    </row>
    <row r="42" spans="2:19" ht="18">
      <c r="B42" s="728" t="s">
        <v>817</v>
      </c>
      <c r="C42" s="728"/>
      <c r="D42" s="728"/>
      <c r="E42" s="375">
        <f>G42+I42+K42+M42+N42+E41</f>
        <v>5200.6000000000004</v>
      </c>
      <c r="F42" s="379"/>
      <c r="G42" s="271">
        <f>2812.68+1062+21.49</f>
        <v>3896.1699999999996</v>
      </c>
      <c r="H42" s="271"/>
      <c r="I42" s="271">
        <f>29+20+47.65+140</f>
        <v>236.65</v>
      </c>
      <c r="J42" s="271"/>
      <c r="K42" s="271">
        <f>55+62</f>
        <v>117</v>
      </c>
      <c r="L42" s="271"/>
      <c r="M42" s="271">
        <v>30</v>
      </c>
      <c r="N42" s="271"/>
      <c r="O42" s="314" t="str">
        <f>"£" &amp; ROUND(O5+O33+O24+IF(O39&lt;0,0,O39)+O40+O4,2) &amp; " / " &amp; "£" &amp; E42</f>
        <v>£750.98 / £5200.6</v>
      </c>
      <c r="P42" s="274"/>
      <c r="Q42" s="282">
        <f>SUM(Q33,Q24,Q5)</f>
        <v>141.16666666666714</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991</v>
      </c>
      <c r="O45" s="316">
        <v>44843</v>
      </c>
      <c r="P45" s="7">
        <f ca="1">DATEDIF(O45,NOW(),"d")</f>
        <v>1408</v>
      </c>
      <c r="Q45">
        <v>51</v>
      </c>
      <c r="R45" t="s">
        <v>1245</v>
      </c>
    </row>
    <row r="46" spans="2:19">
      <c r="B46" s="365"/>
      <c r="C46" s="38"/>
      <c r="E46" s="284"/>
      <c r="F46" s="11"/>
      <c r="G46" s="367">
        <f>2160.52-1804.76-O4</f>
        <v>355.76</v>
      </c>
      <c r="H46" s="243"/>
      <c r="K46" s="11"/>
      <c r="N46" s="322" t="s">
        <v>992</v>
      </c>
      <c r="O46" s="42">
        <v>44846</v>
      </c>
      <c r="P46" s="7">
        <f ca="1">DATEDIF(O46,NOW(),"d")</f>
        <v>1405</v>
      </c>
      <c r="Q46">
        <v>49</v>
      </c>
      <c r="R46" t="s">
        <v>1246</v>
      </c>
    </row>
    <row r="47" spans="2:19">
      <c r="E47" s="365"/>
      <c r="F47" s="365"/>
      <c r="G47" s="11"/>
      <c r="H47" s="243"/>
      <c r="I47" s="243"/>
      <c r="L47" s="243"/>
      <c r="O47"/>
      <c r="P47"/>
    </row>
    <row r="48" spans="2:19" ht="16.2" customHeight="1">
      <c r="E48" s="384"/>
      <c r="F48" s="278"/>
      <c r="G48" s="213"/>
      <c r="H48" s="373" t="s">
        <v>871</v>
      </c>
      <c r="I48" s="213">
        <v>13</v>
      </c>
      <c r="J48" s="213"/>
      <c r="K48" s="213"/>
      <c r="L48" s="243">
        <f>140</f>
        <v>140</v>
      </c>
      <c r="M48" t="s">
        <v>1250</v>
      </c>
      <c r="O48" s="292"/>
      <c r="P48" s="212"/>
    </row>
    <row r="49" spans="2:17">
      <c r="B49" s="378"/>
      <c r="E49" s="343"/>
      <c r="F49" s="361"/>
      <c r="G49" s="407"/>
      <c r="H49" t="s">
        <v>873</v>
      </c>
      <c r="I49">
        <v>6.5</v>
      </c>
      <c r="L49" s="243">
        <v>28</v>
      </c>
      <c r="M49" t="s">
        <v>1251</v>
      </c>
      <c r="P49" s="56"/>
    </row>
    <row r="50" spans="2:17" ht="14.4">
      <c r="E50" s="343"/>
      <c r="F50" s="361"/>
      <c r="H50" t="s">
        <v>129</v>
      </c>
      <c r="I50">
        <v>5.5</v>
      </c>
      <c r="J50" t="s">
        <v>1247</v>
      </c>
      <c r="L50">
        <v>62</v>
      </c>
      <c r="M50" t="s">
        <v>1252</v>
      </c>
      <c r="P50"/>
    </row>
    <row r="51" spans="2:17">
      <c r="E51" s="384"/>
      <c r="F51" s="361"/>
      <c r="L51">
        <v>100</v>
      </c>
      <c r="P51" s="212"/>
      <c r="Q51" s="212"/>
    </row>
    <row r="52" spans="2:17" ht="15" customHeight="1">
      <c r="E52" s="284"/>
      <c r="F52" s="361"/>
      <c r="O52" s="7">
        <f>2491.6-1740.62</f>
        <v>750.98</v>
      </c>
      <c r="P52" s="56"/>
      <c r="Q52" s="38"/>
    </row>
    <row r="53" spans="2:17">
      <c r="E53" s="365"/>
      <c r="F53" s="360"/>
      <c r="G53">
        <v>54.99</v>
      </c>
      <c r="H53" t="s">
        <v>1248</v>
      </c>
      <c r="K53">
        <f>276+125-162.5</f>
        <v>238.5</v>
      </c>
      <c r="O53"/>
      <c r="P53"/>
    </row>
    <row r="54" spans="2:17" ht="15" customHeight="1">
      <c r="E54" s="360"/>
      <c r="F54" s="360"/>
      <c r="G54">
        <v>33.479999999999997</v>
      </c>
      <c r="H54" t="s">
        <v>1249</v>
      </c>
      <c r="O54"/>
      <c r="P54"/>
    </row>
    <row r="55" spans="2:17">
      <c r="E55" s="365"/>
      <c r="F55" s="383"/>
      <c r="G55">
        <v>54.05</v>
      </c>
      <c r="H55" t="s">
        <v>1249</v>
      </c>
      <c r="O55"/>
      <c r="P55"/>
    </row>
    <row r="56" spans="2:17">
      <c r="B56" s="11"/>
      <c r="E56"/>
      <c r="F56" s="384"/>
      <c r="G56">
        <v>20.45</v>
      </c>
      <c r="H56" t="s">
        <v>1249</v>
      </c>
      <c r="I56" s="243"/>
      <c r="L56">
        <f>10+10+45+80+45</f>
        <v>190</v>
      </c>
      <c r="O56"/>
      <c r="P56"/>
    </row>
    <row r="57" spans="2:17" ht="14.4">
      <c r="B57" s="11"/>
      <c r="E57"/>
      <c r="F57" s="79"/>
      <c r="G57">
        <v>9.9700000000000006</v>
      </c>
      <c r="O57"/>
      <c r="P57"/>
    </row>
    <row r="58" spans="2:17" ht="14.4">
      <c r="E58"/>
      <c r="F58" s="79"/>
      <c r="G58">
        <v>10.97</v>
      </c>
      <c r="O58"/>
      <c r="P58"/>
    </row>
    <row r="59" spans="2:17" ht="14.4">
      <c r="B59" s="212"/>
      <c r="C59" s="212"/>
      <c r="E59"/>
      <c r="F59" s="7"/>
      <c r="G59">
        <v>13.92</v>
      </c>
      <c r="O59"/>
      <c r="P59"/>
    </row>
    <row r="60" spans="2:17" ht="14.4">
      <c r="C60" s="56"/>
      <c r="D60" s="243"/>
      <c r="E60"/>
      <c r="F60"/>
      <c r="J60" s="771"/>
      <c r="K60" s="771"/>
      <c r="L60" s="771"/>
      <c r="O60"/>
      <c r="P60"/>
    </row>
    <row r="61" spans="2:17" ht="15.75" customHeight="1">
      <c r="C61" s="56"/>
      <c r="E61"/>
      <c r="F61"/>
      <c r="G61" s="771"/>
      <c r="H61" s="771"/>
      <c r="I61" s="771"/>
      <c r="J61" s="771"/>
      <c r="K61" s="771"/>
      <c r="L61" s="771"/>
      <c r="M61" s="771"/>
      <c r="N61" s="771"/>
      <c r="O61" s="771"/>
      <c r="P61"/>
    </row>
    <row r="62" spans="2:17" ht="14.4">
      <c r="C62" s="56"/>
      <c r="E62"/>
      <c r="F62"/>
      <c r="O62"/>
      <c r="P62" s="771"/>
    </row>
    <row r="63" spans="2:17" ht="14.4">
      <c r="C63" s="56"/>
      <c r="E63"/>
      <c r="F63"/>
      <c r="O63"/>
      <c r="P63" s="771"/>
    </row>
    <row r="64" spans="2:17" ht="14.4">
      <c r="C64" s="56"/>
      <c r="E64" s="243"/>
      <c r="F64"/>
      <c r="K64" s="243"/>
      <c r="O64"/>
      <c r="P64" s="771"/>
    </row>
    <row r="65" spans="2:16" ht="14.4">
      <c r="C65" s="56"/>
      <c r="D65" s="243"/>
      <c r="E65"/>
      <c r="F65"/>
      <c r="O65"/>
      <c r="P65" s="771"/>
    </row>
    <row r="66" spans="2:16" ht="14.4">
      <c r="C66" s="56"/>
      <c r="E66"/>
      <c r="F66"/>
      <c r="O66"/>
      <c r="P66"/>
    </row>
    <row r="67" spans="2:16" ht="14.4">
      <c r="C67" s="56"/>
      <c r="E67" s="347"/>
      <c r="F67"/>
      <c r="G67" s="771"/>
      <c r="H67" s="771"/>
      <c r="I67" s="771"/>
      <c r="J67" s="771"/>
      <c r="K67" s="771"/>
      <c r="L67" s="771"/>
      <c r="M67" s="771"/>
      <c r="N67" s="771"/>
      <c r="O67" s="771"/>
      <c r="P67" s="771"/>
    </row>
    <row r="68" spans="2:16" ht="14.4">
      <c r="C68" s="56"/>
      <c r="E68" s="332"/>
      <c r="F68" s="332"/>
      <c r="O68"/>
      <c r="P68" s="771"/>
    </row>
    <row r="69" spans="2:16" ht="14.4">
      <c r="C69" s="56"/>
      <c r="E69"/>
      <c r="F69"/>
      <c r="O69"/>
      <c r="P69" s="771"/>
    </row>
    <row r="70" spans="2:16" ht="14.4">
      <c r="C70" s="56"/>
      <c r="E70"/>
      <c r="F70"/>
      <c r="O70"/>
      <c r="P70" s="771"/>
    </row>
    <row r="71" spans="2:16">
      <c r="E71" s="365"/>
      <c r="F71" s="365"/>
      <c r="O71"/>
      <c r="P71" s="771"/>
    </row>
    <row r="72" spans="2:16" ht="14.4">
      <c r="B72" s="212"/>
      <c r="C72" s="294"/>
      <c r="D72" s="212"/>
      <c r="E72" s="212"/>
      <c r="F72" s="212"/>
      <c r="O72"/>
      <c r="P72"/>
    </row>
    <row r="73" spans="2:16" ht="14.4">
      <c r="C73" s="56"/>
      <c r="D73" s="56"/>
      <c r="E73" s="56"/>
      <c r="F73" s="56"/>
      <c r="G73" s="771"/>
      <c r="H73" s="771"/>
      <c r="I73" s="771"/>
      <c r="J73" s="771"/>
      <c r="K73" s="771"/>
      <c r="L73" s="771"/>
      <c r="M73" s="771"/>
      <c r="N73" s="771"/>
      <c r="O73" s="771"/>
      <c r="P73"/>
    </row>
    <row r="74" spans="2:16" ht="14.4">
      <c r="C74" s="56"/>
      <c r="D74" s="56"/>
      <c r="E74" s="56"/>
      <c r="F74" s="56"/>
      <c r="O74"/>
      <c r="P74" s="771"/>
    </row>
    <row r="75" spans="2:16" ht="14.4">
      <c r="C75" s="56"/>
      <c r="D75" s="56"/>
      <c r="E75" s="56"/>
      <c r="F75" s="56"/>
      <c r="O75"/>
      <c r="P75" s="771"/>
    </row>
    <row r="76" spans="2:16" ht="14.4">
      <c r="C76" s="56"/>
      <c r="D76" s="56"/>
      <c r="E76" s="56"/>
      <c r="F76" s="56"/>
      <c r="O76"/>
      <c r="P76" s="771"/>
    </row>
    <row r="77" spans="2:16" ht="14.4">
      <c r="C77" s="56"/>
      <c r="D77" s="56"/>
      <c r="E77" s="56"/>
      <c r="F77" s="56"/>
      <c r="O77"/>
      <c r="P77" s="771"/>
    </row>
    <row r="78" spans="2:16" ht="14.4">
      <c r="C78" s="56"/>
      <c r="E78" s="56"/>
      <c r="F78" s="56"/>
      <c r="O78"/>
      <c r="P78"/>
    </row>
    <row r="79" spans="2:16">
      <c r="O79"/>
      <c r="P79"/>
    </row>
    <row r="80" spans="2:16" ht="14.4">
      <c r="E80" s="212"/>
      <c r="F80" s="212"/>
      <c r="O80"/>
      <c r="P80" s="771"/>
    </row>
    <row r="81" spans="5:16" ht="14.4">
      <c r="E81" s="56"/>
      <c r="F81" s="56"/>
      <c r="O81"/>
      <c r="P81" s="771"/>
    </row>
    <row r="82" spans="5:16" ht="14.4">
      <c r="E82" s="56"/>
      <c r="F82" s="56"/>
      <c r="O82"/>
      <c r="P82" s="771"/>
    </row>
    <row r="83" spans="5:16" ht="14.4">
      <c r="E83" s="56"/>
      <c r="F83" s="56"/>
      <c r="O83"/>
      <c r="P83" s="771"/>
    </row>
    <row r="84" spans="5:16" ht="14.4">
      <c r="E84" s="56"/>
      <c r="F84" s="56"/>
      <c r="O84"/>
      <c r="P84"/>
    </row>
    <row r="85" spans="5:16" ht="14.4">
      <c r="E85" s="56"/>
      <c r="F85" s="56"/>
      <c r="O85"/>
      <c r="P85"/>
    </row>
    <row r="86" spans="5:16" ht="14.4">
      <c r="E86" s="56"/>
      <c r="F86" s="56"/>
      <c r="O86"/>
      <c r="P86" s="771"/>
    </row>
    <row r="87" spans="5:16">
      <c r="O87"/>
      <c r="P87" s="771"/>
    </row>
    <row r="88" spans="5:16" ht="14.4">
      <c r="E88" s="212"/>
      <c r="F88" s="212"/>
      <c r="O88"/>
      <c r="P88" s="771"/>
    </row>
    <row r="89" spans="5:16" ht="14.4">
      <c r="E89" s="56"/>
      <c r="F89" s="56"/>
      <c r="O89"/>
      <c r="P89" s="771"/>
    </row>
    <row r="90" spans="5:16" ht="14.4">
      <c r="E90" s="56"/>
      <c r="F90" s="56"/>
      <c r="O90"/>
      <c r="P90"/>
    </row>
    <row r="91" spans="5:16" ht="14.4">
      <c r="E91" s="56"/>
      <c r="F91" s="56"/>
      <c r="O91"/>
      <c r="P91"/>
    </row>
    <row r="92" spans="5:16" ht="14.4">
      <c r="E92" s="56"/>
      <c r="F92" s="56"/>
      <c r="O92"/>
      <c r="P92" s="771"/>
    </row>
    <row r="93" spans="5:16" ht="14.4">
      <c r="E93" s="56"/>
      <c r="F93" s="56"/>
      <c r="O93"/>
      <c r="P93" s="771"/>
    </row>
    <row r="94" spans="5:16" ht="14.4">
      <c r="E94" s="56"/>
      <c r="F94" s="56"/>
      <c r="O94"/>
      <c r="P94" s="771"/>
    </row>
    <row r="95" spans="5:16">
      <c r="E95" s="365"/>
      <c r="F95" s="365"/>
      <c r="O95"/>
      <c r="P95" s="771"/>
    </row>
    <row r="96" spans="5:16">
      <c r="O96"/>
      <c r="P96"/>
    </row>
    <row r="97" spans="15:16">
      <c r="O97"/>
      <c r="P97"/>
    </row>
  </sheetData>
  <mergeCells count="33">
    <mergeCell ref="B24:C24"/>
    <mergeCell ref="D24:E24"/>
    <mergeCell ref="B1:O1"/>
    <mergeCell ref="G3:H3"/>
    <mergeCell ref="I3:J3"/>
    <mergeCell ref="K3:L3"/>
    <mergeCell ref="M3:N3"/>
    <mergeCell ref="B4:E4"/>
    <mergeCell ref="B5:C5"/>
    <mergeCell ref="D5:E5"/>
    <mergeCell ref="B6:B21"/>
    <mergeCell ref="C6:C21"/>
    <mergeCell ref="B23:E23"/>
    <mergeCell ref="J60:L60"/>
    <mergeCell ref="B32:E32"/>
    <mergeCell ref="B33:C33"/>
    <mergeCell ref="D33:E33"/>
    <mergeCell ref="B34:B39"/>
    <mergeCell ref="C34:C39"/>
    <mergeCell ref="B42:D42"/>
    <mergeCell ref="B44:G44"/>
    <mergeCell ref="K44:O44"/>
    <mergeCell ref="B45:C45"/>
    <mergeCell ref="D45:E45"/>
    <mergeCell ref="P80:P83"/>
    <mergeCell ref="P86:P89"/>
    <mergeCell ref="P92:P95"/>
    <mergeCell ref="G61:O61"/>
    <mergeCell ref="P62:P65"/>
    <mergeCell ref="G67:P67"/>
    <mergeCell ref="P68:P71"/>
    <mergeCell ref="G73:O73"/>
    <mergeCell ref="P74:P77"/>
  </mergeCells>
  <pageMargins left="0.7" right="0.7" top="0.75" bottom="0.75" header="0.3" footer="0.3"/>
  <pageSetup orientation="portrait" r:id="rId1"/>
  <legacyDrawing r:id="rId2"/>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9207D-F627-4163-8FAA-91B84AA74CF7}">
  <dimension ref="A1:T97"/>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SEP-OCT 2022</v>
      </c>
      <c r="B1" s="730" t="str">
        <f ca="1">MID(CELL("filename",B1),FIND("]",CELL("filename",B1))+1,255)</f>
        <v>OCT-NOV 2022</v>
      </c>
      <c r="C1" s="731"/>
      <c r="D1" s="731"/>
      <c r="E1" s="731"/>
      <c r="F1" s="731"/>
      <c r="G1" s="731"/>
      <c r="H1" s="731"/>
      <c r="I1" s="731"/>
      <c r="J1" s="731"/>
      <c r="K1" s="731"/>
      <c r="L1" s="731"/>
      <c r="M1" s="731"/>
      <c r="N1" s="731"/>
      <c r="O1" s="731"/>
      <c r="P1" s="298"/>
      <c r="Q1" s="281"/>
      <c r="R1" s="272"/>
      <c r="S1" s="272"/>
      <c r="T1" s="272"/>
    </row>
    <row r="2" spans="1:20">
      <c r="B2" s="118"/>
      <c r="C2" s="118"/>
      <c r="E2" s="365">
        <f>2742.7-F2</f>
        <v>-562.36000000000058</v>
      </c>
      <c r="F2" s="365">
        <f>2590.53+H4</f>
        <v>3305.0600000000004</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ROUND(O5+O33+O24+IF(O39&lt;0,0,O39)+O40+O4,2) &amp; " / " &amp; "£" &amp; E42</f>
        <v>£1913.95 / £5968.36</v>
      </c>
      <c r="E3" s="365">
        <f>2802.81-2787.81</f>
        <v>15</v>
      </c>
      <c r="F3" s="365"/>
      <c r="G3" s="732">
        <v>44859</v>
      </c>
      <c r="H3" s="732"/>
      <c r="I3" s="732">
        <f>G3+7</f>
        <v>44866</v>
      </c>
      <c r="J3" s="732"/>
      <c r="K3" s="732">
        <f>I3+7</f>
        <v>44873</v>
      </c>
      <c r="L3" s="732"/>
      <c r="M3" s="732">
        <f>K3+7</f>
        <v>44880</v>
      </c>
      <c r="N3" s="732"/>
      <c r="O3" s="308">
        <v>0</v>
      </c>
      <c r="P3" s="325" t="s">
        <v>1224</v>
      </c>
      <c r="Q3" s="282"/>
    </row>
    <row r="4" spans="1:20" ht="15" customHeight="1">
      <c r="B4" s="727" t="str">
        <f>_xlfn.CONCAT("Expenses - 50 - ",G42*0.5," / Actual = ",ROUND(D5,2)," (",ROUND((D5/G42)*100,2),")")</f>
        <v>Expenses - 50 - 2557.69 / Actual = 1704.53 (33.32)</v>
      </c>
      <c r="C4" s="727"/>
      <c r="D4" s="727"/>
      <c r="E4" s="727"/>
      <c r="F4" s="318"/>
      <c r="H4" s="243">
        <f>SUM(H5:H40)</f>
        <v>714.53</v>
      </c>
      <c r="J4" s="243">
        <f>SUM(J5:J40)</f>
        <v>350.59000000000003</v>
      </c>
      <c r="L4" s="243">
        <f>SUM(L5:L40)</f>
        <v>243.79999999999998</v>
      </c>
      <c r="N4" s="243">
        <f>SUM(N5:N40)</f>
        <v>227.67000000000002</v>
      </c>
      <c r="O4" s="308">
        <f>IF(H41&lt;&gt;"PAID",H4,0)+IF(J41&lt;&gt;"PAID",J4,0)+IF(L41&lt;&gt;"PAID",L4,0)+IF(N41&lt;&gt;"PAID",N4,0)</f>
        <v>1536.59</v>
      </c>
      <c r="P4" s="309" t="s">
        <v>973</v>
      </c>
      <c r="Q4" s="408">
        <f>401.15-O4</f>
        <v>-1135.44</v>
      </c>
      <c r="R4" s="243"/>
      <c r="S4" s="243"/>
    </row>
    <row r="5" spans="1:20" ht="15" customHeight="1">
      <c r="B5" s="733" t="str">
        <f>IF(D5&gt;E$42*0.5,ROUND(D5-E$42*0.5,2) &amp; " Over",ROUND(E$42*0.5-D5,2) &amp; " Under")</f>
        <v>1279.65 Under</v>
      </c>
      <c r="C5" s="733"/>
      <c r="D5" s="761">
        <f>ROUND(SUM(F6:F21),2)</f>
        <v>1704.53</v>
      </c>
      <c r="E5" s="761"/>
      <c r="F5" s="321"/>
      <c r="G5" s="284"/>
      <c r="H5" s="306"/>
      <c r="I5" s="79"/>
      <c r="J5" s="306"/>
      <c r="K5" s="79"/>
      <c r="L5" s="306"/>
      <c r="M5" s="79"/>
      <c r="N5" s="305"/>
      <c r="O5" s="285">
        <f>SUMIF(O6:O21,"&gt;0")</f>
        <v>0.79999999999999716</v>
      </c>
      <c r="P5" s="285" t="s">
        <v>892</v>
      </c>
      <c r="Q5" s="282">
        <f>SUM(Q6:Q21)</f>
        <v>7.5033333333333374</v>
      </c>
      <c r="R5" s="243"/>
    </row>
    <row r="6" spans="1:20" ht="15" customHeight="1">
      <c r="B6" s="734" t="str">
        <f>"50%: " &amp; E$42*0.5</f>
        <v>50%: 2984.18</v>
      </c>
      <c r="C6" s="734" t="str">
        <f>ROUND((D5/E$42)*100,2) &amp; "%: " &amp;D5</f>
        <v>28.56%: 1704.53</v>
      </c>
      <c r="D6" s="13" t="s">
        <v>805</v>
      </c>
      <c r="E6" s="365">
        <v>0</v>
      </c>
      <c r="F6" s="374">
        <f>200-45-4.73</f>
        <v>150.27000000000001</v>
      </c>
      <c r="H6" s="305">
        <f>37.4+35.98</f>
        <v>73.38</v>
      </c>
      <c r="J6" s="305">
        <f>39.71+37.18</f>
        <v>76.89</v>
      </c>
      <c r="L6" s="305"/>
      <c r="N6" s="305"/>
      <c r="O6" s="274">
        <f>SUM(E6:F6)-SUM(G6:N6)</f>
        <v>0</v>
      </c>
      <c r="P6" s="274" t="str">
        <f t="shared" ref="P6:P21" si="0">D6</f>
        <v>Car Petrol / commuting</v>
      </c>
      <c r="Q6" s="282">
        <f t="shared" ref="Q6:Q21" si="1">IF(O6&lt;0,O6*-1,0)</f>
        <v>0</v>
      </c>
      <c r="R6" s="243"/>
    </row>
    <row r="7" spans="1:20" ht="15" customHeight="1">
      <c r="B7" s="734"/>
      <c r="C7" s="734"/>
      <c r="D7" s="13" t="s">
        <v>169</v>
      </c>
      <c r="E7" s="365">
        <v>0</v>
      </c>
      <c r="F7" s="365">
        <f>400</f>
        <v>400</v>
      </c>
      <c r="H7" s="305">
        <f>10.26+8.16+30.7+84.56</f>
        <v>133.68</v>
      </c>
      <c r="I7">
        <f>9.62</f>
        <v>9.6199999999999992</v>
      </c>
      <c r="J7" s="305">
        <f>62.45+7.25</f>
        <v>69.7</v>
      </c>
      <c r="L7" s="305">
        <f>47.24+51.43</f>
        <v>98.67</v>
      </c>
      <c r="N7" s="305">
        <f>52.94+42.89</f>
        <v>95.83</v>
      </c>
      <c r="O7" s="274">
        <f>SUM(E7:F7)-SUM(G7:N7)</f>
        <v>-7.5</v>
      </c>
      <c r="P7" s="274" t="str">
        <f t="shared" si="0"/>
        <v>Food</v>
      </c>
      <c r="Q7" s="282">
        <f t="shared" si="1"/>
        <v>7.5</v>
      </c>
      <c r="R7" s="243"/>
    </row>
    <row r="8" spans="1:20" ht="15" customHeight="1">
      <c r="B8" s="734"/>
      <c r="C8" s="734"/>
      <c r="D8" s="13" t="s">
        <v>153</v>
      </c>
      <c r="E8" s="365">
        <v>0</v>
      </c>
      <c r="F8" s="365">
        <f>100+63-12.4</f>
        <v>150.6</v>
      </c>
      <c r="G8">
        <f>44.83</f>
        <v>44.83</v>
      </c>
      <c r="H8" s="305"/>
      <c r="I8">
        <f>63+26.92</f>
        <v>89.92</v>
      </c>
      <c r="J8" s="362"/>
      <c r="K8">
        <f>15.85</f>
        <v>15.85</v>
      </c>
      <c r="L8" s="305"/>
      <c r="N8" s="305"/>
      <c r="O8" s="274">
        <f>SUM(E8:F8)-SUM(G8:N8)</f>
        <v>0</v>
      </c>
      <c r="P8" s="274" t="str">
        <f t="shared" si="0"/>
        <v>Luna</v>
      </c>
      <c r="Q8" s="282">
        <f t="shared" si="1"/>
        <v>0</v>
      </c>
    </row>
    <row r="9" spans="1:20" ht="15" customHeight="1">
      <c r="B9" s="734"/>
      <c r="C9" s="734"/>
      <c r="D9" s="13" t="s">
        <v>1079</v>
      </c>
      <c r="E9" s="365">
        <v>0</v>
      </c>
      <c r="F9" s="365">
        <f>40+12.4-1.15</f>
        <v>51.25</v>
      </c>
      <c r="H9" s="305">
        <v>25.79</v>
      </c>
      <c r="J9" s="305"/>
      <c r="L9" s="305">
        <f>25.46</f>
        <v>25.46</v>
      </c>
      <c r="N9" s="305"/>
      <c r="O9" s="274">
        <f>SUM(E9:F9)-SUM(G9:N9)</f>
        <v>0</v>
      </c>
      <c r="P9" s="274" t="str">
        <f t="shared" si="0"/>
        <v>Creamy</v>
      </c>
      <c r="Q9" s="282">
        <f t="shared" si="1"/>
        <v>0</v>
      </c>
    </row>
    <row r="10" spans="1:20" ht="15" customHeight="1" outlineLevel="1">
      <c r="B10" s="734"/>
      <c r="C10" s="734"/>
      <c r="D10" s="201" t="s">
        <v>595</v>
      </c>
      <c r="E10" s="365">
        <v>0</v>
      </c>
      <c r="F10" s="365">
        <f>452.64</f>
        <v>452.64</v>
      </c>
      <c r="H10" s="305"/>
      <c r="J10" s="305"/>
      <c r="L10" s="305"/>
      <c r="M10">
        <v>452.64</v>
      </c>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139</v>
      </c>
      <c r="H11" s="305"/>
      <c r="J11" s="305"/>
      <c r="K11">
        <f>139</f>
        <v>139</v>
      </c>
      <c r="L11" s="305"/>
      <c r="N11" s="305"/>
      <c r="O11" s="274">
        <f t="shared" si="2"/>
        <v>0</v>
      </c>
      <c r="P11" s="274" t="str">
        <f t="shared" si="0"/>
        <v>Council tax</v>
      </c>
      <c r="Q11" s="282">
        <f t="shared" si="1"/>
        <v>0</v>
      </c>
    </row>
    <row r="12" spans="1:20" ht="15" customHeight="1" outlineLevel="1">
      <c r="B12" s="734"/>
      <c r="C12" s="734"/>
      <c r="D12" s="201" t="s">
        <v>1002</v>
      </c>
      <c r="E12" s="365">
        <v>0</v>
      </c>
      <c r="F12" s="365">
        <f>46+74.75+1</f>
        <v>121.75</v>
      </c>
      <c r="G12">
        <f>1+74.75</f>
        <v>75.75</v>
      </c>
      <c r="H12" s="305"/>
      <c r="J12" s="305"/>
      <c r="L12" s="305"/>
      <c r="M12">
        <v>46</v>
      </c>
      <c r="N12" s="305"/>
      <c r="O12" s="274">
        <f>SUM(E12:F12)-SUM(G12:N12)</f>
        <v>0</v>
      </c>
      <c r="P12" s="274" t="str">
        <f t="shared" si="0"/>
        <v>Utilities (G,W,E,HTB)</v>
      </c>
      <c r="Q12" s="282">
        <f t="shared" si="1"/>
        <v>0</v>
      </c>
    </row>
    <row r="13" spans="1:20" ht="15" customHeight="1" outlineLevel="1">
      <c r="B13" s="734"/>
      <c r="C13" s="734"/>
      <c r="D13" s="201" t="s">
        <v>996</v>
      </c>
      <c r="E13" s="365">
        <v>0</v>
      </c>
      <c r="F13" s="365">
        <f>16.42</f>
        <v>16.420000000000002</v>
      </c>
      <c r="G13">
        <v>16.420000000000002</v>
      </c>
      <c r="H13" s="305"/>
      <c r="J13" s="305"/>
      <c r="L13" s="305"/>
      <c r="N13" s="305"/>
      <c r="O13" s="274">
        <f>SUM(E13:F13)-SUM(G13:N13)</f>
        <v>0</v>
      </c>
      <c r="P13" s="274" t="str">
        <f t="shared" si="0"/>
        <v>Home Insurance</v>
      </c>
      <c r="Q13" s="282">
        <f t="shared" si="1"/>
        <v>0</v>
      </c>
    </row>
    <row r="14" spans="1:20" ht="15" customHeight="1" outlineLevel="1">
      <c r="B14" s="734"/>
      <c r="C14" s="734"/>
      <c r="D14" s="201" t="s">
        <v>359</v>
      </c>
      <c r="E14" s="365">
        <v>27.33</v>
      </c>
      <c r="F14" s="365">
        <f>41/3</f>
        <v>13.666666666666666</v>
      </c>
      <c r="H14" s="305"/>
      <c r="J14" s="305"/>
      <c r="K14">
        <f>41</f>
        <v>41</v>
      </c>
      <c r="L14" s="305"/>
      <c r="N14" s="305"/>
      <c r="O14" s="274">
        <f t="shared" si="2"/>
        <v>-3.3333333333374071E-3</v>
      </c>
      <c r="P14" s="274" t="str">
        <f t="shared" si="0"/>
        <v>TV License</v>
      </c>
      <c r="Q14" s="282">
        <f t="shared" si="1"/>
        <v>3.3333333333374071E-3</v>
      </c>
    </row>
    <row r="15" spans="1:20" ht="15" customHeight="1" outlineLevel="1">
      <c r="B15" s="734"/>
      <c r="C15" s="734"/>
      <c r="D15" s="201" t="s">
        <v>1056</v>
      </c>
      <c r="E15" s="365">
        <v>0</v>
      </c>
      <c r="F15" s="365">
        <f>8+36.79+16.6</f>
        <v>61.39</v>
      </c>
      <c r="G15">
        <f>16.6</f>
        <v>16.600000000000001</v>
      </c>
      <c r="H15" s="305"/>
      <c r="J15" s="305"/>
      <c r="K15">
        <f>8+35.99</f>
        <v>43.99</v>
      </c>
      <c r="L15" s="305"/>
      <c r="N15" s="305"/>
      <c r="O15" s="274">
        <f>SUM(E15:F15)-SUM(G15:N15)</f>
        <v>0.79999999999999716</v>
      </c>
      <c r="P15" s="274" t="str">
        <f t="shared" si="0"/>
        <v>Pet Health / Insurance</v>
      </c>
      <c r="Q15" s="282">
        <f t="shared" si="1"/>
        <v>0</v>
      </c>
    </row>
    <row r="16" spans="1:20" ht="15" customHeight="1" outlineLevel="1">
      <c r="B16" s="734"/>
      <c r="C16" s="734"/>
      <c r="D16" s="201" t="s">
        <v>1057</v>
      </c>
      <c r="E16" s="365">
        <v>0</v>
      </c>
      <c r="F16" s="365">
        <f>4.52+15.97+8.56</f>
        <v>29.050000000000004</v>
      </c>
      <c r="G16">
        <v>29.05</v>
      </c>
      <c r="H16" s="305"/>
      <c r="I16" s="11"/>
      <c r="J16" s="305"/>
      <c r="L16" s="305"/>
      <c r="N16" s="305"/>
      <c r="O16" s="274">
        <f t="shared" si="2"/>
        <v>0</v>
      </c>
      <c r="P16" s="274" t="str">
        <f t="shared" si="0"/>
        <v>Life / Income Insurance</v>
      </c>
      <c r="Q16" s="282">
        <f t="shared" si="1"/>
        <v>0</v>
      </c>
    </row>
    <row r="17" spans="2:17" ht="15" customHeight="1" outlineLevel="1">
      <c r="B17" s="734"/>
      <c r="C17" s="734"/>
      <c r="D17" s="201" t="s">
        <v>602</v>
      </c>
      <c r="E17" s="365">
        <v>0</v>
      </c>
      <c r="F17" s="365">
        <v>25</v>
      </c>
      <c r="H17" s="305"/>
      <c r="J17" s="305"/>
      <c r="K17">
        <v>25</v>
      </c>
      <c r="L17" s="305"/>
      <c r="N17" s="305"/>
      <c r="O17" s="274">
        <f>SUM(E17:F17)-SUM(G17:N17)</f>
        <v>0</v>
      </c>
      <c r="P17" s="274" t="str">
        <f t="shared" si="0"/>
        <v>Broadband / TV</v>
      </c>
      <c r="Q17" s="282">
        <f t="shared" si="1"/>
        <v>0</v>
      </c>
    </row>
    <row r="18" spans="2:17" ht="15" customHeight="1" outlineLevel="1">
      <c r="B18" s="734"/>
      <c r="C18" s="734"/>
      <c r="D18" s="201" t="s">
        <v>582</v>
      </c>
      <c r="E18" s="365">
        <v>0</v>
      </c>
      <c r="F18" s="365">
        <v>7.99</v>
      </c>
      <c r="H18" s="305"/>
      <c r="I18">
        <f>7.99</f>
        <v>7.99</v>
      </c>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f>11.55</f>
        <v>11.55</v>
      </c>
      <c r="G19">
        <v>11.55</v>
      </c>
      <c r="H19" s="305"/>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11.81+32.71+14.43</f>
        <v>58.95</v>
      </c>
      <c r="G20">
        <f>11.81+14.43+32.71</f>
        <v>58.95</v>
      </c>
      <c r="H20" s="305"/>
      <c r="J20" s="305"/>
      <c r="L20" s="305"/>
      <c r="N20" s="305"/>
      <c r="O20" s="274">
        <f>SUM(E20:F20)-SUM(G20:N20)</f>
        <v>0</v>
      </c>
      <c r="P20" s="274" t="str">
        <f t="shared" si="0"/>
        <v>Car Tax / Insurance</v>
      </c>
      <c r="Q20" s="282">
        <f t="shared" si="1"/>
        <v>0</v>
      </c>
    </row>
    <row r="21" spans="2:17" ht="15" customHeight="1" outlineLevel="1">
      <c r="B21" s="734"/>
      <c r="C21" s="734"/>
      <c r="D21" s="201" t="s">
        <v>944</v>
      </c>
      <c r="E21" s="365">
        <v>0</v>
      </c>
      <c r="F21" s="365">
        <v>15</v>
      </c>
      <c r="G21">
        <v>15</v>
      </c>
      <c r="H21" s="305"/>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",G42*0.2," / Actual = ",D24," (",ROUND((D24/G42)*100,2),")")</f>
        <v>Savings - 20 - 1023.076 / Actual = 598.68 (11.7)</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SUM(F25:F30)</f>
        <v>598.68000000000006</v>
      </c>
      <c r="E24" s="759"/>
      <c r="F24" s="319"/>
      <c r="H24" s="305"/>
      <c r="J24" s="305"/>
      <c r="L24" s="305"/>
      <c r="N24" s="305"/>
      <c r="O24" s="285">
        <f>SUMIF(O25:O30,"&gt;0")</f>
        <v>198.69666666666561</v>
      </c>
      <c r="P24" s="285" t="s">
        <v>895</v>
      </c>
      <c r="Q24" s="282">
        <f>SUM(Q25:Q29)</f>
        <v>0</v>
      </c>
    </row>
    <row r="25" spans="2:17" ht="15" customHeight="1" outlineLevel="1">
      <c r="B25" s="7" t="str">
        <f>"20% : " &amp; E$42*0.2</f>
        <v>20% : 1193.672</v>
      </c>
      <c r="C25" s="7" t="str">
        <f>"20% : " &amp; E$42*0.2</f>
        <v>20% : 1193.672</v>
      </c>
      <c r="D25" s="300" t="s">
        <v>590</v>
      </c>
      <c r="E25" s="365">
        <v>8.75</v>
      </c>
      <c r="F25" s="365">
        <f>75</f>
        <v>75</v>
      </c>
      <c r="G25">
        <f>12.6</f>
        <v>12.6</v>
      </c>
      <c r="H25" s="305"/>
      <c r="J25" s="305"/>
      <c r="L25" s="315"/>
      <c r="N25" s="305"/>
      <c r="O25" s="274">
        <f>SUM(E25:F25)-SUM(G25:N25)-Q42</f>
        <v>62.206666666665591</v>
      </c>
      <c r="P25" s="274" t="str">
        <f t="shared" ref="P25:P30" si="3">D25</f>
        <v>Contingency</v>
      </c>
      <c r="Q25" s="282">
        <v>0</v>
      </c>
    </row>
    <row r="26" spans="2:17" ht="15" customHeight="1" outlineLevel="1">
      <c r="B26" s="7"/>
      <c r="C26" s="7"/>
      <c r="D26" s="300" t="s">
        <v>998</v>
      </c>
      <c r="E26" s="365">
        <v>0</v>
      </c>
      <c r="F26" s="365">
        <v>100</v>
      </c>
      <c r="G26" s="11">
        <v>100</v>
      </c>
      <c r="H26" s="306"/>
      <c r="J26" s="305"/>
      <c r="L26" s="305"/>
      <c r="N26" s="305"/>
      <c r="O26" s="274">
        <f>SUM(E26:F26)-SUM(G26:N26)</f>
        <v>0</v>
      </c>
      <c r="P26" s="274" t="str">
        <f t="shared" si="3"/>
        <v>Cars (Service / MOT)</v>
      </c>
      <c r="Q26" s="282">
        <f t="shared" ref="Q26:Q30" si="4">IF(O26&lt;0,O26*-1,0)</f>
        <v>0</v>
      </c>
    </row>
    <row r="27" spans="2:17" ht="15" customHeight="1" outlineLevel="1">
      <c r="B27" s="7"/>
      <c r="C27" s="7"/>
      <c r="D27" s="300" t="s">
        <v>1135</v>
      </c>
      <c r="E27" s="365">
        <v>0</v>
      </c>
      <c r="F27" s="365">
        <v>25</v>
      </c>
      <c r="G27" s="11"/>
      <c r="H27" s="306"/>
      <c r="J27" s="305">
        <f>25</f>
        <v>25</v>
      </c>
      <c r="L27" s="305"/>
      <c r="N27" s="305"/>
      <c r="O27" s="274">
        <f>SUM(E27:F27)-SUM(G27:N27)</f>
        <v>0</v>
      </c>
      <c r="P27" s="274" t="str">
        <f t="shared" si="3"/>
        <v>Investment</v>
      </c>
      <c r="Q27" s="282">
        <f t="shared" si="4"/>
        <v>0</v>
      </c>
    </row>
    <row r="28" spans="2:17" ht="15" customHeight="1" outlineLevel="1">
      <c r="B28" s="7"/>
      <c r="C28" s="7"/>
      <c r="D28" s="300" t="s">
        <v>999</v>
      </c>
      <c r="E28" s="365">
        <v>0</v>
      </c>
      <c r="F28" s="365">
        <v>0</v>
      </c>
      <c r="G28" s="11"/>
      <c r="H28" s="306"/>
      <c r="J28" s="305"/>
      <c r="L28" s="305"/>
      <c r="N28" s="305"/>
      <c r="O28" s="274">
        <f t="shared" ref="O28:O30" si="5">SUM(E28:F28)-SUM(G28:N28)</f>
        <v>0</v>
      </c>
      <c r="P28" s="274" t="str">
        <f t="shared" si="3"/>
        <v>Mortgage Overpayment</v>
      </c>
      <c r="Q28" s="282">
        <f t="shared" si="4"/>
        <v>0</v>
      </c>
    </row>
    <row r="29" spans="2:17" ht="15" customHeight="1" outlineLevel="1">
      <c r="B29" s="7"/>
      <c r="C29" s="7"/>
      <c r="D29" s="300" t="s">
        <v>814</v>
      </c>
      <c r="E29" s="365">
        <v>0</v>
      </c>
      <c r="F29" s="365">
        <v>0</v>
      </c>
      <c r="G29" s="11"/>
      <c r="H29" s="306"/>
      <c r="J29" s="305"/>
      <c r="L29" s="305"/>
      <c r="N29" s="305"/>
      <c r="O29" s="274">
        <f t="shared" si="5"/>
        <v>0</v>
      </c>
      <c r="P29" s="274" t="str">
        <f t="shared" si="3"/>
        <v>CC</v>
      </c>
      <c r="Q29" s="282">
        <f t="shared" si="4"/>
        <v>0</v>
      </c>
    </row>
    <row r="30" spans="2:17" ht="15" customHeight="1" outlineLevel="1">
      <c r="B30" s="7"/>
      <c r="C30" s="7"/>
      <c r="D30" s="300" t="s">
        <v>1225</v>
      </c>
      <c r="E30" s="365">
        <v>28.18</v>
      </c>
      <c r="F30" s="365">
        <f>219.69+42.5+93.99+42.5</f>
        <v>398.68</v>
      </c>
      <c r="G30" s="11">
        <v>290.37</v>
      </c>
      <c r="H30" s="306"/>
      <c r="J30" s="305"/>
      <c r="L30" s="305"/>
      <c r="N30" s="305"/>
      <c r="O30" s="274">
        <f t="shared" si="5"/>
        <v>136.49</v>
      </c>
      <c r="P30" s="274" t="str">
        <f t="shared" si="3"/>
        <v>Tesco Finance</v>
      </c>
      <c r="Q30" s="282">
        <f t="shared" si="4"/>
        <v>0</v>
      </c>
    </row>
    <row r="31" spans="2:17" ht="15" customHeight="1">
      <c r="B31" s="118"/>
      <c r="C31" s="118"/>
      <c r="E31" s="365"/>
      <c r="F31" s="365"/>
      <c r="H31" s="305"/>
      <c r="J31" s="305"/>
      <c r="L31" s="305"/>
      <c r="N31" s="305"/>
      <c r="O31" s="273"/>
      <c r="P31" s="273"/>
      <c r="Q31" s="282"/>
    </row>
    <row r="32" spans="2:17" ht="15" customHeight="1">
      <c r="B32" s="727" t="str">
        <f>_xlfn.CONCAT("Wants - 30 - ",G42*0.3," / Actual = ",D33," (",ROUND((D33/G42)*100,2),")")</f>
        <v>Wants - 30 - 1534.614 / Actual = 2914.17 (56.97)</v>
      </c>
      <c r="C32" s="727"/>
      <c r="D32" s="727"/>
      <c r="E32" s="727"/>
      <c r="F32" s="318"/>
      <c r="H32" s="305"/>
      <c r="J32" s="305"/>
      <c r="L32" s="305"/>
      <c r="N32" s="305"/>
      <c r="O32" s="273"/>
      <c r="P32" s="273"/>
      <c r="Q32" s="282"/>
    </row>
    <row r="33" spans="2:19" ht="15" customHeight="1">
      <c r="B33" s="727" t="str">
        <f>IF(ISNUMBER((SEARCH("Over",B$5))),"Operating under budget","Operating over budget")</f>
        <v>Operating over budget</v>
      </c>
      <c r="C33" s="727"/>
      <c r="D33" s="759">
        <f>(E$42-D5-D24-E41)</f>
        <v>2914.1699999999987</v>
      </c>
      <c r="E33" s="727"/>
      <c r="F33" s="319">
        <f>SUM(F34:F39)</f>
        <v>2856.619999999999</v>
      </c>
      <c r="H33" s="305"/>
      <c r="J33" s="305"/>
      <c r="L33" s="305"/>
      <c r="N33" s="305"/>
      <c r="O33" s="285">
        <f>SUMIF(O34:O38,"&gt;0")</f>
        <v>178.82999999999998</v>
      </c>
      <c r="P33" s="285" t="s">
        <v>899</v>
      </c>
      <c r="Q33" s="282">
        <f>SUM(Q34:Q39)</f>
        <v>1.4400000000010778</v>
      </c>
    </row>
    <row r="34" spans="2:19" ht="15" customHeight="1" outlineLevel="1">
      <c r="B34" s="734"/>
      <c r="C34" s="760"/>
      <c r="D34" s="300" t="s">
        <v>354</v>
      </c>
      <c r="E34" s="365">
        <v>0</v>
      </c>
      <c r="F34" s="365">
        <f>425+279.8-6.56</f>
        <v>698.24</v>
      </c>
      <c r="G34">
        <f>630.74+67.5</f>
        <v>698.24</v>
      </c>
      <c r="H34" s="305"/>
      <c r="J34" s="305"/>
      <c r="L34" s="305"/>
      <c r="N34" s="305"/>
      <c r="O34" s="274">
        <f>SUM(E34:F34)-SUM(G34:N34)</f>
        <v>0</v>
      </c>
      <c r="P34" s="274" t="str">
        <f t="shared" ref="P34:P40" si="6">D34</f>
        <v>Holiday</v>
      </c>
      <c r="Q34" s="282">
        <f t="shared" ref="Q34:Q37" si="7">IF(O34&lt;0,O34*-1,0)</f>
        <v>0</v>
      </c>
      <c r="R34" s="11"/>
      <c r="S34" s="11"/>
    </row>
    <row r="35" spans="2:19" ht="15" customHeight="1" outlineLevel="1">
      <c r="B35" s="734"/>
      <c r="C35" s="760"/>
      <c r="D35" s="300" t="s">
        <v>175</v>
      </c>
      <c r="E35" s="365">
        <v>0</v>
      </c>
      <c r="F35" s="365">
        <v>185</v>
      </c>
      <c r="H35" s="305"/>
      <c r="J35" s="305">
        <v>185</v>
      </c>
      <c r="L35" s="305"/>
      <c r="N35" s="305"/>
      <c r="O35" s="274">
        <f>SUM(E35:F35)-SUM(G35:N35)</f>
        <v>0</v>
      </c>
      <c r="P35" s="274" t="str">
        <f t="shared" si="6"/>
        <v>Ring</v>
      </c>
      <c r="Q35" s="282">
        <f t="shared" si="7"/>
        <v>0</v>
      </c>
      <c r="R35" s="11"/>
      <c r="S35" s="11"/>
    </row>
    <row r="36" spans="2:19" ht="15" customHeight="1" outlineLevel="1">
      <c r="B36" s="734"/>
      <c r="C36" s="760"/>
      <c r="D36" s="300" t="s">
        <v>797</v>
      </c>
      <c r="E36" s="365">
        <f>720.14-210.57</f>
        <v>509.57</v>
      </c>
      <c r="F36" s="365">
        <f>425+600+100-279.8+6.56+130</f>
        <v>981.76</v>
      </c>
      <c r="G36">
        <v>1361.33</v>
      </c>
      <c r="H36" s="305"/>
      <c r="J36" s="305"/>
      <c r="L36" s="305"/>
      <c r="M36">
        <f>16.51</f>
        <v>16.510000000000002</v>
      </c>
      <c r="N36" s="305"/>
      <c r="O36" s="274">
        <f>SUM(E36:F36)-SUM(G36:N36)</f>
        <v>113.49000000000001</v>
      </c>
      <c r="P36" s="274" t="str">
        <f t="shared" si="6"/>
        <v>Bali</v>
      </c>
      <c r="Q36" s="282">
        <f t="shared" si="7"/>
        <v>0</v>
      </c>
      <c r="R36" s="11"/>
      <c r="S36" s="11"/>
    </row>
    <row r="37" spans="2:19" ht="15" customHeight="1" outlineLevel="1">
      <c r="B37" s="734"/>
      <c r="C37" s="760"/>
      <c r="D37" s="300" t="s">
        <v>170</v>
      </c>
      <c r="E37" s="365">
        <v>175.15</v>
      </c>
      <c r="F37" s="365">
        <f>250+54+35.98+85+45-150</f>
        <v>319.98</v>
      </c>
      <c r="H37" s="305">
        <f>250.6</f>
        <v>250.6</v>
      </c>
      <c r="J37" s="305"/>
      <c r="L37" s="305"/>
      <c r="M37">
        <f>91.2</f>
        <v>91.2</v>
      </c>
      <c r="N37" s="305">
        <f>92.98</f>
        <v>92.98</v>
      </c>
      <c r="O37" s="274">
        <f>SUM(E37:F37)-SUM(G37:N37)</f>
        <v>60.349999999999966</v>
      </c>
      <c r="P37" s="274" t="str">
        <f t="shared" si="6"/>
        <v>Gift Fund</v>
      </c>
      <c r="Q37" s="282">
        <f t="shared" si="7"/>
        <v>0</v>
      </c>
      <c r="R37" s="11"/>
      <c r="S37" s="11"/>
    </row>
    <row r="38" spans="2:19" ht="15.75" customHeight="1" outlineLevel="1">
      <c r="B38" s="734"/>
      <c r="C38" s="760"/>
      <c r="D38" s="13" t="s">
        <v>781</v>
      </c>
      <c r="E38" s="365">
        <v>2</v>
      </c>
      <c r="F38" s="365">
        <f>13+6.99+10.99+2.99+25</f>
        <v>58.970000000000006</v>
      </c>
      <c r="G38">
        <f>13+10.99</f>
        <v>23.990000000000002</v>
      </c>
      <c r="H38" s="305"/>
      <c r="I38">
        <f>6.99+25</f>
        <v>31.990000000000002</v>
      </c>
      <c r="J38" s="305"/>
      <c r="L38" s="305"/>
      <c r="N38" s="305"/>
      <c r="O38" s="274">
        <f t="shared" ref="O38" si="8">SUM(E38:F38)-SUM(G38:N38)</f>
        <v>4.990000000000002</v>
      </c>
      <c r="P38" s="274" t="str">
        <f t="shared" si="6"/>
        <v>Subscriptions</v>
      </c>
      <c r="Q38" s="282">
        <f>IF(O38&lt;0,O38*-1,0)</f>
        <v>0</v>
      </c>
      <c r="S38" s="349"/>
    </row>
    <row r="39" spans="2:19" ht="18" outlineLevel="1">
      <c r="B39" s="734"/>
      <c r="C39" s="760"/>
      <c r="D39" s="13" t="s">
        <v>922</v>
      </c>
      <c r="E39" s="365">
        <v>0</v>
      </c>
      <c r="F39" s="365">
        <f>(D33-SUM(F34:F38))-F40</f>
        <v>612.66999999999894</v>
      </c>
      <c r="G39">
        <f>4.99+20</f>
        <v>24.990000000000002</v>
      </c>
      <c r="H39" s="305">
        <f>12.5+5.45+160.97+29.98+6.63</f>
        <v>215.52999999999997</v>
      </c>
      <c r="I39">
        <f>30+2+3.3+13.55+40+10+4.55+7.34</f>
        <v>110.74</v>
      </c>
      <c r="J39" s="305">
        <f>5.59-6-5.59</f>
        <v>-6</v>
      </c>
      <c r="K39">
        <f>7.5+15.3+19.9+13.75+13.75+2+12.1</f>
        <v>84.3</v>
      </c>
      <c r="L39" s="305">
        <f>80.08+5.45+1.95-69.99+57.61+1.6</f>
        <v>76.7</v>
      </c>
      <c r="M39">
        <f>8.99+60</f>
        <v>68.989999999999995</v>
      </c>
      <c r="N39" s="305">
        <f>8.87+22+7.99</f>
        <v>38.86</v>
      </c>
      <c r="O39" s="274">
        <f>SUM(E39:F39)-SUM(G39:N39)</f>
        <v>-1.4400000000010778</v>
      </c>
      <c r="P39" s="274" t="str">
        <f t="shared" si="6"/>
        <v>Matt Fun</v>
      </c>
      <c r="Q39" s="282">
        <f>IF(SUM(E39:F39)-SUM(G39:N39)&lt;=0,(SUM(E39:F39)-SUM(G39:N39))*-1,0)</f>
        <v>1.4400000000010778</v>
      </c>
    </row>
    <row r="40" spans="2:19" ht="18" outlineLevel="1">
      <c r="B40" s="7"/>
      <c r="C40" s="284"/>
      <c r="D40" s="13" t="s">
        <v>152</v>
      </c>
      <c r="E40" s="365">
        <v>0</v>
      </c>
      <c r="F40" s="365">
        <f>15.55+42</f>
        <v>57.55</v>
      </c>
      <c r="H40" s="305">
        <v>15.55</v>
      </c>
      <c r="J40" s="305"/>
      <c r="L40" s="305">
        <f>42.97</f>
        <v>42.97</v>
      </c>
      <c r="N40" s="305"/>
      <c r="O40" s="274">
        <f>SUM(E40:F40)-SUM(G40:N40)</f>
        <v>-0.96999999999999886</v>
      </c>
      <c r="P40" s="274" t="str">
        <f t="shared" si="6"/>
        <v>Kris</v>
      </c>
      <c r="Q40" s="271">
        <f>IF(F40-SUM(G40:N40)&lt;=0,(F40-SUM(G40:N40))*-1,0)</f>
        <v>0.96999999999999886</v>
      </c>
    </row>
    <row r="41" spans="2:19">
      <c r="B41" s="118"/>
      <c r="C41" s="118"/>
      <c r="E41" s="365">
        <f>SUM(E34:E40)+SUM(E25:E30)+SUM(E6:E21)</f>
        <v>750.98</v>
      </c>
      <c r="F41" s="365"/>
      <c r="H41" s="7"/>
      <c r="J41" s="7"/>
      <c r="L41" s="7"/>
      <c r="N41" s="7"/>
      <c r="O41" s="273"/>
      <c r="P41" s="273"/>
      <c r="Q41" s="282"/>
    </row>
    <row r="42" spans="2:19" ht="18">
      <c r="B42" s="728" t="s">
        <v>817</v>
      </c>
      <c r="C42" s="728"/>
      <c r="D42" s="728"/>
      <c r="E42" s="375">
        <f>G42+I42+K42+M42+N42+E41</f>
        <v>5968.3599999999988</v>
      </c>
      <c r="F42" s="379"/>
      <c r="G42" s="271">
        <f>3794.66+(1166)+93.99+60.73</f>
        <v>5115.3799999999992</v>
      </c>
      <c r="H42" s="271"/>
      <c r="I42" s="271"/>
      <c r="J42" s="271"/>
      <c r="K42" s="271">
        <v>42</v>
      </c>
      <c r="L42" s="271"/>
      <c r="M42" s="271">
        <v>60</v>
      </c>
      <c r="N42" s="271"/>
      <c r="O42" s="314" t="str">
        <f>"£" &amp; ROUND(O5+O33+O24+IF(O39&lt;0,0,O39)+O40+O4,2) &amp; " / " &amp; "£" &amp; E42</f>
        <v>£1913.95 / £5968.36</v>
      </c>
      <c r="P42" s="274"/>
      <c r="Q42" s="282">
        <f>SUM(Q33,Q24,Q5)</f>
        <v>8.9433333333344152</v>
      </c>
    </row>
    <row r="43" spans="2:19">
      <c r="B43" s="118"/>
      <c r="C43" s="7"/>
      <c r="E43" s="365"/>
      <c r="F43" s="365"/>
      <c r="G43" s="365"/>
      <c r="H43" s="365"/>
    </row>
    <row r="44" spans="2:19" ht="14.4">
      <c r="B44" s="729"/>
      <c r="C44" s="729"/>
      <c r="D44" s="729"/>
      <c r="E44" s="729"/>
      <c r="F44" s="729"/>
      <c r="G44" s="729"/>
      <c r="H44" s="297"/>
      <c r="K44" s="729"/>
      <c r="L44" s="729"/>
      <c r="M44" s="729"/>
      <c r="N44" s="729"/>
      <c r="O44" s="729"/>
      <c r="P44" s="297"/>
    </row>
    <row r="45" spans="2:19" ht="15" customHeight="1">
      <c r="B45" s="726" t="s">
        <v>955</v>
      </c>
      <c r="C45" s="726"/>
      <c r="D45" s="726"/>
      <c r="E45" s="726"/>
      <c r="F45" s="348"/>
      <c r="K45" s="212"/>
      <c r="L45" s="212"/>
      <c r="N45" s="118" t="s">
        <v>1255</v>
      </c>
      <c r="O45" s="316">
        <v>44886</v>
      </c>
      <c r="P45" s="7">
        <f ca="1">DATEDIF(O45,NOW(),"d")</f>
        <v>1365</v>
      </c>
      <c r="Q45">
        <v>46</v>
      </c>
      <c r="R45" t="s">
        <v>1256</v>
      </c>
    </row>
    <row r="46" spans="2:19">
      <c r="B46" s="365"/>
      <c r="C46" s="38"/>
      <c r="E46" s="284"/>
      <c r="F46" s="11"/>
      <c r="G46" s="367"/>
      <c r="H46" s="243"/>
      <c r="K46" s="11"/>
      <c r="N46" s="322" t="s">
        <v>1262</v>
      </c>
      <c r="O46" s="42">
        <v>44886</v>
      </c>
      <c r="P46" s="7">
        <f ca="1">DATEDIF(O46,NOW(),"d")</f>
        <v>1365</v>
      </c>
      <c r="Q46">
        <v>7.99</v>
      </c>
      <c r="R46" t="s">
        <v>1261</v>
      </c>
    </row>
    <row r="47" spans="2:19">
      <c r="E47" s="365"/>
      <c r="F47" s="365"/>
      <c r="G47" s="11"/>
      <c r="H47" s="243"/>
      <c r="I47" s="243"/>
      <c r="L47" s="243"/>
      <c r="O47"/>
      <c r="P47"/>
    </row>
    <row r="48" spans="2:19" ht="16.2" customHeight="1">
      <c r="E48" s="384"/>
      <c r="F48" s="278"/>
      <c r="G48" s="213"/>
      <c r="H48" s="373"/>
      <c r="I48" s="213"/>
      <c r="J48" s="213"/>
      <c r="K48" s="213"/>
      <c r="L48" s="243"/>
      <c r="M48">
        <v>37.18</v>
      </c>
      <c r="O48" s="292"/>
      <c r="P48" s="212"/>
    </row>
    <row r="49" spans="2:17">
      <c r="B49" s="378"/>
      <c r="E49" s="343"/>
      <c r="F49" s="361"/>
      <c r="G49" s="407"/>
      <c r="L49" s="243"/>
      <c r="M49">
        <f>36+99</f>
        <v>135</v>
      </c>
      <c r="N49" t="s">
        <v>383</v>
      </c>
      <c r="O49" s="343">
        <f>O4+SUM(M48:M52)</f>
        <v>1906.34</v>
      </c>
      <c r="P49" s="56"/>
    </row>
    <row r="50" spans="2:17" ht="14.4">
      <c r="E50" s="343"/>
      <c r="F50" s="361"/>
      <c r="M50">
        <f>89+54</f>
        <v>143</v>
      </c>
      <c r="N50" t="s">
        <v>1254</v>
      </c>
      <c r="O50" s="343">
        <f>1863.45-O49</f>
        <v>-42.889999999999873</v>
      </c>
      <c r="P50"/>
    </row>
    <row r="51" spans="2:17">
      <c r="E51" s="384"/>
      <c r="F51" s="361"/>
      <c r="M51">
        <v>36.94</v>
      </c>
      <c r="N51" t="s">
        <v>152</v>
      </c>
      <c r="P51" s="212"/>
      <c r="Q51" s="212"/>
    </row>
    <row r="52" spans="2:17" ht="15" customHeight="1">
      <c r="E52" s="284"/>
      <c r="F52" s="361"/>
      <c r="M52">
        <v>17.63</v>
      </c>
      <c r="N52" t="s">
        <v>1261</v>
      </c>
      <c r="P52" s="56"/>
      <c r="Q52" s="38"/>
    </row>
    <row r="53" spans="2:17">
      <c r="E53" s="365"/>
      <c r="F53" s="360"/>
      <c r="O53"/>
      <c r="P53"/>
    </row>
    <row r="54" spans="2:17" ht="15" customHeight="1">
      <c r="E54" s="360"/>
      <c r="F54" s="360"/>
      <c r="M54" t="s">
        <v>1257</v>
      </c>
      <c r="O54"/>
      <c r="P54"/>
    </row>
    <row r="55" spans="2:17">
      <c r="E55" s="365"/>
      <c r="F55" s="383"/>
      <c r="M55">
        <v>98.85</v>
      </c>
      <c r="N55" t="s">
        <v>1258</v>
      </c>
      <c r="O55"/>
      <c r="P55"/>
    </row>
    <row r="56" spans="2:17">
      <c r="B56" s="11"/>
      <c r="E56"/>
      <c r="F56" s="384"/>
      <c r="I56" s="243"/>
      <c r="M56">
        <f>25.99+14.49</f>
        <v>40.479999999999997</v>
      </c>
      <c r="N56" t="s">
        <v>1259</v>
      </c>
      <c r="O56"/>
      <c r="P56"/>
    </row>
    <row r="57" spans="2:17" ht="14.4">
      <c r="B57" s="11"/>
      <c r="E57"/>
      <c r="F57" s="79"/>
      <c r="M57">
        <v>16.989999999999998</v>
      </c>
      <c r="N57" t="s">
        <v>1260</v>
      </c>
      <c r="O57"/>
      <c r="P57"/>
    </row>
    <row r="58" spans="2:17" ht="14.4">
      <c r="E58"/>
      <c r="F58" s="79"/>
      <c r="O58"/>
      <c r="P58"/>
    </row>
    <row r="59" spans="2:17" ht="14.4">
      <c r="B59" s="212"/>
      <c r="C59" s="212"/>
      <c r="E59"/>
      <c r="F59" s="7"/>
      <c r="O59"/>
      <c r="P59"/>
    </row>
    <row r="60" spans="2:17" ht="14.4">
      <c r="C60" s="56"/>
      <c r="D60" s="243"/>
      <c r="E60"/>
      <c r="F60"/>
      <c r="J60" s="771"/>
      <c r="K60" s="771"/>
      <c r="L60" s="771"/>
      <c r="O60"/>
      <c r="P60"/>
    </row>
    <row r="61" spans="2:17" ht="15.75" customHeight="1">
      <c r="C61" s="56"/>
      <c r="E61"/>
      <c r="F61"/>
      <c r="G61" s="771"/>
      <c r="H61" s="771"/>
      <c r="I61" s="771"/>
      <c r="J61" s="771"/>
      <c r="K61" s="771"/>
      <c r="L61" s="771"/>
      <c r="M61" s="771"/>
      <c r="N61" s="771"/>
      <c r="O61" s="771"/>
      <c r="P61"/>
    </row>
    <row r="62" spans="2:17" ht="14.4">
      <c r="C62" s="56"/>
      <c r="E62"/>
      <c r="F62"/>
      <c r="O62"/>
      <c r="P62" s="771"/>
    </row>
    <row r="63" spans="2:17" ht="14.4">
      <c r="C63" s="56"/>
      <c r="E63"/>
      <c r="F63"/>
      <c r="O63"/>
      <c r="P63" s="771"/>
    </row>
    <row r="64" spans="2:17" ht="14.4">
      <c r="C64" s="56"/>
      <c r="E64" s="243"/>
      <c r="F64"/>
      <c r="K64" s="243"/>
      <c r="O64"/>
      <c r="P64" s="771"/>
    </row>
    <row r="65" spans="2:16" ht="14.4">
      <c r="C65" s="56"/>
      <c r="D65" s="243"/>
      <c r="E65"/>
      <c r="F65"/>
      <c r="O65"/>
      <c r="P65" s="771"/>
    </row>
    <row r="66" spans="2:16" ht="14.4">
      <c r="C66" s="56"/>
      <c r="E66"/>
      <c r="F66"/>
      <c r="O66"/>
      <c r="P66"/>
    </row>
    <row r="67" spans="2:16" ht="14.4">
      <c r="C67" s="56"/>
      <c r="E67" s="347"/>
      <c r="F67"/>
      <c r="G67" s="771"/>
      <c r="H67" s="771"/>
      <c r="I67" s="771"/>
      <c r="J67" s="771"/>
      <c r="K67" s="771"/>
      <c r="L67" s="771"/>
      <c r="M67" s="771"/>
      <c r="N67" s="771"/>
      <c r="O67" s="771"/>
      <c r="P67" s="771"/>
    </row>
    <row r="68" spans="2:16" ht="14.4">
      <c r="C68" s="56"/>
      <c r="E68" s="332"/>
      <c r="F68" s="332"/>
      <c r="O68"/>
      <c r="P68" s="771"/>
    </row>
    <row r="69" spans="2:16" ht="14.4">
      <c r="C69" s="56"/>
      <c r="E69"/>
      <c r="F69"/>
      <c r="O69"/>
      <c r="P69" s="771"/>
    </row>
    <row r="70" spans="2:16" ht="14.4">
      <c r="C70" s="56"/>
      <c r="E70"/>
      <c r="F70"/>
      <c r="O70"/>
      <c r="P70" s="771"/>
    </row>
    <row r="71" spans="2:16">
      <c r="E71" s="365"/>
      <c r="F71" s="365"/>
      <c r="O71"/>
      <c r="P71" s="771"/>
    </row>
    <row r="72" spans="2:16" ht="14.4">
      <c r="B72" s="212"/>
      <c r="C72" s="294"/>
      <c r="D72" s="212"/>
      <c r="E72" s="212"/>
      <c r="F72" s="212"/>
      <c r="O72"/>
      <c r="P72"/>
    </row>
    <row r="73" spans="2:16" ht="14.4">
      <c r="C73" s="56"/>
      <c r="D73" s="56"/>
      <c r="E73" s="56"/>
      <c r="F73" s="56"/>
      <c r="G73" s="771"/>
      <c r="H73" s="771"/>
      <c r="I73" s="771"/>
      <c r="J73" s="771"/>
      <c r="K73" s="771"/>
      <c r="L73" s="771"/>
      <c r="M73" s="771"/>
      <c r="N73" s="771"/>
      <c r="O73" s="771"/>
      <c r="P73"/>
    </row>
    <row r="74" spans="2:16" ht="14.4">
      <c r="C74" s="56"/>
      <c r="D74" s="56"/>
      <c r="E74" s="56"/>
      <c r="F74" s="56"/>
      <c r="O74"/>
      <c r="P74" s="771"/>
    </row>
    <row r="75" spans="2:16" ht="14.4">
      <c r="C75" s="56"/>
      <c r="D75" s="56"/>
      <c r="E75" s="56"/>
      <c r="F75" s="56"/>
      <c r="O75"/>
      <c r="P75" s="771"/>
    </row>
    <row r="76" spans="2:16" ht="14.4">
      <c r="C76" s="56"/>
      <c r="D76" s="56"/>
      <c r="E76" s="56"/>
      <c r="F76" s="56"/>
      <c r="O76"/>
      <c r="P76" s="771"/>
    </row>
    <row r="77" spans="2:16" ht="14.4">
      <c r="C77" s="56"/>
      <c r="D77" s="56"/>
      <c r="E77" s="56"/>
      <c r="F77" s="56"/>
      <c r="O77"/>
      <c r="P77" s="771"/>
    </row>
    <row r="78" spans="2:16" ht="14.4">
      <c r="C78" s="56"/>
      <c r="E78" s="56"/>
      <c r="F78" s="56"/>
      <c r="O78"/>
      <c r="P78"/>
    </row>
    <row r="79" spans="2:16">
      <c r="O79"/>
      <c r="P79"/>
    </row>
    <row r="80" spans="2:16" ht="14.4">
      <c r="E80" s="212"/>
      <c r="F80" s="212"/>
      <c r="O80"/>
      <c r="P80" s="771"/>
    </row>
    <row r="81" spans="5:16" ht="14.4">
      <c r="E81" s="56"/>
      <c r="F81" s="56"/>
      <c r="O81"/>
      <c r="P81" s="771"/>
    </row>
    <row r="82" spans="5:16" ht="14.4">
      <c r="E82" s="56"/>
      <c r="F82" s="56"/>
      <c r="O82"/>
      <c r="P82" s="771"/>
    </row>
    <row r="83" spans="5:16" ht="14.4">
      <c r="E83" s="56"/>
      <c r="F83" s="56"/>
      <c r="O83"/>
      <c r="P83" s="771"/>
    </row>
    <row r="84" spans="5:16" ht="14.4">
      <c r="E84" s="56"/>
      <c r="F84" s="56"/>
      <c r="O84"/>
      <c r="P84"/>
    </row>
    <row r="85" spans="5:16" ht="14.4">
      <c r="E85" s="56"/>
      <c r="F85" s="56"/>
      <c r="O85"/>
      <c r="P85"/>
    </row>
    <row r="86" spans="5:16" ht="14.4">
      <c r="E86" s="56"/>
      <c r="F86" s="56"/>
      <c r="O86"/>
      <c r="P86" s="771"/>
    </row>
    <row r="87" spans="5:16">
      <c r="O87"/>
      <c r="P87" s="771"/>
    </row>
    <row r="88" spans="5:16" ht="14.4">
      <c r="E88" s="212"/>
      <c r="F88" s="212"/>
      <c r="O88"/>
      <c r="P88" s="771"/>
    </row>
    <row r="89" spans="5:16" ht="14.4">
      <c r="E89" s="56"/>
      <c r="F89" s="56"/>
      <c r="O89"/>
      <c r="P89" s="771"/>
    </row>
    <row r="90" spans="5:16" ht="14.4">
      <c r="E90" s="56"/>
      <c r="F90" s="56"/>
      <c r="O90"/>
      <c r="P90"/>
    </row>
    <row r="91" spans="5:16" ht="14.4">
      <c r="E91" s="56"/>
      <c r="F91" s="56"/>
      <c r="O91"/>
      <c r="P91"/>
    </row>
    <row r="92" spans="5:16" ht="14.4">
      <c r="E92" s="56"/>
      <c r="F92" s="56"/>
      <c r="O92"/>
      <c r="P92" s="771"/>
    </row>
    <row r="93" spans="5:16" ht="14.4">
      <c r="E93" s="56"/>
      <c r="F93" s="56"/>
      <c r="O93"/>
      <c r="P93" s="771"/>
    </row>
    <row r="94" spans="5:16" ht="14.4">
      <c r="E94" s="56"/>
      <c r="F94" s="56"/>
      <c r="O94"/>
      <c r="P94" s="771"/>
    </row>
    <row r="95" spans="5:16">
      <c r="E95" s="365"/>
      <c r="F95" s="365"/>
      <c r="O95"/>
      <c r="P95" s="771"/>
    </row>
    <row r="96" spans="5:16">
      <c r="O96"/>
      <c r="P96"/>
    </row>
    <row r="97" spans="15:16">
      <c r="O97"/>
      <c r="P97"/>
    </row>
  </sheetData>
  <mergeCells count="33">
    <mergeCell ref="B24:C24"/>
    <mergeCell ref="D24:E24"/>
    <mergeCell ref="B1:O1"/>
    <mergeCell ref="G3:H3"/>
    <mergeCell ref="I3:J3"/>
    <mergeCell ref="K3:L3"/>
    <mergeCell ref="M3:N3"/>
    <mergeCell ref="B4:E4"/>
    <mergeCell ref="B5:C5"/>
    <mergeCell ref="D5:E5"/>
    <mergeCell ref="B6:B21"/>
    <mergeCell ref="C6:C21"/>
    <mergeCell ref="B23:E23"/>
    <mergeCell ref="J60:L60"/>
    <mergeCell ref="B32:E32"/>
    <mergeCell ref="B33:C33"/>
    <mergeCell ref="D33:E33"/>
    <mergeCell ref="B34:B39"/>
    <mergeCell ref="C34:C39"/>
    <mergeCell ref="B42:D42"/>
    <mergeCell ref="B44:G44"/>
    <mergeCell ref="K44:O44"/>
    <mergeCell ref="B45:C45"/>
    <mergeCell ref="D45:E45"/>
    <mergeCell ref="P80:P83"/>
    <mergeCell ref="P86:P89"/>
    <mergeCell ref="P92:P95"/>
    <mergeCell ref="G61:O61"/>
    <mergeCell ref="P62:P65"/>
    <mergeCell ref="G67:P67"/>
    <mergeCell ref="P68:P71"/>
    <mergeCell ref="G73:O73"/>
    <mergeCell ref="P74:P77"/>
  </mergeCells>
  <pageMargins left="0.7" right="0.7" top="0.75" bottom="0.75" header="0.3" footer="0.3"/>
  <pageSetup orientation="portrait" r:id="rId1"/>
  <legacyDrawing r:id="rId2"/>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7EF0-B9E7-47A0-99E4-4466C8BB14FF}">
  <dimension ref="A1:T98"/>
  <sheetViews>
    <sheetView topLeftCell="D1" workbookViewId="0"/>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OCT-NOV 2022</v>
      </c>
      <c r="B1" s="730" t="str">
        <f ca="1">MID(CELL("filename",B1),FIND("]",CELL("filename",B1))+1,255)</f>
        <v>NOV-DEC 2022</v>
      </c>
      <c r="C1" s="731"/>
      <c r="D1" s="731"/>
      <c r="E1" s="731"/>
      <c r="F1" s="731"/>
      <c r="G1" s="731"/>
      <c r="H1" s="731"/>
      <c r="I1" s="731"/>
      <c r="J1" s="731"/>
      <c r="K1" s="731"/>
      <c r="L1" s="731"/>
      <c r="M1" s="731"/>
      <c r="N1" s="731"/>
      <c r="O1" s="731"/>
      <c r="P1" s="298"/>
      <c r="Q1" s="281"/>
      <c r="R1" s="272"/>
      <c r="S1" s="272"/>
      <c r="T1" s="272"/>
    </row>
    <row r="2" spans="1:20">
      <c r="B2" s="118"/>
      <c r="C2" s="118"/>
      <c r="E2" s="365">
        <f>2742.7-F2</f>
        <v>-1034.7400000000007</v>
      </c>
      <c r="F2" s="365">
        <f>2590.53+H4</f>
        <v>3777.4400000000005</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ROUND(O5+O34+O24+IF(O40&lt;0,0,O40)+O41+O4,2) &amp; " / " &amp; "£" &amp; E43</f>
        <v>£2314.18 / £7700.03</v>
      </c>
      <c r="E3" s="365">
        <f>2802.81-2787.81</f>
        <v>15</v>
      </c>
      <c r="F3" s="365"/>
      <c r="G3" s="732">
        <v>44890</v>
      </c>
      <c r="H3" s="732"/>
      <c r="I3" s="732">
        <f>G3+7</f>
        <v>44897</v>
      </c>
      <c r="J3" s="732"/>
      <c r="K3" s="732">
        <f>I3+7</f>
        <v>44904</v>
      </c>
      <c r="L3" s="732"/>
      <c r="M3" s="732">
        <f>K3+7</f>
        <v>44911</v>
      </c>
      <c r="N3" s="732"/>
      <c r="O3" s="308">
        <v>0</v>
      </c>
      <c r="P3" s="325" t="s">
        <v>1224</v>
      </c>
      <c r="Q3" s="282"/>
    </row>
    <row r="4" spans="1:20" ht="15" customHeight="1">
      <c r="B4" s="727" t="str">
        <f>_xlfn.CONCAT("Expenses - 50 - ",G43*0.5," / Actual = ",ROUND(D5,2)," (",ROUND((D5/G43)*100,2),")")</f>
        <v>Expenses - 50 - 2600.415 / Actual = 1900.95 (36.55)</v>
      </c>
      <c r="C4" s="727"/>
      <c r="D4" s="727"/>
      <c r="E4" s="727"/>
      <c r="F4" s="318"/>
      <c r="H4" s="243">
        <f>SUM(H5:H41)</f>
        <v>1186.9100000000003</v>
      </c>
      <c r="J4" s="243">
        <f>SUM(J5:J41)</f>
        <v>152.84</v>
      </c>
      <c r="L4" s="243">
        <f>SUM(L5:L41)</f>
        <v>792.88999999999987</v>
      </c>
      <c r="N4" s="243">
        <f>SUM(N5:N41)</f>
        <v>239.91000000000003</v>
      </c>
      <c r="O4" s="308">
        <f>IF(H42&lt;&gt;"PAID",H4,0)+IF(J42&lt;&gt;"PAID",J4,0)+IF(L42&lt;&gt;"PAID",L4,0)+IF(N42&lt;&gt;"PAID",N4,0)</f>
        <v>2372.5500000000002</v>
      </c>
      <c r="P4" s="309" t="s">
        <v>973</v>
      </c>
      <c r="Q4" s="408">
        <f>401.15-O4</f>
        <v>-1971.4</v>
      </c>
      <c r="R4" s="243">
        <f>2522.4</f>
        <v>2522.4</v>
      </c>
      <c r="S4" s="243">
        <f>R4-O4</f>
        <v>149.84999999999991</v>
      </c>
    </row>
    <row r="5" spans="1:20" ht="15" customHeight="1">
      <c r="B5" s="733" t="str">
        <f>IF(D5&gt;E$43*0.5,ROUND(D5-E$43*0.5,2) &amp; " Over",ROUND(E$43*0.5-D5,2) &amp; " Under")</f>
        <v>1949.07 Under</v>
      </c>
      <c r="C5" s="733"/>
      <c r="D5" s="761">
        <f>ROUND(SUM(F6:F21),2)</f>
        <v>1900.95</v>
      </c>
      <c r="E5" s="761"/>
      <c r="F5" s="321"/>
      <c r="G5" s="284"/>
      <c r="H5" s="306"/>
      <c r="I5" s="79"/>
      <c r="J5" s="306"/>
      <c r="K5" s="79"/>
      <c r="L5" s="306"/>
      <c r="M5" s="79"/>
      <c r="N5" s="305"/>
      <c r="O5" s="285">
        <f>SUMIF(O6:O21,"&gt;0")</f>
        <v>19.766666666666652</v>
      </c>
      <c r="P5" s="285" t="s">
        <v>892</v>
      </c>
      <c r="Q5" s="282">
        <f>SUM(Q6:Q21)</f>
        <v>28.590000000000032</v>
      </c>
      <c r="R5" s="243"/>
      <c r="S5" s="243">
        <f>S4-SUM(R6:R40)</f>
        <v>-23.010000000000105</v>
      </c>
    </row>
    <row r="6" spans="1:20" ht="15" customHeight="1">
      <c r="B6" s="734" t="str">
        <f>"50%: " &amp; E$43*0.5</f>
        <v>50%: 3850.015</v>
      </c>
      <c r="C6" s="734" t="str">
        <f>ROUND((D5/E$43)*100,2) &amp; "%: " &amp;D5</f>
        <v>24.69%: 1900.95</v>
      </c>
      <c r="D6" s="13" t="s">
        <v>805</v>
      </c>
      <c r="E6" s="365">
        <v>0</v>
      </c>
      <c r="F6" s="374">
        <f>150-12.82+27.47+65</f>
        <v>229.65</v>
      </c>
      <c r="G6">
        <f>25.07</f>
        <v>25.07</v>
      </c>
      <c r="H6" s="305">
        <f>37.18+35.4+35.45</f>
        <v>108.03</v>
      </c>
      <c r="I6">
        <f>30.03</f>
        <v>30.03</v>
      </c>
      <c r="J6" s="305"/>
      <c r="L6" s="305">
        <f>25.17+39.76</f>
        <v>64.930000000000007</v>
      </c>
      <c r="N6" s="305"/>
      <c r="O6" s="274">
        <f>SUM(E6:F6)-SUM(G6:N6)</f>
        <v>1.5900000000000034</v>
      </c>
      <c r="P6" s="274" t="str">
        <f t="shared" ref="P6:P21" si="0">D6</f>
        <v>Car Petrol / commuting</v>
      </c>
      <c r="Q6" s="282">
        <f t="shared" ref="Q6:Q21" si="1">IF(O6&lt;0,O6*-1,0)</f>
        <v>0</v>
      </c>
      <c r="R6" s="243">
        <f>33.7+35.58</f>
        <v>69.28</v>
      </c>
      <c r="S6">
        <v>25</v>
      </c>
    </row>
    <row r="7" spans="1:20" ht="15" customHeight="1">
      <c r="B7" s="734"/>
      <c r="C7" s="734"/>
      <c r="D7" s="13" t="s">
        <v>169</v>
      </c>
      <c r="E7" s="365">
        <v>0</v>
      </c>
      <c r="F7" s="365">
        <f>400+25</f>
        <v>425</v>
      </c>
      <c r="G7">
        <f>3.55+4+4.2+9.35+7.35</f>
        <v>28.450000000000003</v>
      </c>
      <c r="H7" s="305">
        <f>5.05+16+8.85+29.29+2.5+1.8+9.65+1.75</f>
        <v>74.89</v>
      </c>
      <c r="J7" s="305">
        <f>29.79+123.05</f>
        <v>152.84</v>
      </c>
      <c r="L7" s="305">
        <f>8.25+17.72+18.31+22.9+27.33+66.78+5.1</f>
        <v>166.39000000000001</v>
      </c>
      <c r="N7" s="305">
        <f>26.78+4.24</f>
        <v>31.020000000000003</v>
      </c>
      <c r="O7" s="274">
        <f>SUM(E7:F7)-SUM(G7:N7)</f>
        <v>-28.590000000000032</v>
      </c>
      <c r="P7" s="274" t="str">
        <f t="shared" si="0"/>
        <v>Food</v>
      </c>
      <c r="Q7" s="282">
        <f t="shared" si="1"/>
        <v>28.590000000000032</v>
      </c>
      <c r="R7" s="243"/>
    </row>
    <row r="8" spans="1:20" ht="15" customHeight="1">
      <c r="B8" s="734"/>
      <c r="C8" s="734"/>
      <c r="D8" s="13" t="s">
        <v>153</v>
      </c>
      <c r="E8" s="365">
        <v>0</v>
      </c>
      <c r="F8" s="365">
        <f>100+84+30</f>
        <v>214</v>
      </c>
      <c r="G8">
        <f>15</f>
        <v>15</v>
      </c>
      <c r="H8" s="305">
        <f>25.2+8+30.47</f>
        <v>63.67</v>
      </c>
      <c r="I8">
        <f>24.88+84</f>
        <v>108.88</v>
      </c>
      <c r="J8" s="362"/>
      <c r="K8">
        <f>25</f>
        <v>25</v>
      </c>
      <c r="L8" s="305"/>
      <c r="N8" s="305"/>
      <c r="O8" s="274">
        <f>SUM(E8:F8)-SUM(G8:N8)</f>
        <v>1.4499999999999886</v>
      </c>
      <c r="P8" s="274" t="str">
        <f t="shared" si="0"/>
        <v>Luna</v>
      </c>
      <c r="Q8" s="282">
        <f t="shared" si="1"/>
        <v>0</v>
      </c>
      <c r="S8">
        <f>17.5</f>
        <v>17.5</v>
      </c>
    </row>
    <row r="9" spans="1:20" ht="15" customHeight="1">
      <c r="B9" s="734"/>
      <c r="C9" s="734"/>
      <c r="D9" s="13" t="s">
        <v>1079</v>
      </c>
      <c r="E9" s="365">
        <v>0</v>
      </c>
      <c r="F9" s="365">
        <v>40</v>
      </c>
      <c r="H9" s="305">
        <f>16.09+2.99</f>
        <v>19.079999999999998</v>
      </c>
      <c r="J9" s="305"/>
      <c r="K9">
        <f>7.28</f>
        <v>7.28</v>
      </c>
      <c r="L9" s="305">
        <f>12.18</f>
        <v>12.18</v>
      </c>
      <c r="N9" s="305"/>
      <c r="O9" s="274">
        <f>SUM(E9:F9)-SUM(G9:N9)</f>
        <v>1.4600000000000009</v>
      </c>
      <c r="P9" s="274" t="str">
        <f t="shared" si="0"/>
        <v>Creamy</v>
      </c>
      <c r="Q9" s="282">
        <f t="shared" si="1"/>
        <v>0</v>
      </c>
      <c r="R9">
        <f>6.48</f>
        <v>6.48</v>
      </c>
    </row>
    <row r="10" spans="1:20" ht="15" customHeight="1" outlineLevel="1">
      <c r="B10" s="734"/>
      <c r="C10" s="734"/>
      <c r="D10" s="201" t="s">
        <v>595</v>
      </c>
      <c r="E10" s="365">
        <v>0</v>
      </c>
      <c r="F10" s="365">
        <f>452.64</f>
        <v>452.64</v>
      </c>
      <c r="H10" s="305"/>
      <c r="J10" s="305"/>
      <c r="K10">
        <v>452.64</v>
      </c>
      <c r="L10" s="305"/>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139</v>
      </c>
      <c r="H11" s="305"/>
      <c r="J11" s="305"/>
      <c r="K11">
        <v>139</v>
      </c>
      <c r="L11" s="305"/>
      <c r="N11" s="305"/>
      <c r="O11" s="274">
        <f t="shared" si="2"/>
        <v>0</v>
      </c>
      <c r="P11" s="274" t="str">
        <f t="shared" si="0"/>
        <v>Council tax</v>
      </c>
      <c r="Q11" s="282">
        <f t="shared" si="1"/>
        <v>0</v>
      </c>
    </row>
    <row r="12" spans="1:20" ht="15" customHeight="1" outlineLevel="1">
      <c r="B12" s="734"/>
      <c r="C12" s="734"/>
      <c r="D12" s="201" t="s">
        <v>1002</v>
      </c>
      <c r="E12" s="365">
        <v>0</v>
      </c>
      <c r="F12" s="365">
        <f>46+65.56+1</f>
        <v>112.56</v>
      </c>
      <c r="G12">
        <f>1</f>
        <v>1</v>
      </c>
      <c r="H12" s="305"/>
      <c r="I12">
        <f>65.56</f>
        <v>65.56</v>
      </c>
      <c r="J12" s="305"/>
      <c r="L12" s="305"/>
      <c r="M12">
        <f>46</f>
        <v>46</v>
      </c>
      <c r="N12" s="305"/>
      <c r="O12" s="274">
        <f>SUM(E12:F12)-SUM(G12:N12)</f>
        <v>0</v>
      </c>
      <c r="P12" s="274" t="str">
        <f t="shared" si="0"/>
        <v>Utilities (G,W,E,HTB)</v>
      </c>
      <c r="Q12" s="282">
        <f t="shared" si="1"/>
        <v>0</v>
      </c>
    </row>
    <row r="13" spans="1:20" ht="15" customHeight="1" outlineLevel="1">
      <c r="B13" s="734"/>
      <c r="C13" s="734"/>
      <c r="D13" s="201" t="s">
        <v>996</v>
      </c>
      <c r="E13" s="365">
        <v>0</v>
      </c>
      <c r="F13" s="365">
        <f>16.42</f>
        <v>16.420000000000002</v>
      </c>
      <c r="G13">
        <f>16.42</f>
        <v>16.420000000000002</v>
      </c>
      <c r="H13" s="305"/>
      <c r="J13" s="305"/>
      <c r="L13" s="305"/>
      <c r="N13" s="305"/>
      <c r="O13" s="274">
        <f>SUM(E13:F13)-SUM(G13:N13)</f>
        <v>0</v>
      </c>
      <c r="P13" s="274" t="str">
        <f t="shared" si="0"/>
        <v>Home Insurance</v>
      </c>
      <c r="Q13" s="282">
        <f t="shared" si="1"/>
        <v>0</v>
      </c>
    </row>
    <row r="14" spans="1:20" ht="15" customHeight="1" outlineLevel="1">
      <c r="B14" s="734"/>
      <c r="C14" s="734"/>
      <c r="D14" s="201" t="s">
        <v>359</v>
      </c>
      <c r="E14" s="365">
        <v>0</v>
      </c>
      <c r="F14" s="365">
        <f>41/3</f>
        <v>13.666666666666666</v>
      </c>
      <c r="H14" s="305"/>
      <c r="J14" s="305"/>
      <c r="L14" s="305"/>
      <c r="N14" s="305"/>
      <c r="O14" s="274">
        <f t="shared" si="2"/>
        <v>13.666666666666666</v>
      </c>
      <c r="P14" s="274" t="str">
        <f t="shared" si="0"/>
        <v>TV License</v>
      </c>
      <c r="Q14" s="282">
        <f t="shared" si="1"/>
        <v>0</v>
      </c>
    </row>
    <row r="15" spans="1:20" ht="15" customHeight="1" outlineLevel="1">
      <c r="B15" s="734"/>
      <c r="C15" s="734"/>
      <c r="D15" s="201" t="s">
        <v>1056</v>
      </c>
      <c r="E15" s="384">
        <v>0.8</v>
      </c>
      <c r="F15" s="365">
        <f>8+36.79+17.99</f>
        <v>62.78</v>
      </c>
      <c r="G15">
        <f>17.99</f>
        <v>17.989999999999998</v>
      </c>
      <c r="H15" s="305"/>
      <c r="J15" s="305"/>
      <c r="K15">
        <f>8+35.99</f>
        <v>43.99</v>
      </c>
      <c r="L15" s="305"/>
      <c r="N15" s="305"/>
      <c r="O15" s="274">
        <f>SUM(E15:F15)-SUM(G15:N15)</f>
        <v>1.5999999999999943</v>
      </c>
      <c r="P15" s="274" t="str">
        <f t="shared" si="0"/>
        <v>Pet Health / Insurance</v>
      </c>
      <c r="Q15" s="282">
        <f t="shared" si="1"/>
        <v>0</v>
      </c>
    </row>
    <row r="16" spans="1:20" ht="15" customHeight="1" outlineLevel="1">
      <c r="B16" s="734"/>
      <c r="C16" s="734"/>
      <c r="D16" s="201" t="s">
        <v>1057</v>
      </c>
      <c r="E16" s="365">
        <v>0</v>
      </c>
      <c r="F16" s="365">
        <f>4.52+15.97+8.56</f>
        <v>29.050000000000004</v>
      </c>
      <c r="G16">
        <v>29.05</v>
      </c>
      <c r="H16" s="305"/>
      <c r="I16" s="11"/>
      <c r="J16" s="305"/>
      <c r="L16" s="305"/>
      <c r="N16" s="305"/>
      <c r="O16" s="274">
        <f t="shared" si="2"/>
        <v>0</v>
      </c>
      <c r="P16" s="274" t="str">
        <f t="shared" si="0"/>
        <v>Life / Income Insurance</v>
      </c>
      <c r="Q16" s="282">
        <f t="shared" si="1"/>
        <v>0</v>
      </c>
    </row>
    <row r="17" spans="2:18" ht="15" customHeight="1" outlineLevel="1">
      <c r="B17" s="734"/>
      <c r="C17" s="734"/>
      <c r="D17" s="201" t="s">
        <v>602</v>
      </c>
      <c r="E17" s="365">
        <v>0</v>
      </c>
      <c r="F17" s="365">
        <v>25</v>
      </c>
      <c r="H17" s="305"/>
      <c r="J17" s="305"/>
      <c r="K17">
        <v>25</v>
      </c>
      <c r="L17" s="305"/>
      <c r="N17" s="305"/>
      <c r="O17" s="274">
        <f>SUM(E17:F17)-SUM(G17:N17)</f>
        <v>0</v>
      </c>
      <c r="P17" s="274" t="str">
        <f t="shared" si="0"/>
        <v>Broadband / TV</v>
      </c>
      <c r="Q17" s="282">
        <f t="shared" si="1"/>
        <v>0</v>
      </c>
    </row>
    <row r="18" spans="2:18" ht="15" customHeight="1" outlineLevel="1">
      <c r="B18" s="734"/>
      <c r="C18" s="734"/>
      <c r="D18" s="201" t="s">
        <v>582</v>
      </c>
      <c r="E18" s="365">
        <v>0</v>
      </c>
      <c r="F18" s="365">
        <v>7.99</v>
      </c>
      <c r="H18" s="305"/>
      <c r="I18">
        <v>7.99</v>
      </c>
      <c r="J18" s="305"/>
      <c r="L18" s="305"/>
      <c r="N18" s="305"/>
      <c r="O18" s="274">
        <f>SUM(E18:F18)-SUM(G18:N18)</f>
        <v>0</v>
      </c>
      <c r="P18" s="274" t="str">
        <f t="shared" si="0"/>
        <v>Onedrive (6th)</v>
      </c>
      <c r="Q18" s="282">
        <f t="shared" si="1"/>
        <v>0</v>
      </c>
    </row>
    <row r="19" spans="2:18" ht="15" customHeight="1" outlineLevel="1">
      <c r="B19" s="734"/>
      <c r="C19" s="734"/>
      <c r="D19" s="201" t="s">
        <v>788</v>
      </c>
      <c r="E19" s="365">
        <v>0</v>
      </c>
      <c r="F19" s="365">
        <f>11.55</f>
        <v>11.55</v>
      </c>
      <c r="G19">
        <f>11.55</f>
        <v>11.55</v>
      </c>
      <c r="H19" s="305"/>
      <c r="J19" s="305"/>
      <c r="L19" s="305"/>
      <c r="N19" s="305"/>
      <c r="O19" s="274">
        <f>SUM(E19:F19)-SUM(G19:N19)</f>
        <v>0</v>
      </c>
      <c r="P19" s="274" t="str">
        <f t="shared" si="0"/>
        <v>Matt Phone</v>
      </c>
      <c r="Q19" s="282">
        <f t="shared" si="1"/>
        <v>0</v>
      </c>
    </row>
    <row r="20" spans="2:18" ht="15" customHeight="1" outlineLevel="1">
      <c r="B20" s="734"/>
      <c r="C20" s="734"/>
      <c r="D20" s="201" t="s">
        <v>690</v>
      </c>
      <c r="E20" s="365">
        <v>0</v>
      </c>
      <c r="F20" s="365">
        <f>11.81+32.71+47.69+14.43</f>
        <v>106.64000000000001</v>
      </c>
      <c r="G20">
        <f>11.81+14.43+32.71</f>
        <v>58.95</v>
      </c>
      <c r="H20" s="305"/>
      <c r="I20">
        <f>47.69</f>
        <v>47.69</v>
      </c>
      <c r="J20" s="305"/>
      <c r="L20" s="305"/>
      <c r="N20" s="305"/>
      <c r="O20" s="274">
        <f>SUM(E20:F20)-SUM(G20:N20)</f>
        <v>0</v>
      </c>
      <c r="P20" s="274" t="str">
        <f t="shared" si="0"/>
        <v>Cars</v>
      </c>
      <c r="Q20" s="282">
        <f t="shared" si="1"/>
        <v>0</v>
      </c>
    </row>
    <row r="21" spans="2:18" ht="15" customHeight="1" outlineLevel="1">
      <c r="B21" s="734"/>
      <c r="C21" s="734"/>
      <c r="D21" s="201" t="s">
        <v>944</v>
      </c>
      <c r="E21" s="365">
        <v>0</v>
      </c>
      <c r="F21" s="365">
        <v>15</v>
      </c>
      <c r="G21">
        <v>15</v>
      </c>
      <c r="H21" s="305"/>
      <c r="J21" s="305"/>
      <c r="L21" s="305"/>
      <c r="N21" s="305"/>
      <c r="O21" s="274">
        <f>SUM(E21:F21)-SUM(G21:N21)</f>
        <v>0</v>
      </c>
      <c r="P21" s="274" t="str">
        <f t="shared" si="0"/>
        <v>Windows</v>
      </c>
      <c r="Q21" s="282">
        <f t="shared" si="1"/>
        <v>0</v>
      </c>
    </row>
    <row r="22" spans="2:18" ht="15" customHeight="1">
      <c r="B22" s="118"/>
      <c r="C22" s="118"/>
      <c r="D22" s="188"/>
      <c r="E22" s="365"/>
      <c r="F22" s="365"/>
      <c r="H22" s="305"/>
      <c r="J22" s="305"/>
      <c r="L22" s="305"/>
      <c r="N22" s="305"/>
      <c r="O22" s="273"/>
      <c r="P22" s="273"/>
      <c r="Q22" s="282"/>
    </row>
    <row r="23" spans="2:18" ht="15" customHeight="1">
      <c r="B23" s="736" t="str">
        <f>_xlfn.CONCAT("Savings - 20 - ",G43*0.2," / Actual = ",D24," (",ROUND((D24/G43)*100,2),")")</f>
        <v>Savings - 20 - 1040.166 / Actual = 922.35 (17.73)</v>
      </c>
      <c r="C23" s="736"/>
      <c r="D23" s="736"/>
      <c r="E23" s="736"/>
      <c r="F23" s="320"/>
      <c r="H23" s="305"/>
      <c r="J23" s="305"/>
      <c r="L23" s="305"/>
      <c r="N23" s="305"/>
      <c r="O23" s="274"/>
      <c r="P23" s="274"/>
      <c r="Q23" s="282"/>
    </row>
    <row r="24" spans="2:18" ht="15" customHeight="1">
      <c r="B24" s="727" t="str">
        <f>IF(ISNUMBER((SEARCH("Over",C$5))),"Operating under budget","Operating over budget")</f>
        <v>Operating over budget</v>
      </c>
      <c r="C24" s="727"/>
      <c r="D24" s="759">
        <f>SUM(F25:F30)</f>
        <v>922.35</v>
      </c>
      <c r="E24" s="759"/>
      <c r="F24" s="319"/>
      <c r="H24" s="305"/>
      <c r="J24" s="305"/>
      <c r="L24" s="305"/>
      <c r="N24" s="305"/>
      <c r="O24" s="285">
        <f>SUMIF(O25:O30,"&gt;0")</f>
        <v>0.49999999999992895</v>
      </c>
      <c r="P24" s="285" t="s">
        <v>895</v>
      </c>
      <c r="Q24" s="282">
        <f>SUM(Q25:Q29)</f>
        <v>9.4800000000000182</v>
      </c>
    </row>
    <row r="25" spans="2:18" ht="15" customHeight="1" outlineLevel="1">
      <c r="B25" s="7" t="str">
        <f>"20% : " &amp; E$43*0.2</f>
        <v>20% : 1540.006</v>
      </c>
      <c r="C25" s="7" t="str">
        <f>"20% : " &amp; E$43*0.2</f>
        <v>20% : 1540.006</v>
      </c>
      <c r="D25" s="300" t="s">
        <v>590</v>
      </c>
      <c r="E25" s="365">
        <f>62.21-0.97</f>
        <v>61.24</v>
      </c>
      <c r="F25" s="365">
        <v>75</v>
      </c>
      <c r="H25" s="305"/>
      <c r="J25" s="305"/>
      <c r="L25">
        <f>21.95+19.96</f>
        <v>41.91</v>
      </c>
      <c r="N25" s="305">
        <f>44.8</f>
        <v>44.8</v>
      </c>
      <c r="O25" s="274">
        <f>SUM(E25:F25)-SUM(G25:N25)-Q43</f>
        <v>0.49999999999992895</v>
      </c>
      <c r="P25" s="274" t="str">
        <f t="shared" ref="P25:P30" si="3">D25</f>
        <v>Contingency</v>
      </c>
      <c r="Q25" s="282">
        <v>0</v>
      </c>
      <c r="R25">
        <f>35.05+10.94+17.17</f>
        <v>63.16</v>
      </c>
    </row>
    <row r="26" spans="2:18" ht="15" customHeight="1" outlineLevel="1">
      <c r="B26" s="7"/>
      <c r="C26" s="7"/>
      <c r="D26" s="300" t="s">
        <v>998</v>
      </c>
      <c r="E26" s="365">
        <v>0</v>
      </c>
      <c r="F26" s="365">
        <f>100+336+264-100-85</f>
        <v>515</v>
      </c>
      <c r="G26">
        <v>80</v>
      </c>
      <c r="H26" s="306"/>
      <c r="I26">
        <v>336</v>
      </c>
      <c r="J26" s="305"/>
      <c r="L26">
        <f>41.98+66.5</f>
        <v>108.47999999999999</v>
      </c>
      <c r="N26" s="305"/>
      <c r="O26" s="274">
        <f>SUM(E26:F26)-SUM(G26:N26)</f>
        <v>-9.4800000000000182</v>
      </c>
      <c r="P26" s="274" t="str">
        <f t="shared" si="3"/>
        <v>Cars (Service / MOT)</v>
      </c>
      <c r="Q26" s="282">
        <f t="shared" ref="Q26:Q30" si="4">IF(O26&lt;0,O26*-1,0)</f>
        <v>9.4800000000000182</v>
      </c>
    </row>
    <row r="27" spans="2:18" ht="15" customHeight="1" outlineLevel="1">
      <c r="B27" s="7"/>
      <c r="C27" s="7"/>
      <c r="D27" s="300" t="s">
        <v>1135</v>
      </c>
      <c r="E27" s="365">
        <v>0</v>
      </c>
      <c r="F27" s="365">
        <v>0</v>
      </c>
      <c r="G27" s="11"/>
      <c r="H27" s="306"/>
      <c r="J27" s="305"/>
      <c r="L27" s="305"/>
      <c r="N27" s="305"/>
      <c r="O27" s="274">
        <f>SUM(E27:F27)-SUM(G27:N27)</f>
        <v>0</v>
      </c>
      <c r="P27" s="274" t="str">
        <f t="shared" si="3"/>
        <v>Investment</v>
      </c>
      <c r="Q27" s="282">
        <f t="shared" si="4"/>
        <v>0</v>
      </c>
    </row>
    <row r="28" spans="2:18" ht="15" customHeight="1" outlineLevel="1">
      <c r="B28" s="7"/>
      <c r="C28" s="7"/>
      <c r="D28" s="300" t="s">
        <v>999</v>
      </c>
      <c r="E28" s="365">
        <v>0</v>
      </c>
      <c r="F28" s="365">
        <v>0</v>
      </c>
      <c r="G28" s="11"/>
      <c r="H28" s="306"/>
      <c r="J28" s="305"/>
      <c r="L28" s="305"/>
      <c r="N28" s="305"/>
      <c r="O28" s="274">
        <f t="shared" ref="O28:O30" si="5">SUM(E28:F28)-SUM(G28:N28)</f>
        <v>0</v>
      </c>
      <c r="P28" s="274" t="str">
        <f t="shared" si="3"/>
        <v>Mortgage Overpayment</v>
      </c>
      <c r="Q28" s="282">
        <f t="shared" si="4"/>
        <v>0</v>
      </c>
    </row>
    <row r="29" spans="2:18" ht="15" customHeight="1" outlineLevel="1">
      <c r="B29" s="7"/>
      <c r="C29" s="7"/>
      <c r="D29" s="300" t="s">
        <v>814</v>
      </c>
      <c r="E29" s="365">
        <v>1536.59</v>
      </c>
      <c r="F29" s="365">
        <v>0</v>
      </c>
      <c r="G29" s="11"/>
      <c r="H29" s="306"/>
      <c r="I29">
        <v>1536.59</v>
      </c>
      <c r="J29" s="305"/>
      <c r="L29" s="305"/>
      <c r="N29" s="305"/>
      <c r="O29" s="274">
        <f t="shared" si="5"/>
        <v>0</v>
      </c>
      <c r="P29" s="274" t="str">
        <f t="shared" si="3"/>
        <v>CC</v>
      </c>
      <c r="Q29" s="282">
        <f t="shared" si="4"/>
        <v>0</v>
      </c>
    </row>
    <row r="30" spans="2:18" ht="15" customHeight="1" outlineLevel="1">
      <c r="B30" s="7"/>
      <c r="C30" s="7"/>
      <c r="D30" s="300" t="s">
        <v>1225</v>
      </c>
      <c r="E30" s="365">
        <v>136.49</v>
      </c>
      <c r="F30" s="365">
        <f>68+151.69+525-300-300+178.82+8.84</f>
        <v>332.35</v>
      </c>
      <c r="G30" s="11">
        <v>468.84</v>
      </c>
      <c r="H30" s="306"/>
      <c r="J30" s="305"/>
      <c r="L30" s="305"/>
      <c r="N30" s="305"/>
      <c r="O30" s="274">
        <f t="shared" si="5"/>
        <v>0</v>
      </c>
      <c r="P30" s="274" t="str">
        <f t="shared" si="3"/>
        <v>Tesco Finance</v>
      </c>
      <c r="Q30" s="282">
        <f t="shared" si="4"/>
        <v>0</v>
      </c>
    </row>
    <row r="31" spans="2:18" ht="15" customHeight="1" outlineLevel="1">
      <c r="B31" s="7"/>
      <c r="C31" s="7"/>
      <c r="D31" s="300"/>
      <c r="E31" s="365"/>
      <c r="F31" s="365"/>
      <c r="G31" s="11"/>
      <c r="H31" s="306"/>
      <c r="J31" s="305"/>
      <c r="L31" s="305"/>
      <c r="N31" s="305"/>
      <c r="O31" s="274"/>
      <c r="P31" s="274"/>
      <c r="Q31" s="282"/>
    </row>
    <row r="32" spans="2:18" ht="15" customHeight="1">
      <c r="B32" s="118"/>
      <c r="C32" s="118"/>
      <c r="E32" s="365"/>
      <c r="F32" s="365"/>
      <c r="H32" s="305"/>
      <c r="J32" s="305"/>
      <c r="L32" s="305"/>
      <c r="N32" s="305"/>
      <c r="O32" s="273"/>
      <c r="P32" s="273"/>
      <c r="Q32" s="282"/>
    </row>
    <row r="33" spans="2:19" ht="15" customHeight="1">
      <c r="B33" s="727" t="str">
        <f>_xlfn.CONCAT("Wants - 30 - ",G43*0.3," / Actual = ",D34," (",ROUND((D34/G43)*100,2),")")</f>
        <v>Wants - 30 - 1560.249 / Actual = 2962.78 (56.97)</v>
      </c>
      <c r="C33" s="727"/>
      <c r="D33" s="727"/>
      <c r="E33" s="727"/>
      <c r="F33" s="318"/>
      <c r="H33" s="305"/>
      <c r="J33" s="305"/>
      <c r="L33" s="305"/>
      <c r="N33" s="305"/>
      <c r="O33" s="273"/>
      <c r="P33" s="273"/>
      <c r="Q33" s="282"/>
    </row>
    <row r="34" spans="2:19" ht="15" customHeight="1">
      <c r="B34" s="727" t="str">
        <f>IF(ISNUMBER((SEARCH("Over",B$5))),"Operating under budget","Operating over budget")</f>
        <v>Operating over budget</v>
      </c>
      <c r="C34" s="727"/>
      <c r="D34" s="759">
        <f>(E$43-D5-D24-E42)</f>
        <v>2962.7799999999997</v>
      </c>
      <c r="E34" s="727"/>
      <c r="F34" s="319">
        <f>SUM(F35:F40)</f>
        <v>2645.5499999999997</v>
      </c>
      <c r="H34" s="305"/>
      <c r="J34" s="305"/>
      <c r="L34" s="305"/>
      <c r="N34" s="305"/>
      <c r="O34" s="285">
        <f>SUMIF(O35:O39,"&gt;0")</f>
        <v>7.980000000000004</v>
      </c>
      <c r="P34" s="285" t="s">
        <v>899</v>
      </c>
      <c r="Q34" s="282">
        <f>SUM(Q35:Q40)</f>
        <v>10.960000000000036</v>
      </c>
    </row>
    <row r="35" spans="2:19" ht="15" customHeight="1" outlineLevel="1">
      <c r="B35" s="734"/>
      <c r="C35" s="760"/>
      <c r="D35" s="300" t="s">
        <v>354</v>
      </c>
      <c r="E35" s="365">
        <v>0</v>
      </c>
      <c r="F35" s="365">
        <v>0</v>
      </c>
      <c r="H35" s="305"/>
      <c r="J35" s="305"/>
      <c r="L35" s="305"/>
      <c r="N35" s="305"/>
      <c r="O35" s="274">
        <f>SUM(E35:F35)-SUM(G35:N35)</f>
        <v>0</v>
      </c>
      <c r="P35" s="274" t="str">
        <f t="shared" ref="P35:P41" si="6">D35</f>
        <v>Holiday</v>
      </c>
      <c r="Q35" s="282">
        <f t="shared" ref="Q35:Q38" si="7">IF(O35&lt;0,O35*-1,0)</f>
        <v>0</v>
      </c>
      <c r="R35" s="11"/>
      <c r="S35" s="11"/>
    </row>
    <row r="36" spans="2:19" ht="15" customHeight="1" outlineLevel="1">
      <c r="B36" s="734"/>
      <c r="C36" s="760"/>
      <c r="D36" s="300" t="s">
        <v>1226</v>
      </c>
      <c r="E36" s="365">
        <v>0</v>
      </c>
      <c r="F36" s="365">
        <v>0</v>
      </c>
      <c r="H36" s="305"/>
      <c r="J36" s="305"/>
      <c r="L36" s="305"/>
      <c r="N36" s="305"/>
      <c r="O36" s="274">
        <f>SUM(E36:F36)-SUM(G36:N36)</f>
        <v>0</v>
      </c>
      <c r="P36" s="274" t="str">
        <f t="shared" si="6"/>
        <v>Lakes</v>
      </c>
      <c r="Q36" s="282">
        <f t="shared" si="7"/>
        <v>0</v>
      </c>
      <c r="R36" s="11"/>
      <c r="S36" s="11"/>
    </row>
    <row r="37" spans="2:19" ht="15" customHeight="1" outlineLevel="1">
      <c r="B37" s="734"/>
      <c r="C37" s="760"/>
      <c r="D37" s="300" t="s">
        <v>797</v>
      </c>
      <c r="E37" s="365">
        <v>113.49</v>
      </c>
      <c r="F37" s="365">
        <v>710</v>
      </c>
      <c r="G37">
        <v>823.49</v>
      </c>
      <c r="H37" s="305"/>
      <c r="J37" s="305"/>
      <c r="L37" s="305"/>
      <c r="N37" s="305"/>
      <c r="O37" s="274">
        <f>SUM(E37:F37)-SUM(G37:N37)</f>
        <v>0</v>
      </c>
      <c r="P37" s="274" t="str">
        <f t="shared" si="6"/>
        <v>Bali</v>
      </c>
      <c r="Q37" s="282">
        <f t="shared" si="7"/>
        <v>0</v>
      </c>
      <c r="R37" s="11"/>
      <c r="S37" s="11"/>
    </row>
    <row r="38" spans="2:19" ht="15" customHeight="1" outlineLevel="1">
      <c r="B38" s="734"/>
      <c r="C38" s="760"/>
      <c r="D38" s="300" t="s">
        <v>170</v>
      </c>
      <c r="E38" s="365">
        <v>60.35</v>
      </c>
      <c r="F38" s="365">
        <f>250+98.85+91.2+263.25</f>
        <v>703.3</v>
      </c>
      <c r="G38">
        <f>17.46</f>
        <v>17.46</v>
      </c>
      <c r="H38" s="305">
        <f>17.63+89+72.38+54+60+17.99+7.99+15-92.98+24.99</f>
        <v>266</v>
      </c>
      <c r="I38">
        <f>5+20+33+8.5</f>
        <v>66.5</v>
      </c>
      <c r="J38" s="305"/>
      <c r="K38">
        <f>130+(63.94-25)+26+24.25+13+20+3.95+6.5+6+10</f>
        <v>278.64</v>
      </c>
      <c r="L38" s="305">
        <f>47.78+(-29.96)+46.87+13.75+-42.42+-54+28.25+12.88+17+33</f>
        <v>73.150000000000006</v>
      </c>
      <c r="M38">
        <f>1.05</f>
        <v>1.05</v>
      </c>
      <c r="N38" s="305">
        <f>20+24.48+25</f>
        <v>69.48</v>
      </c>
      <c r="O38" s="274">
        <f>SUM(E38:F38)-SUM(G38:N38)</f>
        <v>-8.6299999999998818</v>
      </c>
      <c r="P38" s="274" t="str">
        <f t="shared" si="6"/>
        <v>Gift Fund</v>
      </c>
      <c r="Q38" s="282">
        <f t="shared" si="7"/>
        <v>8.6299999999998818</v>
      </c>
      <c r="R38" s="11">
        <f>3.78+19.23</f>
        <v>23.01</v>
      </c>
      <c r="S38" s="11">
        <f>20</f>
        <v>20</v>
      </c>
    </row>
    <row r="39" spans="2:19" ht="15.75" customHeight="1" outlineLevel="1">
      <c r="B39" s="734"/>
      <c r="C39" s="760"/>
      <c r="D39" s="13" t="s">
        <v>781</v>
      </c>
      <c r="E39" s="365">
        <v>4.99</v>
      </c>
      <c r="F39" s="365">
        <f>13+6.99+10.99+2.99+25+0.99</f>
        <v>59.960000000000008</v>
      </c>
      <c r="G39">
        <f>13+10.99</f>
        <v>23.990000000000002</v>
      </c>
      <c r="H39" s="305"/>
      <c r="I39">
        <f>0.99+25+6.99</f>
        <v>32.979999999999997</v>
      </c>
      <c r="J39" s="305"/>
      <c r="L39" s="305"/>
      <c r="N39" s="305"/>
      <c r="O39" s="274">
        <f t="shared" ref="O39" si="8">SUM(E39:F39)-SUM(G39:N39)</f>
        <v>7.980000000000004</v>
      </c>
      <c r="P39" s="274" t="str">
        <f t="shared" si="6"/>
        <v>Subscriptions</v>
      </c>
      <c r="Q39" s="282">
        <f>IF(O39&lt;0,O39*-1,0)</f>
        <v>0</v>
      </c>
      <c r="S39" s="349"/>
    </row>
    <row r="40" spans="2:19" ht="18" outlineLevel="1">
      <c r="B40" s="734"/>
      <c r="C40" s="760"/>
      <c r="D40" s="13" t="s">
        <v>922</v>
      </c>
      <c r="E40" s="365">
        <v>0</v>
      </c>
      <c r="F40" s="365">
        <f>(D34-SUM(F35:F39))-F41</f>
        <v>1172.2899999999997</v>
      </c>
      <c r="G40">
        <f>20+5+9.99+4+9.6+9.2+5.49+20</f>
        <v>83.28</v>
      </c>
      <c r="H40" s="305">
        <f>135+39.99+42.48+10+80+47.84+(278.68-(60+17.99+7.99+15+30))</f>
        <v>503.0100000000001</v>
      </c>
      <c r="I40">
        <f>9.75+20+35+14+15+40+1.4+4.85+8.7</f>
        <v>148.69999999999999</v>
      </c>
      <c r="J40" s="305"/>
      <c r="K40">
        <f>27.95+6+8.99+10+3+49.85</f>
        <v>105.79</v>
      </c>
      <c r="L40" s="305">
        <f>4.3+3.9+9.2+308.45</f>
        <v>325.84999999999997</v>
      </c>
      <c r="N40" s="305">
        <f>7.99</f>
        <v>7.99</v>
      </c>
      <c r="O40" s="274">
        <f>SUM(E40:F40)-SUM(G40:N40)</f>
        <v>-2.3300000000001546</v>
      </c>
      <c r="P40" s="274" t="str">
        <f t="shared" si="6"/>
        <v>Matt Fun</v>
      </c>
      <c r="Q40" s="282">
        <f>IF(SUM(E40:F40)-SUM(G40:N40)&lt;=0,(SUM(E40:F40)-SUM(G40:N40))*-1,0)</f>
        <v>2.3300000000001546</v>
      </c>
      <c r="R40">
        <f>5.95+4.98</f>
        <v>10.93</v>
      </c>
      <c r="S40">
        <f>60</f>
        <v>60</v>
      </c>
    </row>
    <row r="41" spans="2:19" ht="18" outlineLevel="1">
      <c r="B41" s="7"/>
      <c r="C41" s="284"/>
      <c r="D41" s="13" t="s">
        <v>152</v>
      </c>
      <c r="E41" s="365">
        <v>0</v>
      </c>
      <c r="F41" s="365">
        <f>30+37+100+100-14.77+65</f>
        <v>317.23</v>
      </c>
      <c r="G41">
        <f>100</f>
        <v>100</v>
      </c>
      <c r="H41" s="305">
        <f>36.94-29.99+78.37+36.91+30</f>
        <v>152.23000000000002</v>
      </c>
      <c r="J41" s="305"/>
      <c r="L41" s="305"/>
      <c r="M41">
        <f>30+35</f>
        <v>65</v>
      </c>
      <c r="N41" s="305">
        <f>34.99+51.63</f>
        <v>86.62</v>
      </c>
      <c r="O41" s="274">
        <f>SUM(E41:F41)-SUM(G41:N41)</f>
        <v>-86.62</v>
      </c>
      <c r="P41" s="274" t="str">
        <f t="shared" si="6"/>
        <v>Kris</v>
      </c>
      <c r="Q41" s="271">
        <f>IF(F41-SUM(G41:N41)&lt;=0,(F41-SUM(G41:N41))*-1,0)</f>
        <v>86.62</v>
      </c>
    </row>
    <row r="42" spans="2:19">
      <c r="B42" s="118"/>
      <c r="C42" s="118"/>
      <c r="E42" s="365">
        <f>SUM(E35:E41)+SUM(E25:E30)+SUM(E6:E21)</f>
        <v>1913.9499999999998</v>
      </c>
      <c r="F42" s="365"/>
      <c r="H42" s="7"/>
      <c r="J42" s="7"/>
      <c r="L42" s="7"/>
      <c r="N42" s="7"/>
      <c r="O42" s="273"/>
      <c r="P42" s="273"/>
      <c r="Q42" s="282"/>
    </row>
    <row r="43" spans="2:19" ht="18">
      <c r="B43" s="728" t="s">
        <v>817</v>
      </c>
      <c r="C43" s="728"/>
      <c r="D43" s="728"/>
      <c r="E43" s="375">
        <f>G43+I43+K43+M43+N43+E42</f>
        <v>7700.03</v>
      </c>
      <c r="F43" s="379"/>
      <c r="G43" s="271">
        <f>2949.18+(1000+312+30+100+37)+290.37+21.28+100+25+336</f>
        <v>5200.83</v>
      </c>
      <c r="H43" s="271"/>
      <c r="I43" s="271">
        <f>264</f>
        <v>264</v>
      </c>
      <c r="J43" s="271"/>
      <c r="K43" s="271">
        <f>28+34+36+33.5+25+28.55+36.2+35</f>
        <v>256.25</v>
      </c>
      <c r="L43" s="271"/>
      <c r="M43" s="271">
        <f>65</f>
        <v>65</v>
      </c>
      <c r="N43" s="271"/>
      <c r="O43" s="314" t="str">
        <f>"£" &amp; ROUND(O5+O34+O24+IF(O40&lt;0,0,O40)+O41+O4,2) &amp; " / " &amp; "£" &amp; E43</f>
        <v>£2314.18 / £7700.03</v>
      </c>
      <c r="P43" s="274"/>
      <c r="Q43" s="282">
        <f>SUM(Q34,Q24,Q5)</f>
        <v>49.030000000000086</v>
      </c>
    </row>
    <row r="44" spans="2:19">
      <c r="B44" s="118"/>
      <c r="C44" s="7"/>
      <c r="E44" s="365"/>
      <c r="F44" s="365"/>
      <c r="G44" s="365"/>
      <c r="H44" s="365"/>
    </row>
    <row r="45" spans="2:19" ht="14.4">
      <c r="B45" s="729"/>
      <c r="C45" s="729"/>
      <c r="D45" s="729"/>
      <c r="E45" s="729"/>
      <c r="F45" s="729"/>
      <c r="G45" s="729"/>
      <c r="H45" s="297"/>
      <c r="K45" s="729"/>
      <c r="L45" s="729"/>
      <c r="M45" s="729"/>
      <c r="N45" s="729"/>
      <c r="O45" s="729"/>
      <c r="P45" s="297"/>
    </row>
    <row r="46" spans="2:19" ht="15" customHeight="1">
      <c r="B46" s="726" t="s">
        <v>955</v>
      </c>
      <c r="C46" s="726"/>
      <c r="D46" s="726"/>
      <c r="E46" s="726"/>
      <c r="F46" s="348"/>
      <c r="G46">
        <f>4637.58-4670.29</f>
        <v>-32.710000000000036</v>
      </c>
      <c r="K46" s="212"/>
      <c r="L46" s="212"/>
      <c r="N46" s="118" t="s">
        <v>1267</v>
      </c>
      <c r="O46" s="316">
        <v>44914</v>
      </c>
      <c r="P46" s="7">
        <f ca="1">DATEDIF(O46,NOW(),"d")</f>
        <v>1337</v>
      </c>
      <c r="Q46">
        <v>49.85</v>
      </c>
      <c r="R46" t="s">
        <v>1276</v>
      </c>
    </row>
    <row r="47" spans="2:19">
      <c r="B47" s="365"/>
      <c r="C47" s="38"/>
      <c r="E47" s="284"/>
      <c r="F47" s="11"/>
      <c r="G47" s="367"/>
      <c r="H47" s="243">
        <f>278.68-(60+17.99+7.99+15+30)</f>
        <v>147.70000000000002</v>
      </c>
      <c r="I47" s="243">
        <f>H47-90-46</f>
        <v>11.700000000000017</v>
      </c>
      <c r="K47" s="11"/>
      <c r="N47" s="322" t="s">
        <v>1274</v>
      </c>
      <c r="O47" s="42">
        <v>44914</v>
      </c>
      <c r="P47" s="7">
        <f ca="1">DATEDIF(O47,NOW(),"d")</f>
        <v>1337</v>
      </c>
      <c r="Q47">
        <v>34.99</v>
      </c>
      <c r="R47" t="s">
        <v>1275</v>
      </c>
    </row>
    <row r="48" spans="2:19">
      <c r="E48" s="365"/>
      <c r="F48" s="365"/>
      <c r="G48" s="11"/>
      <c r="H48" s="243">
        <f>E29+O4</f>
        <v>3909.1400000000003</v>
      </c>
      <c r="I48" s="243"/>
      <c r="L48" s="243"/>
      <c r="O48"/>
      <c r="P48"/>
    </row>
    <row r="49" spans="2:17" ht="16.2" customHeight="1">
      <c r="E49" s="384"/>
      <c r="F49" s="278"/>
      <c r="G49" s="213"/>
      <c r="H49" s="373"/>
      <c r="J49" s="213">
        <f>1000+312+30+100+37</f>
        <v>1479</v>
      </c>
      <c r="K49" s="213"/>
      <c r="O49" s="292"/>
      <c r="P49" s="212"/>
    </row>
    <row r="50" spans="2:17">
      <c r="B50" s="378"/>
      <c r="E50" s="343"/>
      <c r="F50" s="361"/>
      <c r="G50" s="407"/>
      <c r="J50" s="243">
        <f>J49-980-50-40</f>
        <v>409</v>
      </c>
      <c r="K50" t="s">
        <v>865</v>
      </c>
      <c r="P50" s="56"/>
    </row>
    <row r="51" spans="2:17" ht="14.4">
      <c r="E51" s="343"/>
      <c r="F51" s="361"/>
      <c r="G51" s="407"/>
      <c r="J51" s="243">
        <f>J50-250</f>
        <v>159</v>
      </c>
      <c r="P51"/>
    </row>
    <row r="52" spans="2:17">
      <c r="E52" s="384"/>
      <c r="F52" s="361"/>
      <c r="G52" s="407"/>
      <c r="J52" s="243">
        <f>J51-30</f>
        <v>129</v>
      </c>
      <c r="K52" t="s">
        <v>153</v>
      </c>
      <c r="P52" s="212"/>
      <c r="Q52" s="212"/>
    </row>
    <row r="53" spans="2:17" ht="15" customHeight="1">
      <c r="E53" s="284"/>
      <c r="F53" s="361"/>
      <c r="G53" s="407"/>
      <c r="P53" s="56"/>
      <c r="Q53" s="38"/>
    </row>
    <row r="54" spans="2:17">
      <c r="E54" s="365"/>
      <c r="F54" s="360"/>
      <c r="G54" s="407"/>
      <c r="L54">
        <f>1720.67-1695.5</f>
        <v>25.170000000000073</v>
      </c>
      <c r="O54">
        <f>1744.71-1762.69</f>
        <v>-17.980000000000018</v>
      </c>
      <c r="P54"/>
    </row>
    <row r="55" spans="2:17" ht="15" customHeight="1">
      <c r="E55" s="360"/>
      <c r="F55" s="360"/>
      <c r="G55" s="407"/>
      <c r="M55">
        <f>6137.68-5314.19</f>
        <v>823.49000000000069</v>
      </c>
      <c r="O55" s="243">
        <f>1762.69-O4</f>
        <v>-609.86000000000013</v>
      </c>
      <c r="P55"/>
    </row>
    <row r="56" spans="2:17">
      <c r="E56" s="365"/>
      <c r="F56" s="383"/>
      <c r="O56"/>
      <c r="P56"/>
    </row>
    <row r="57" spans="2:17">
      <c r="B57" s="11"/>
      <c r="E57"/>
      <c r="F57" s="384"/>
      <c r="I57" s="243"/>
      <c r="O57"/>
      <c r="P57"/>
    </row>
    <row r="58" spans="2:17" ht="14.4">
      <c r="B58" s="11"/>
      <c r="E58"/>
      <c r="F58" s="79"/>
      <c r="J58">
        <v>36.97</v>
      </c>
      <c r="K58" t="s">
        <v>1272</v>
      </c>
      <c r="L58" t="s">
        <v>1273</v>
      </c>
      <c r="O58"/>
      <c r="P58"/>
    </row>
    <row r="59" spans="2:17">
      <c r="O59"/>
      <c r="P59"/>
    </row>
    <row r="60" spans="2:17">
      <c r="B60" s="212"/>
      <c r="C60" s="212"/>
      <c r="N60">
        <v>100</v>
      </c>
      <c r="O60" t="s">
        <v>1277</v>
      </c>
      <c r="P60"/>
    </row>
    <row r="61" spans="2:17">
      <c r="C61" s="56"/>
      <c r="D61" s="243"/>
      <c r="J61" s="771"/>
      <c r="K61" s="771"/>
      <c r="L61" s="771"/>
      <c r="N61" t="s">
        <v>1278</v>
      </c>
      <c r="O61"/>
      <c r="P61"/>
    </row>
    <row r="62" spans="2:17" ht="15.75" customHeight="1">
      <c r="C62" s="56"/>
      <c r="G62" s="771"/>
      <c r="H62" s="771"/>
      <c r="I62" s="771"/>
      <c r="J62" s="771"/>
      <c r="K62" s="771"/>
      <c r="L62" s="771"/>
      <c r="M62" s="771"/>
      <c r="N62" s="771"/>
      <c r="O62" s="771"/>
      <c r="P62"/>
    </row>
    <row r="63" spans="2:17" ht="14.4">
      <c r="C63" s="56"/>
      <c r="E63"/>
      <c r="F63"/>
      <c r="I63">
        <v>100</v>
      </c>
      <c r="J63" t="s">
        <v>1269</v>
      </c>
      <c r="K63" t="s">
        <v>1270</v>
      </c>
      <c r="O63"/>
      <c r="P63" s="771"/>
    </row>
    <row r="64" spans="2:17" ht="14.4">
      <c r="C64" s="56"/>
      <c r="E64"/>
      <c r="F64"/>
      <c r="I64">
        <v>100</v>
      </c>
      <c r="J64" t="s">
        <v>1085</v>
      </c>
      <c r="K64" t="s">
        <v>1081</v>
      </c>
      <c r="O64"/>
      <c r="P64" s="771"/>
    </row>
    <row r="65" spans="2:16" ht="14.4">
      <c r="C65" s="56"/>
      <c r="E65" s="243"/>
      <c r="F65"/>
      <c r="I65">
        <v>100</v>
      </c>
      <c r="J65" t="s">
        <v>1271</v>
      </c>
      <c r="K65" s="243" t="s">
        <v>1081</v>
      </c>
      <c r="O65"/>
      <c r="P65" s="771"/>
    </row>
    <row r="66" spans="2:16" ht="14.4">
      <c r="C66" s="56"/>
      <c r="D66" s="243"/>
      <c r="E66"/>
      <c r="F66"/>
      <c r="O66"/>
      <c r="P66" s="771"/>
    </row>
    <row r="67" spans="2:16" ht="14.4">
      <c r="C67" s="56"/>
      <c r="E67"/>
      <c r="F67"/>
      <c r="O67"/>
      <c r="P67"/>
    </row>
    <row r="68" spans="2:16" ht="14.4">
      <c r="C68" s="56"/>
      <c r="E68" s="347"/>
      <c r="F68"/>
      <c r="G68" s="771"/>
      <c r="H68" s="771"/>
      <c r="I68" s="771"/>
      <c r="J68" s="771"/>
      <c r="K68" s="771"/>
      <c r="L68" s="771"/>
      <c r="M68" s="771"/>
      <c r="N68" s="771"/>
      <c r="O68" s="771"/>
      <c r="P68" s="771"/>
    </row>
    <row r="69" spans="2:16" ht="14.4">
      <c r="C69" s="56"/>
      <c r="E69" s="332"/>
      <c r="F69" s="332"/>
      <c r="O69"/>
      <c r="P69" s="771"/>
    </row>
    <row r="70" spans="2:16" ht="14.4">
      <c r="C70" s="56"/>
      <c r="E70"/>
      <c r="F70"/>
      <c r="H70">
        <f>305.45-I70</f>
        <v>268.45</v>
      </c>
      <c r="I70">
        <f>(3.95*2)+5.45+8.25+6.1+3.65+(16.95/3)</f>
        <v>37</v>
      </c>
      <c r="O70"/>
      <c r="P70" s="771"/>
    </row>
    <row r="71" spans="2:16" ht="14.4">
      <c r="C71" s="56"/>
      <c r="E71"/>
      <c r="F71"/>
      <c r="H71">
        <f>35+36.2+28.55+25+33.5+36+34+28</f>
        <v>256.25</v>
      </c>
      <c r="O71"/>
      <c r="P71" s="771"/>
    </row>
    <row r="72" spans="2:16">
      <c r="E72" s="365"/>
      <c r="F72" s="365"/>
      <c r="H72">
        <f>H70-H71</f>
        <v>12.199999999999989</v>
      </c>
      <c r="I72">
        <f>I70+H72</f>
        <v>49.199999999999989</v>
      </c>
      <c r="O72"/>
      <c r="P72" s="771"/>
    </row>
    <row r="73" spans="2:16" ht="14.4">
      <c r="B73" s="212"/>
      <c r="C73" s="294"/>
      <c r="D73" s="212"/>
      <c r="E73" s="212"/>
      <c r="F73" s="212"/>
      <c r="O73"/>
      <c r="P73"/>
    </row>
    <row r="74" spans="2:16" ht="14.4">
      <c r="C74" s="56"/>
      <c r="D74" s="56"/>
      <c r="E74" s="56"/>
      <c r="F74" s="56"/>
      <c r="G74" s="771"/>
      <c r="H74" s="771"/>
      <c r="I74" s="771"/>
      <c r="J74" s="771"/>
      <c r="K74" s="771"/>
      <c r="L74" s="771"/>
      <c r="M74" s="771"/>
      <c r="N74" s="771"/>
      <c r="O74" s="771"/>
      <c r="P74"/>
    </row>
    <row r="75" spans="2:16" ht="14.4">
      <c r="C75" s="56"/>
      <c r="D75" s="56"/>
      <c r="E75" s="56"/>
      <c r="F75" s="56"/>
      <c r="O75"/>
      <c r="P75" s="771"/>
    </row>
    <row r="76" spans="2:16" ht="14.4">
      <c r="C76" s="56"/>
      <c r="D76" s="56"/>
      <c r="E76" s="56"/>
      <c r="F76" s="56"/>
      <c r="O76"/>
      <c r="P76" s="771"/>
    </row>
    <row r="77" spans="2:16" ht="14.4">
      <c r="C77" s="56"/>
      <c r="D77" s="56"/>
      <c r="E77" s="56"/>
      <c r="F77" s="56"/>
      <c r="O77"/>
      <c r="P77" s="771"/>
    </row>
    <row r="78" spans="2:16" ht="14.4">
      <c r="C78" s="56"/>
      <c r="D78" s="56"/>
      <c r="E78" s="56"/>
      <c r="F78" s="56"/>
      <c r="O78"/>
      <c r="P78" s="771"/>
    </row>
    <row r="79" spans="2:16" ht="14.4">
      <c r="C79" s="56"/>
      <c r="E79" s="56"/>
      <c r="F79" s="56"/>
      <c r="O79"/>
      <c r="P79"/>
    </row>
    <row r="80" spans="2:16">
      <c r="O80"/>
      <c r="P80"/>
    </row>
    <row r="81" spans="5:16" ht="14.4">
      <c r="E81" s="212"/>
      <c r="F81" s="212"/>
      <c r="O81"/>
      <c r="P81" s="771"/>
    </row>
    <row r="82" spans="5:16" ht="14.4">
      <c r="E82" s="56"/>
      <c r="F82" s="56"/>
      <c r="O82"/>
      <c r="P82" s="771"/>
    </row>
    <row r="83" spans="5:16" ht="14.4">
      <c r="E83" s="56"/>
      <c r="F83" s="56"/>
      <c r="O83"/>
      <c r="P83" s="771"/>
    </row>
    <row r="84" spans="5:16" ht="14.4">
      <c r="E84" s="56"/>
      <c r="F84" s="56"/>
      <c r="O84"/>
      <c r="P84" s="771"/>
    </row>
    <row r="85" spans="5:16" ht="14.4">
      <c r="E85" s="56"/>
      <c r="F85" s="56"/>
      <c r="O85"/>
      <c r="P85"/>
    </row>
    <row r="86" spans="5:16" ht="14.4">
      <c r="E86" s="56"/>
      <c r="F86" s="56"/>
      <c r="O86"/>
      <c r="P86"/>
    </row>
    <row r="87" spans="5:16" ht="14.4">
      <c r="E87" s="56"/>
      <c r="F87" s="56"/>
      <c r="O87"/>
      <c r="P87" s="771"/>
    </row>
    <row r="88" spans="5:16">
      <c r="O88"/>
      <c r="P88" s="771"/>
    </row>
    <row r="89" spans="5:16" ht="14.4">
      <c r="E89" s="212"/>
      <c r="F89" s="212"/>
      <c r="O89"/>
      <c r="P89" s="771"/>
    </row>
    <row r="90" spans="5:16" ht="14.4">
      <c r="E90" s="56"/>
      <c r="F90" s="56"/>
      <c r="O90"/>
      <c r="P90" s="771"/>
    </row>
    <row r="91" spans="5:16" ht="14.4">
      <c r="E91" s="56"/>
      <c r="F91" s="56"/>
      <c r="O91"/>
      <c r="P91"/>
    </row>
    <row r="92" spans="5:16" ht="14.4">
      <c r="E92" s="56"/>
      <c r="F92" s="56"/>
      <c r="O92"/>
      <c r="P92"/>
    </row>
    <row r="93" spans="5:16" ht="14.4">
      <c r="E93" s="56"/>
      <c r="F93" s="56"/>
      <c r="O93"/>
      <c r="P93" s="771"/>
    </row>
    <row r="94" spans="5:16" ht="14.4">
      <c r="E94" s="56"/>
      <c r="F94" s="56"/>
      <c r="O94"/>
      <c r="P94" s="771"/>
    </row>
    <row r="95" spans="5:16" ht="14.4">
      <c r="E95" s="56"/>
      <c r="F95" s="56"/>
      <c r="O95"/>
      <c r="P95" s="771"/>
    </row>
    <row r="96" spans="5:16">
      <c r="E96" s="365"/>
      <c r="F96" s="365"/>
      <c r="O96"/>
      <c r="P96" s="771"/>
    </row>
    <row r="97" spans="15:16">
      <c r="O97"/>
      <c r="P97"/>
    </row>
    <row r="98" spans="15:16">
      <c r="O98"/>
      <c r="P98"/>
    </row>
  </sheetData>
  <mergeCells count="33">
    <mergeCell ref="B24:C24"/>
    <mergeCell ref="D24:E24"/>
    <mergeCell ref="B1:O1"/>
    <mergeCell ref="G3:H3"/>
    <mergeCell ref="I3:J3"/>
    <mergeCell ref="K3:L3"/>
    <mergeCell ref="M3:N3"/>
    <mergeCell ref="B4:E4"/>
    <mergeCell ref="B5:C5"/>
    <mergeCell ref="D5:E5"/>
    <mergeCell ref="B6:B21"/>
    <mergeCell ref="C6:C21"/>
    <mergeCell ref="B23:E23"/>
    <mergeCell ref="J61:L61"/>
    <mergeCell ref="B33:E33"/>
    <mergeCell ref="B34:C34"/>
    <mergeCell ref="D34:E34"/>
    <mergeCell ref="B35:B40"/>
    <mergeCell ref="C35:C40"/>
    <mergeCell ref="B43:D43"/>
    <mergeCell ref="B45:G45"/>
    <mergeCell ref="K45:O45"/>
    <mergeCell ref="B46:C46"/>
    <mergeCell ref="D46:E46"/>
    <mergeCell ref="P81:P84"/>
    <mergeCell ref="P87:P90"/>
    <mergeCell ref="P93:P96"/>
    <mergeCell ref="G62:O62"/>
    <mergeCell ref="P63:P66"/>
    <mergeCell ref="G68:P68"/>
    <mergeCell ref="P69:P72"/>
    <mergeCell ref="G74:O74"/>
    <mergeCell ref="P75:P78"/>
  </mergeCells>
  <pageMargins left="0.7" right="0.7" top="0.75" bottom="0.75" header="0.3" footer="0.3"/>
  <pageSetup orientation="portrait" r:id="rId1"/>
  <legacyDrawing r:id="rId2"/>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143EB-2E72-4F86-908E-370C0F606864}">
  <dimension ref="A1:T96"/>
  <sheetViews>
    <sheetView topLeftCell="F22" workbookViewId="0"/>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NOV-DEC 2023</v>
      </c>
      <c r="B1" s="730" t="str">
        <f ca="1">MID(CELL("filename",B1),FIND("]",CELL("filename",B1))+1,255)</f>
        <v>DEC-JAN 2023</v>
      </c>
      <c r="C1" s="731"/>
      <c r="D1" s="731"/>
      <c r="E1" s="731"/>
      <c r="F1" s="731"/>
      <c r="G1" s="731"/>
      <c r="H1" s="731"/>
      <c r="I1" s="731"/>
      <c r="J1" s="731"/>
      <c r="K1" s="731"/>
      <c r="L1" s="731"/>
      <c r="M1" s="731"/>
      <c r="N1" s="731"/>
      <c r="O1" s="731"/>
      <c r="P1" s="298"/>
      <c r="Q1" s="281"/>
      <c r="R1" s="272"/>
      <c r="S1" s="272"/>
      <c r="T1" s="272"/>
    </row>
    <row r="2" spans="1:20">
      <c r="B2" s="118"/>
      <c r="C2" s="118"/>
      <c r="E2" s="365">
        <f>2742.7-F2</f>
        <v>-450.54000000000042</v>
      </c>
      <c r="F2" s="365">
        <f>2590.53+H4</f>
        <v>3193.2400000000002</v>
      </c>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ROUND(O5+O33+O24+IF(O38&lt;0,0,O38)+O39+O4,2) &amp; " / " &amp; "£" &amp; E41</f>
        <v>£2209.29 / £5611.96666666667</v>
      </c>
      <c r="E3" s="365">
        <f>2802.81-2787.81</f>
        <v>15</v>
      </c>
      <c r="F3" s="365"/>
      <c r="G3" s="732">
        <v>44920</v>
      </c>
      <c r="H3" s="732"/>
      <c r="I3" s="732">
        <f>G3+7</f>
        <v>44927</v>
      </c>
      <c r="J3" s="732"/>
      <c r="K3" s="732">
        <f>I3+7</f>
        <v>44934</v>
      </c>
      <c r="L3" s="732"/>
      <c r="M3" s="732">
        <f>K3+7</f>
        <v>44941</v>
      </c>
      <c r="N3" s="732"/>
      <c r="O3" s="308">
        <v>0</v>
      </c>
      <c r="P3" s="325" t="s">
        <v>1224</v>
      </c>
      <c r="Q3" s="282"/>
    </row>
    <row r="4" spans="1:20" ht="15" customHeight="1">
      <c r="B4" s="727" t="str">
        <f>_xlfn.CONCAT("Expenses - 50 - ",G41*0.5," / Actual = ",ROUND(D5,2)," (",ROUND((D5/G41)*100,2),")")</f>
        <v>Expenses - 50 - 2079.29 / Actual = 1839.73 (44.24)</v>
      </c>
      <c r="C4" s="727"/>
      <c r="D4" s="727"/>
      <c r="E4" s="727"/>
      <c r="F4" s="318"/>
      <c r="H4" s="243">
        <f>SUM(H5:H39)</f>
        <v>602.71</v>
      </c>
      <c r="J4" s="243">
        <f>SUM(J5:J39)</f>
        <v>445.89</v>
      </c>
      <c r="L4" s="243">
        <f>SUM(L5:L39)</f>
        <v>961.11000000000013</v>
      </c>
      <c r="N4" s="243">
        <f>SUM(N5:N39)</f>
        <v>139.57</v>
      </c>
      <c r="O4" s="308">
        <f>IF(H40&lt;&gt;"PAID",H4,0)+IF(J40&lt;&gt;"PAID",J4,0)+IF(L40&lt;&gt;"PAID",L4,0)+IF(N40&lt;&gt;"PAID",N4,0)</f>
        <v>2149.2800000000002</v>
      </c>
      <c r="P4" s="309" t="s">
        <v>973</v>
      </c>
      <c r="Q4" s="408"/>
      <c r="R4" s="243"/>
      <c r="S4" s="243"/>
    </row>
    <row r="5" spans="1:20" ht="15" customHeight="1">
      <c r="B5" s="733" t="str">
        <f>IF(D5&gt;E$41*0.5,ROUND(D5-E$41*0.5,2) &amp; " Over",ROUND(E$41*0.5-D5,2) &amp; " Under")</f>
        <v>966.25 Under</v>
      </c>
      <c r="C5" s="733"/>
      <c r="D5" s="761">
        <f>ROUND(SUM(F6:F21),2)</f>
        <v>1839.73</v>
      </c>
      <c r="E5" s="761"/>
      <c r="F5" s="321"/>
      <c r="G5" s="284"/>
      <c r="H5" s="306"/>
      <c r="I5" s="79"/>
      <c r="J5" s="306"/>
      <c r="K5" s="79"/>
      <c r="L5" s="306"/>
      <c r="M5" s="79"/>
      <c r="N5" s="305"/>
      <c r="O5" s="285">
        <f>SUMIF(O6:O21,"&gt;0")</f>
        <v>30.42333333333335</v>
      </c>
      <c r="P5" s="285" t="s">
        <v>892</v>
      </c>
      <c r="Q5" s="282">
        <f>SUM(Q6:Q21)</f>
        <v>10.419999999999987</v>
      </c>
      <c r="R5" s="243"/>
    </row>
    <row r="6" spans="1:20" ht="15" customHeight="1">
      <c r="B6" s="734" t="str">
        <f>"50%: " &amp; E$41*0.5</f>
        <v>50%: 2805.98333333333</v>
      </c>
      <c r="C6" s="734" t="str">
        <f>ROUND((D5/E$41)*100,2) &amp; "%: " &amp;D5</f>
        <v>32.78%: 1839.73</v>
      </c>
      <c r="D6" s="13" t="s">
        <v>805</v>
      </c>
      <c r="E6" s="365">
        <v>0</v>
      </c>
      <c r="F6" s="374">
        <f>200+40+15.87</f>
        <v>255.87</v>
      </c>
      <c r="G6">
        <v>25</v>
      </c>
      <c r="H6" s="304">
        <f>33.7+35.58</f>
        <v>69.28</v>
      </c>
      <c r="I6">
        <v>25.02</v>
      </c>
      <c r="J6">
        <f>33.8+35.18</f>
        <v>68.97999999999999</v>
      </c>
      <c r="L6" s="305">
        <f>33.76+33.83</f>
        <v>67.59</v>
      </c>
      <c r="N6" s="305"/>
      <c r="O6" s="274">
        <f>SUM(E6:F6)-SUM(G6:N6)</f>
        <v>0</v>
      </c>
      <c r="P6" s="274" t="str">
        <f t="shared" ref="P6:P21" si="0">D6</f>
        <v>Car Petrol / commuting</v>
      </c>
      <c r="Q6" s="282">
        <f t="shared" ref="Q6:Q21" si="1">IF(O6&lt;0,O6*-1,0)</f>
        <v>0</v>
      </c>
      <c r="R6" s="243">
        <f>32.9+33.76</f>
        <v>66.66</v>
      </c>
    </row>
    <row r="7" spans="1:20" ht="15" customHeight="1">
      <c r="B7" s="734"/>
      <c r="C7" s="734"/>
      <c r="D7" s="13" t="s">
        <v>169</v>
      </c>
      <c r="E7" s="365">
        <v>0</v>
      </c>
      <c r="F7" s="365">
        <f>400+33.66</f>
        <v>433.65999999999997</v>
      </c>
      <c r="G7">
        <f>13.25</f>
        <v>13.25</v>
      </c>
      <c r="H7" s="304">
        <f>19.6+26.19+74.62</f>
        <v>120.41000000000001</v>
      </c>
      <c r="J7" s="305">
        <f>10.18+12.55+46.02+66.96</f>
        <v>135.70999999999998</v>
      </c>
      <c r="L7" s="305">
        <f>31.35+73.44</f>
        <v>104.78999999999999</v>
      </c>
      <c r="N7" s="305">
        <f>44.25+12.96</f>
        <v>57.21</v>
      </c>
      <c r="O7" s="274">
        <f>SUM(E7:F7)-SUM(G7:N7)</f>
        <v>2.2900000000000205</v>
      </c>
      <c r="P7" s="274" t="str">
        <f t="shared" si="0"/>
        <v>Food</v>
      </c>
      <c r="Q7" s="282">
        <f t="shared" si="1"/>
        <v>0</v>
      </c>
      <c r="R7" s="243">
        <f>35.65</f>
        <v>35.65</v>
      </c>
    </row>
    <row r="8" spans="1:20" ht="15" customHeight="1">
      <c r="B8" s="734"/>
      <c r="C8" s="734"/>
      <c r="D8" s="13" t="s">
        <v>153</v>
      </c>
      <c r="E8" s="365">
        <v>0</v>
      </c>
      <c r="F8" s="365">
        <f>100+21</f>
        <v>121</v>
      </c>
      <c r="G8">
        <f>17.5+27.89</f>
        <v>45.39</v>
      </c>
      <c r="H8" s="305"/>
      <c r="I8">
        <v>27.15</v>
      </c>
      <c r="J8" s="362">
        <f>10</f>
        <v>10</v>
      </c>
      <c r="K8">
        <f>21+27.88</f>
        <v>48.879999999999995</v>
      </c>
      <c r="L8" s="305"/>
      <c r="N8" s="305"/>
      <c r="O8" s="274">
        <f>SUM(E8:F8)-SUM(G8:N8)</f>
        <v>-10.419999999999987</v>
      </c>
      <c r="P8" s="274" t="str">
        <f t="shared" si="0"/>
        <v>Luna</v>
      </c>
      <c r="Q8" s="282">
        <f t="shared" si="1"/>
        <v>10.419999999999987</v>
      </c>
      <c r="S8">
        <f>24.53</f>
        <v>24.53</v>
      </c>
    </row>
    <row r="9" spans="1:20" ht="15" customHeight="1">
      <c r="B9" s="734"/>
      <c r="C9" s="734"/>
      <c r="D9" s="13" t="s">
        <v>1079</v>
      </c>
      <c r="E9" s="365">
        <v>0</v>
      </c>
      <c r="F9" s="365">
        <f>40+5.46</f>
        <v>45.46</v>
      </c>
      <c r="H9" s="305">
        <f>6.48</f>
        <v>6.48</v>
      </c>
      <c r="J9" s="305">
        <f>24+14.98</f>
        <v>38.980000000000004</v>
      </c>
      <c r="L9" s="305"/>
      <c r="N9" s="305"/>
      <c r="O9" s="274">
        <f>SUM(E9:F9)-SUM(G9:N9)</f>
        <v>0</v>
      </c>
      <c r="P9" s="274" t="str">
        <f t="shared" si="0"/>
        <v>Creamy</v>
      </c>
      <c r="Q9" s="282">
        <f t="shared" si="1"/>
        <v>0</v>
      </c>
      <c r="R9">
        <f>17.47</f>
        <v>17.47</v>
      </c>
    </row>
    <row r="10" spans="1:20" ht="15" customHeight="1" outlineLevel="1">
      <c r="B10" s="734"/>
      <c r="C10" s="734"/>
      <c r="D10" s="201" t="s">
        <v>595</v>
      </c>
      <c r="E10" s="365">
        <v>0</v>
      </c>
      <c r="F10" s="365">
        <f>452.64</f>
        <v>452.64</v>
      </c>
      <c r="H10" s="304"/>
      <c r="J10" s="305"/>
      <c r="K10">
        <v>452.64</v>
      </c>
      <c r="L10" s="305"/>
      <c r="N10" s="305"/>
      <c r="O10" s="274">
        <f t="shared" ref="O10:O16" si="2">SUM(E10:F10)-SUM(G10:N10)</f>
        <v>0</v>
      </c>
      <c r="P10" s="274" t="str">
        <f t="shared" si="0"/>
        <v>Mortgage</v>
      </c>
      <c r="Q10" s="282">
        <f t="shared" si="1"/>
        <v>0</v>
      </c>
      <c r="R10" s="243"/>
    </row>
    <row r="11" spans="1:20" ht="15" customHeight="1" outlineLevel="1">
      <c r="B11" s="734"/>
      <c r="C11" s="734"/>
      <c r="D11" s="201" t="s">
        <v>596</v>
      </c>
      <c r="E11" s="365">
        <v>0</v>
      </c>
      <c r="F11" s="365">
        <v>139</v>
      </c>
      <c r="H11" s="305"/>
      <c r="J11" s="305"/>
      <c r="K11">
        <v>139</v>
      </c>
      <c r="L11" s="305"/>
      <c r="N11" s="305"/>
      <c r="O11" s="274">
        <f t="shared" si="2"/>
        <v>0</v>
      </c>
      <c r="P11" s="274" t="str">
        <f t="shared" si="0"/>
        <v>Council tax</v>
      </c>
      <c r="Q11" s="282">
        <f t="shared" si="1"/>
        <v>0</v>
      </c>
    </row>
    <row r="12" spans="1:20" ht="15" customHeight="1" outlineLevel="1">
      <c r="B12" s="734"/>
      <c r="C12" s="734"/>
      <c r="D12" s="201" t="s">
        <v>1002</v>
      </c>
      <c r="E12" s="365">
        <v>0</v>
      </c>
      <c r="F12" s="365">
        <f>46+65.56+1</f>
        <v>112.56</v>
      </c>
      <c r="G12">
        <v>1</v>
      </c>
      <c r="H12" s="305"/>
      <c r="I12">
        <f>65.56</f>
        <v>65.56</v>
      </c>
      <c r="J12" s="305"/>
      <c r="L12" s="305"/>
      <c r="N12" s="305">
        <v>46</v>
      </c>
      <c r="O12" s="274">
        <f>SUM(E12:F12)-SUM(G12:N12)</f>
        <v>0</v>
      </c>
      <c r="P12" s="274" t="str">
        <f t="shared" si="0"/>
        <v>Utilities (G,W,E,HTB)</v>
      </c>
      <c r="Q12" s="282">
        <f t="shared" si="1"/>
        <v>0</v>
      </c>
    </row>
    <row r="13" spans="1:20" ht="15" customHeight="1" outlineLevel="1">
      <c r="B13" s="734"/>
      <c r="C13" s="734"/>
      <c r="D13" s="201" t="s">
        <v>996</v>
      </c>
      <c r="E13" s="365">
        <v>0</v>
      </c>
      <c r="F13" s="365">
        <f>16.42</f>
        <v>16.420000000000002</v>
      </c>
      <c r="G13">
        <v>16.420000000000002</v>
      </c>
      <c r="H13" s="305"/>
      <c r="J13" s="305"/>
      <c r="L13" s="305"/>
      <c r="N13" s="305"/>
      <c r="O13" s="274">
        <f>SUM(E13:F13)-SUM(G13:N13)</f>
        <v>0</v>
      </c>
      <c r="P13" s="274" t="str">
        <f t="shared" si="0"/>
        <v>Home Insurance</v>
      </c>
      <c r="Q13" s="282">
        <f t="shared" si="1"/>
        <v>0</v>
      </c>
    </row>
    <row r="14" spans="1:20" ht="15" customHeight="1" outlineLevel="1">
      <c r="B14" s="734"/>
      <c r="C14" s="734"/>
      <c r="D14" s="201" t="s">
        <v>359</v>
      </c>
      <c r="E14" s="365">
        <v>13.666666666666666</v>
      </c>
      <c r="F14" s="365">
        <f>41/3</f>
        <v>13.666666666666666</v>
      </c>
      <c r="H14" s="305"/>
      <c r="J14" s="305"/>
      <c r="L14" s="305"/>
      <c r="N14" s="305"/>
      <c r="O14" s="274">
        <f t="shared" si="2"/>
        <v>27.333333333333332</v>
      </c>
      <c r="P14" s="274" t="str">
        <f t="shared" si="0"/>
        <v>TV License</v>
      </c>
      <c r="Q14" s="282">
        <f t="shared" si="1"/>
        <v>0</v>
      </c>
    </row>
    <row r="15" spans="1:20" ht="15" customHeight="1" outlineLevel="1">
      <c r="B15" s="734"/>
      <c r="C15" s="734"/>
      <c r="D15" s="201" t="s">
        <v>1056</v>
      </c>
      <c r="E15" s="365">
        <v>0</v>
      </c>
      <c r="F15" s="365">
        <f>8+36.79+17.99</f>
        <v>62.78</v>
      </c>
      <c r="G15">
        <v>17.989999999999998</v>
      </c>
      <c r="H15" s="305"/>
      <c r="J15" s="305"/>
      <c r="K15">
        <f>8+35.99</f>
        <v>43.99</v>
      </c>
      <c r="L15" s="305"/>
      <c r="N15" s="305"/>
      <c r="O15" s="274">
        <f>SUM(E15:F15)-SUM(G15:N15)</f>
        <v>0.79999999999999716</v>
      </c>
      <c r="P15" s="274" t="str">
        <f t="shared" si="0"/>
        <v>Pet Health / Insurance</v>
      </c>
      <c r="Q15" s="282">
        <f t="shared" si="1"/>
        <v>0</v>
      </c>
    </row>
    <row r="16" spans="1:20" ht="15" customHeight="1" outlineLevel="1">
      <c r="B16" s="734"/>
      <c r="C16" s="734"/>
      <c r="D16" s="201" t="s">
        <v>1057</v>
      </c>
      <c r="E16" s="365">
        <v>0</v>
      </c>
      <c r="F16" s="365">
        <f>4.52+15.97</f>
        <v>20.490000000000002</v>
      </c>
      <c r="G16">
        <f>29.05-8.56</f>
        <v>20.490000000000002</v>
      </c>
      <c r="H16" s="305"/>
      <c r="I16" s="11"/>
      <c r="J16" s="305"/>
      <c r="L16" s="305"/>
      <c r="N16" s="305"/>
      <c r="O16" s="274">
        <f t="shared" si="2"/>
        <v>0</v>
      </c>
      <c r="P16" s="274" t="str">
        <f t="shared" si="0"/>
        <v>Life / Income Insurance</v>
      </c>
      <c r="Q16" s="282">
        <f t="shared" si="1"/>
        <v>0</v>
      </c>
    </row>
    <row r="17" spans="2:17" ht="15" customHeight="1" outlineLevel="1">
      <c r="B17" s="734"/>
      <c r="C17" s="734"/>
      <c r="D17" s="201" t="s">
        <v>602</v>
      </c>
      <c r="E17" s="365">
        <v>0</v>
      </c>
      <c r="F17" s="365">
        <v>25</v>
      </c>
      <c r="H17" s="305"/>
      <c r="J17" s="305"/>
      <c r="K17">
        <v>25</v>
      </c>
      <c r="L17" s="305"/>
      <c r="N17" s="305"/>
      <c r="O17" s="274">
        <f>SUM(E17:F17)-SUM(G17:N17)</f>
        <v>0</v>
      </c>
      <c r="P17" s="274" t="str">
        <f t="shared" si="0"/>
        <v>Broadband / TV</v>
      </c>
      <c r="Q17" s="282">
        <f t="shared" si="1"/>
        <v>0</v>
      </c>
    </row>
    <row r="18" spans="2:17" ht="15" customHeight="1" outlineLevel="1">
      <c r="B18" s="734"/>
      <c r="C18" s="734"/>
      <c r="D18" s="201" t="s">
        <v>582</v>
      </c>
      <c r="E18" s="365">
        <v>0</v>
      </c>
      <c r="F18" s="365">
        <v>7.99</v>
      </c>
      <c r="H18" s="305"/>
      <c r="I18">
        <v>7.99</v>
      </c>
      <c r="J18" s="305"/>
      <c r="L18" s="305"/>
      <c r="N18" s="305"/>
      <c r="O18" s="274">
        <f>SUM(E18:F18)-SUM(G18:N18)</f>
        <v>0</v>
      </c>
      <c r="P18" s="274" t="str">
        <f t="shared" si="0"/>
        <v>Onedrive (6th)</v>
      </c>
      <c r="Q18" s="282">
        <f t="shared" si="1"/>
        <v>0</v>
      </c>
    </row>
    <row r="19" spans="2:17" ht="15" customHeight="1" outlineLevel="1">
      <c r="B19" s="734"/>
      <c r="C19" s="734"/>
      <c r="D19" s="201" t="s">
        <v>788</v>
      </c>
      <c r="E19" s="365">
        <v>0</v>
      </c>
      <c r="F19" s="365">
        <f>11.55</f>
        <v>11.55</v>
      </c>
      <c r="G19">
        <v>11.55</v>
      </c>
      <c r="H19" s="305"/>
      <c r="J19" s="305"/>
      <c r="L19" s="305"/>
      <c r="N19" s="305"/>
      <c r="O19" s="274">
        <f>SUM(E19:F19)-SUM(G19:N19)</f>
        <v>0</v>
      </c>
      <c r="P19" s="274" t="str">
        <f t="shared" si="0"/>
        <v>Matt Phone</v>
      </c>
      <c r="Q19" s="282">
        <f t="shared" si="1"/>
        <v>0</v>
      </c>
    </row>
    <row r="20" spans="2:17" ht="15" customHeight="1" outlineLevel="1">
      <c r="B20" s="734"/>
      <c r="C20" s="734"/>
      <c r="D20" s="201" t="s">
        <v>985</v>
      </c>
      <c r="E20" s="365">
        <v>0</v>
      </c>
      <c r="F20" s="365">
        <f>11.81+32.71+47.69+14.43</f>
        <v>106.64000000000001</v>
      </c>
      <c r="G20">
        <f>11.81+14.43+32.71</f>
        <v>58.95</v>
      </c>
      <c r="H20" s="305"/>
      <c r="J20" s="305"/>
      <c r="K20">
        <v>47.69</v>
      </c>
      <c r="L20" s="305"/>
      <c r="N20" s="305"/>
      <c r="O20" s="274">
        <f>SUM(E20:F20)-SUM(G20:N20)</f>
        <v>0</v>
      </c>
      <c r="P20" s="274" t="str">
        <f t="shared" si="0"/>
        <v>Car Tax / Insurance</v>
      </c>
      <c r="Q20" s="282">
        <f t="shared" si="1"/>
        <v>0</v>
      </c>
    </row>
    <row r="21" spans="2:17" ht="15" customHeight="1" outlineLevel="1">
      <c r="B21" s="734"/>
      <c r="C21" s="734"/>
      <c r="D21" s="201" t="s">
        <v>944</v>
      </c>
      <c r="E21" s="365">
        <v>0</v>
      </c>
      <c r="F21" s="365">
        <v>15</v>
      </c>
      <c r="G21">
        <v>15</v>
      </c>
      <c r="H21" s="305"/>
      <c r="J21" s="305"/>
      <c r="L21" s="305"/>
      <c r="N21" s="305"/>
      <c r="O21" s="274">
        <f>SUM(E21:F21)-SUM(G21:N21)</f>
        <v>0</v>
      </c>
      <c r="P21" s="274" t="str">
        <f t="shared" si="0"/>
        <v>Windows</v>
      </c>
      <c r="Q21" s="282">
        <f t="shared" si="1"/>
        <v>0</v>
      </c>
    </row>
    <row r="22" spans="2:17" ht="15" customHeight="1">
      <c r="B22" s="118"/>
      <c r="C22" s="118"/>
      <c r="D22" s="188"/>
      <c r="E22" s="365"/>
      <c r="F22" s="365"/>
      <c r="H22" s="305"/>
      <c r="J22" s="305"/>
      <c r="L22" s="305"/>
      <c r="N22" s="305"/>
      <c r="O22" s="273"/>
      <c r="P22" s="273"/>
      <c r="Q22" s="282"/>
    </row>
    <row r="23" spans="2:17" ht="15" customHeight="1">
      <c r="B23" s="736" t="str">
        <f>_xlfn.CONCAT("Savings - 20 - ",G41*0.2," / Actual = ",D24," (",ROUND((D24/G41)*100,2),")")</f>
        <v>Savings - 20 - 831.716 / Actual = 642.4 (15.45)</v>
      </c>
      <c r="C23" s="736"/>
      <c r="D23" s="736"/>
      <c r="E23" s="736"/>
      <c r="F23" s="320"/>
      <c r="H23" s="305"/>
      <c r="J23" s="305"/>
      <c r="L23" s="305"/>
      <c r="N23" s="305"/>
      <c r="O23" s="274"/>
      <c r="P23" s="274"/>
      <c r="Q23" s="282"/>
    </row>
    <row r="24" spans="2:17" ht="15" customHeight="1">
      <c r="B24" s="727" t="str">
        <f>IF(ISNUMBER((SEARCH("Over",C$5))),"Operating under budget","Operating over budget")</f>
        <v>Operating over budget</v>
      </c>
      <c r="C24" s="727"/>
      <c r="D24" s="759">
        <f>SUM(F25:F30)</f>
        <v>642.4</v>
      </c>
      <c r="E24" s="759"/>
      <c r="F24" s="319"/>
      <c r="H24" s="305"/>
      <c r="J24" s="305"/>
      <c r="L24" s="305"/>
      <c r="N24" s="305"/>
      <c r="O24" s="285">
        <f>SUMIF(O25:O30,"&gt;0")</f>
        <v>1.8900000000000148</v>
      </c>
      <c r="P24" s="285" t="s">
        <v>895</v>
      </c>
      <c r="Q24" s="282">
        <f>SUM(Q25:Q29)</f>
        <v>0</v>
      </c>
    </row>
    <row r="25" spans="2:17" ht="15" customHeight="1" outlineLevel="1">
      <c r="B25" s="7" t="str">
        <f>"20% : " &amp; E$41*0.2</f>
        <v>20% : 1122.39333333333</v>
      </c>
      <c r="C25" s="7" t="str">
        <f>"20% : " &amp; E$41*0.2</f>
        <v>20% : 1122.39333333333</v>
      </c>
      <c r="D25" s="300" t="s">
        <v>590</v>
      </c>
      <c r="E25" s="365">
        <v>0</v>
      </c>
      <c r="F25" s="365">
        <f>75+60+8.56</f>
        <v>143.56</v>
      </c>
      <c r="G25">
        <f>9.42+45.92</f>
        <v>55.34</v>
      </c>
      <c r="H25" s="305">
        <f>35.05+10.94+17.17+12.75</f>
        <v>75.91</v>
      </c>
      <c r="J25" s="305"/>
      <c r="L25" s="315"/>
      <c r="N25" s="305"/>
      <c r="O25" s="274">
        <f>SUM(E25:F25)-SUM(G25:N25)-Q41</f>
        <v>1.8900000000000148</v>
      </c>
      <c r="P25" s="274" t="str">
        <f t="shared" ref="P25:P30" si="3">D25</f>
        <v>Contingency</v>
      </c>
      <c r="Q25" s="282">
        <v>0</v>
      </c>
    </row>
    <row r="26" spans="2:17" ht="15" customHeight="1" outlineLevel="1">
      <c r="B26" s="7"/>
      <c r="C26" s="7"/>
      <c r="D26" s="300" t="s">
        <v>998</v>
      </c>
      <c r="E26" s="365">
        <v>0</v>
      </c>
      <c r="F26" s="365">
        <v>0</v>
      </c>
      <c r="H26" s="305"/>
      <c r="J26" s="305"/>
      <c r="L26" s="305"/>
      <c r="N26" s="305"/>
      <c r="O26" s="274">
        <f>SUM(E26:F26)-SUM(G26:N26)</f>
        <v>0</v>
      </c>
      <c r="P26" s="274" t="str">
        <f t="shared" si="3"/>
        <v>Cars (Service / MOT)</v>
      </c>
      <c r="Q26" s="282">
        <f t="shared" ref="Q26:Q30" si="4">IF(O26&lt;0,O26*-1,0)</f>
        <v>0</v>
      </c>
    </row>
    <row r="27" spans="2:17" ht="15" customHeight="1" outlineLevel="1">
      <c r="B27" s="7"/>
      <c r="C27" s="7"/>
      <c r="D27" s="300" t="s">
        <v>1135</v>
      </c>
      <c r="E27" s="365">
        <v>0</v>
      </c>
      <c r="F27" s="365">
        <v>30</v>
      </c>
      <c r="G27">
        <v>30</v>
      </c>
      <c r="H27" s="305"/>
      <c r="J27" s="305"/>
      <c r="L27" s="305"/>
      <c r="N27" s="305"/>
      <c r="O27" s="274">
        <f>SUM(E27:F27)-SUM(G27:N27)</f>
        <v>0</v>
      </c>
      <c r="P27" s="274" t="str">
        <f t="shared" si="3"/>
        <v>Investment</v>
      </c>
      <c r="Q27" s="282">
        <f t="shared" si="4"/>
        <v>0</v>
      </c>
    </row>
    <row r="28" spans="2:17" ht="15" customHeight="1" outlineLevel="1">
      <c r="B28" s="7"/>
      <c r="C28" s="7"/>
      <c r="D28" s="300" t="s">
        <v>999</v>
      </c>
      <c r="E28" s="365">
        <v>0</v>
      </c>
      <c r="F28" s="365">
        <v>0</v>
      </c>
      <c r="H28" s="305"/>
      <c r="J28" s="305"/>
      <c r="L28" s="305"/>
      <c r="N28" s="305"/>
      <c r="O28" s="274">
        <f t="shared" ref="O28:O30" si="5">SUM(E28:F28)-SUM(G28:N28)</f>
        <v>0</v>
      </c>
      <c r="P28" s="274" t="str">
        <f t="shared" si="3"/>
        <v>Mortgage Overpayment</v>
      </c>
      <c r="Q28" s="282">
        <f t="shared" si="4"/>
        <v>0</v>
      </c>
    </row>
    <row r="29" spans="2:17" ht="15" customHeight="1" outlineLevel="1">
      <c r="B29" s="7"/>
      <c r="C29" s="7"/>
      <c r="D29" s="300" t="s">
        <v>814</v>
      </c>
      <c r="E29" s="365">
        <v>0</v>
      </c>
      <c r="F29" s="365">
        <v>0</v>
      </c>
      <c r="H29" s="305"/>
      <c r="J29" s="305"/>
      <c r="L29" s="305"/>
      <c r="N29" s="305"/>
      <c r="O29" s="274">
        <f t="shared" si="5"/>
        <v>0</v>
      </c>
      <c r="P29" s="274" t="str">
        <f t="shared" si="3"/>
        <v>CC</v>
      </c>
      <c r="Q29" s="282">
        <f t="shared" si="4"/>
        <v>0</v>
      </c>
    </row>
    <row r="30" spans="2:17" ht="15" customHeight="1" outlineLevel="1">
      <c r="B30" s="7"/>
      <c r="C30" s="7"/>
      <c r="D30" s="300" t="s">
        <v>1225</v>
      </c>
      <c r="E30" s="365">
        <v>0</v>
      </c>
      <c r="F30" s="365">
        <v>468.84</v>
      </c>
      <c r="G30">
        <v>468.84</v>
      </c>
      <c r="H30" s="305"/>
      <c r="J30" s="305"/>
      <c r="L30" s="305"/>
      <c r="N30" s="305"/>
      <c r="O30" s="274">
        <f t="shared" si="5"/>
        <v>0</v>
      </c>
      <c r="P30" s="274" t="str">
        <f t="shared" si="3"/>
        <v>Tesco Finance</v>
      </c>
      <c r="Q30" s="282">
        <f t="shared" si="4"/>
        <v>0</v>
      </c>
    </row>
    <row r="31" spans="2:17" ht="15" customHeight="1">
      <c r="B31" s="118"/>
      <c r="C31" s="118"/>
      <c r="E31" s="365"/>
      <c r="F31" s="365"/>
      <c r="H31" s="305"/>
      <c r="J31" s="305"/>
      <c r="L31" s="305"/>
      <c r="N31" s="305"/>
      <c r="O31" s="273"/>
      <c r="P31" s="273"/>
      <c r="Q31" s="282"/>
    </row>
    <row r="32" spans="2:17" ht="15" customHeight="1">
      <c r="B32" s="727" t="str">
        <f>_xlfn.CONCAT("Wants - 30 - ",G41*0.3," / Actual = ",D33," (",ROUND((D33/G41)*100,2),")")</f>
        <v>Wants - 30 - 1247.574 / Actual = 3116.17 (74.93)</v>
      </c>
      <c r="C32" s="727"/>
      <c r="D32" s="727"/>
      <c r="E32" s="727"/>
      <c r="F32" s="318"/>
      <c r="H32" s="305"/>
      <c r="J32" s="305"/>
      <c r="L32" s="305"/>
      <c r="N32" s="305"/>
      <c r="O32" s="273"/>
      <c r="P32" s="273"/>
      <c r="Q32" s="282"/>
    </row>
    <row r="33" spans="2:19" ht="15" customHeight="1">
      <c r="B33" s="727" t="str">
        <f>IF(ISNUMBER((SEARCH("Over",B$5))),"Operating under budget","Operating over budget")</f>
        <v>Operating over budget</v>
      </c>
      <c r="C33" s="727"/>
      <c r="D33" s="759">
        <f>(E$41-D5-D24-E40)</f>
        <v>3116.1700000000005</v>
      </c>
      <c r="E33" s="727"/>
      <c r="F33" s="319">
        <f>SUM(F34:F38)</f>
        <v>2912.1700000000005</v>
      </c>
      <c r="H33" s="305"/>
      <c r="J33" s="305"/>
      <c r="L33" s="305"/>
      <c r="N33" s="305"/>
      <c r="O33" s="285">
        <f>SUMIF(O34:O37,"&gt;0")</f>
        <v>27.000000000000007</v>
      </c>
      <c r="P33" s="285" t="s">
        <v>899</v>
      </c>
      <c r="Q33" s="282">
        <f>SUM(Q34:Q38)</f>
        <v>0</v>
      </c>
    </row>
    <row r="34" spans="2:19" ht="15" customHeight="1" outlineLevel="1">
      <c r="B34" s="734"/>
      <c r="C34" s="760"/>
      <c r="D34" s="300" t="s">
        <v>354</v>
      </c>
      <c r="E34" s="365">
        <v>0</v>
      </c>
      <c r="F34" s="365">
        <v>325</v>
      </c>
      <c r="G34">
        <v>325</v>
      </c>
      <c r="H34" s="305"/>
      <c r="J34" s="305"/>
      <c r="L34" s="305"/>
      <c r="N34" s="305"/>
      <c r="O34" s="274">
        <f t="shared" ref="O34:O39" si="6">SUM(E34:F34)-SUM(G34:N34)</f>
        <v>0</v>
      </c>
      <c r="P34" s="274" t="str">
        <f t="shared" ref="P34:P39" si="7">D34</f>
        <v>Holiday</v>
      </c>
      <c r="Q34" s="282">
        <f t="shared" ref="Q34:Q36" si="8">IF(O34&lt;0,O34*-1,0)</f>
        <v>0</v>
      </c>
      <c r="R34" s="11">
        <f>74.61</f>
        <v>74.61</v>
      </c>
      <c r="S34" s="11"/>
    </row>
    <row r="35" spans="2:19" ht="15" customHeight="1" outlineLevel="1">
      <c r="B35" s="734"/>
      <c r="C35" s="760"/>
      <c r="D35" s="300" t="s">
        <v>797</v>
      </c>
      <c r="E35" s="365">
        <v>0</v>
      </c>
      <c r="F35" s="365">
        <v>550</v>
      </c>
      <c r="G35" s="11">
        <v>525</v>
      </c>
      <c r="H35" s="306"/>
      <c r="J35" s="305"/>
      <c r="L35" s="305"/>
      <c r="N35" s="305"/>
      <c r="O35" s="274">
        <f t="shared" si="6"/>
        <v>25</v>
      </c>
      <c r="P35" s="274" t="str">
        <f t="shared" si="7"/>
        <v>Bali</v>
      </c>
      <c r="Q35" s="282">
        <f t="shared" si="8"/>
        <v>0</v>
      </c>
      <c r="R35" s="11"/>
      <c r="S35" s="11"/>
    </row>
    <row r="36" spans="2:19" ht="15" customHeight="1" outlineLevel="1">
      <c r="B36" s="734"/>
      <c r="C36" s="760"/>
      <c r="D36" s="300" t="s">
        <v>170</v>
      </c>
      <c r="E36" s="365">
        <v>0</v>
      </c>
      <c r="F36" s="365">
        <f>250+25</f>
        <v>275</v>
      </c>
      <c r="G36" s="11">
        <f>20+40+15+200</f>
        <v>275</v>
      </c>
      <c r="H36" s="306"/>
      <c r="J36" s="305"/>
      <c r="L36" s="305"/>
      <c r="N36" s="305"/>
      <c r="O36" s="274">
        <f t="shared" si="6"/>
        <v>0</v>
      </c>
      <c r="P36" s="274" t="str">
        <f t="shared" si="7"/>
        <v>Gift Fund</v>
      </c>
      <c r="Q36" s="282">
        <f t="shared" si="8"/>
        <v>0</v>
      </c>
      <c r="R36" s="11"/>
      <c r="S36" s="11"/>
    </row>
    <row r="37" spans="2:19" ht="15.75" customHeight="1" outlineLevel="1">
      <c r="B37" s="734"/>
      <c r="C37" s="760"/>
      <c r="D37" s="13" t="s">
        <v>781</v>
      </c>
      <c r="E37" s="365">
        <v>0</v>
      </c>
      <c r="F37" s="365">
        <f>13+6.99+10.99+2.99+25</f>
        <v>58.970000000000006</v>
      </c>
      <c r="G37" s="243">
        <f>13+10.99</f>
        <v>23.990000000000002</v>
      </c>
      <c r="H37" s="305"/>
      <c r="I37">
        <f>25+0.99+6.99</f>
        <v>32.979999999999997</v>
      </c>
      <c r="J37" s="305"/>
      <c r="L37" s="305"/>
      <c r="N37" s="305"/>
      <c r="O37" s="274">
        <f t="shared" si="6"/>
        <v>2.0000000000000071</v>
      </c>
      <c r="P37" s="274" t="str">
        <f t="shared" si="7"/>
        <v>Subscriptions</v>
      </c>
      <c r="Q37" s="282">
        <f>IF(O37&lt;0,O37*-1,0)</f>
        <v>0</v>
      </c>
      <c r="S37" s="349">
        <f>9.99</f>
        <v>9.99</v>
      </c>
    </row>
    <row r="38" spans="2:19" ht="18" outlineLevel="1">
      <c r="B38" s="734"/>
      <c r="C38" s="760"/>
      <c r="D38" s="13" t="s">
        <v>922</v>
      </c>
      <c r="E38" s="365">
        <v>0</v>
      </c>
      <c r="F38" s="365">
        <f>(D33-SUM(F34:F37))-F39</f>
        <v>1703.2000000000005</v>
      </c>
      <c r="G38">
        <f>60+36+15.34+3.18+7.29+8.62+5.99</f>
        <v>136.42000000000002</v>
      </c>
      <c r="H38" s="305">
        <f>5.95+4.98+64.94+31.08+3.85+5.15+9.95</f>
        <v>125.9</v>
      </c>
      <c r="I38">
        <v>27.001000000000001</v>
      </c>
      <c r="J38" s="305">
        <f>180.62+6.35+5.25</f>
        <v>192.22</v>
      </c>
      <c r="K38">
        <f>10.85+8.99+74.75+230+50+11.98+8.57</f>
        <v>395.14000000000004</v>
      </c>
      <c r="L38" s="305">
        <f>70.5+12.35+375-25+6.59+3.05+10.91-10.94+139+36+6.35+11.4+9.95+98+42.97+2.6</f>
        <v>788.73000000000013</v>
      </c>
      <c r="N38" s="305">
        <f>24.49+3+7.99+0.88</f>
        <v>36.36</v>
      </c>
      <c r="O38" s="274">
        <f>SUM(E38:F38)-SUM(G38:N38)</f>
        <v>1.4290000000005421</v>
      </c>
      <c r="P38" s="274" t="str">
        <f t="shared" si="7"/>
        <v>Matt Fun</v>
      </c>
      <c r="Q38" s="282">
        <f>IF(SUM(E38:F38)-SUM(G38:N38)&lt;=0,(SUM(E38:F38)-SUM(G38:N38))*-1,0)</f>
        <v>0</v>
      </c>
      <c r="R38">
        <f>4.4+10+5.2+3.06+4</f>
        <v>26.66</v>
      </c>
    </row>
    <row r="39" spans="2:19" ht="18" outlineLevel="1">
      <c r="B39" s="7"/>
      <c r="C39" s="284"/>
      <c r="D39" s="13" t="s">
        <v>152</v>
      </c>
      <c r="E39" s="365">
        <v>0</v>
      </c>
      <c r="F39" s="365">
        <f>64+40+100</f>
        <v>204</v>
      </c>
      <c r="H39" s="305">
        <f>79+60.8+34.94+29.99+(98-98)</f>
        <v>204.73000000000002</v>
      </c>
      <c r="J39" s="305"/>
      <c r="L39" s="305"/>
      <c r="N39" s="305"/>
      <c r="O39" s="274">
        <f t="shared" si="6"/>
        <v>-0.73000000000001819</v>
      </c>
      <c r="P39" s="274" t="str">
        <f t="shared" si="7"/>
        <v>Kris</v>
      </c>
      <c r="Q39" s="271">
        <f>IF(F39-SUM(G39:N39)&lt;=0,(F39-SUM(G39:N39))*-1,0)</f>
        <v>0.73000000000001819</v>
      </c>
    </row>
    <row r="40" spans="2:19">
      <c r="B40" s="118"/>
      <c r="C40" s="118"/>
      <c r="E40" s="365">
        <f>SUM(E34:E39)+SUM(E25:E29)+SUM(E6:E21)</f>
        <v>13.666666666666666</v>
      </c>
      <c r="F40" s="365"/>
      <c r="H40" s="7"/>
      <c r="J40" s="7"/>
      <c r="L40" s="7"/>
      <c r="N40" s="7"/>
      <c r="O40" s="273"/>
      <c r="P40" s="273"/>
      <c r="Q40" s="282"/>
    </row>
    <row r="41" spans="2:19" ht="18">
      <c r="B41" s="728" t="s">
        <v>817</v>
      </c>
      <c r="C41" s="728"/>
      <c r="D41" s="728"/>
      <c r="E41" s="375">
        <f>G41+I41+K41+M41+N41+E40</f>
        <v>5611.9666666666672</v>
      </c>
      <c r="F41" s="379"/>
      <c r="G41" s="271">
        <f>2949.58+980+124+15+50+40</f>
        <v>4158.58</v>
      </c>
      <c r="H41" s="271"/>
      <c r="I41" s="271">
        <f>100+100</f>
        <v>200</v>
      </c>
      <c r="J41" s="271"/>
      <c r="K41" s="271">
        <f>8+854.75+10+140+36+50+98+42.97</f>
        <v>1239.72</v>
      </c>
      <c r="L41" s="271"/>
      <c r="M41" s="271"/>
      <c r="N41" s="271"/>
      <c r="O41" s="314" t="str">
        <f>"£" &amp; ROUND(O5+O33+O24+IF(O38&lt;0,0,O38)+O39+O4,2) &amp; " / " &amp; "£" &amp; E41</f>
        <v>£2209.29 / £5611.96666666667</v>
      </c>
      <c r="P41" s="274"/>
      <c r="Q41" s="282">
        <f>SUM(Q33,Q24,Q5)</f>
        <v>10.419999999999987</v>
      </c>
      <c r="S41">
        <f>12</f>
        <v>12</v>
      </c>
    </row>
    <row r="42" spans="2:19">
      <c r="B42" s="118"/>
      <c r="C42" s="7"/>
      <c r="E42" s="365"/>
      <c r="F42" s="365"/>
      <c r="G42" s="365"/>
      <c r="H42" s="365"/>
    </row>
    <row r="43" spans="2:19" ht="14.4">
      <c r="B43" s="729"/>
      <c r="C43" s="729"/>
      <c r="D43" s="729"/>
      <c r="E43" s="729"/>
      <c r="F43" s="729"/>
      <c r="G43" s="729"/>
      <c r="H43" s="297"/>
      <c r="K43" s="729"/>
      <c r="L43" s="729"/>
      <c r="M43" s="729"/>
      <c r="N43" s="729"/>
      <c r="O43" s="729"/>
      <c r="P43" s="297"/>
    </row>
    <row r="44" spans="2:19" ht="15" customHeight="1">
      <c r="B44" s="726" t="s">
        <v>955</v>
      </c>
      <c r="C44" s="726"/>
      <c r="D44" s="726"/>
      <c r="E44" s="726"/>
      <c r="F44" s="348"/>
      <c r="K44" s="212"/>
      <c r="L44" s="212"/>
      <c r="N44" s="118" t="s">
        <v>1294</v>
      </c>
      <c r="O44" s="316">
        <v>44944</v>
      </c>
      <c r="P44" s="7">
        <f ca="1">DATEDIF(O44,NOW(),"d")</f>
        <v>1307</v>
      </c>
      <c r="Q44">
        <v>854.75</v>
      </c>
      <c r="R44" t="s">
        <v>1081</v>
      </c>
    </row>
    <row r="45" spans="2:19">
      <c r="B45" s="365"/>
      <c r="C45" s="38"/>
      <c r="F45" s="11"/>
      <c r="G45" s="367"/>
      <c r="H45" s="243"/>
      <c r="I45" s="243"/>
      <c r="K45" s="11"/>
      <c r="N45" s="322" t="s">
        <v>1292</v>
      </c>
      <c r="O45" s="42">
        <v>44944</v>
      </c>
      <c r="P45" s="7">
        <f ca="1">DATEDIF(O45,NOW(),"d")</f>
        <v>1307</v>
      </c>
      <c r="Q45">
        <v>36</v>
      </c>
      <c r="R45" t="s">
        <v>1293</v>
      </c>
    </row>
    <row r="46" spans="2:19">
      <c r="F46" s="365"/>
      <c r="G46" s="11"/>
      <c r="H46" s="243"/>
      <c r="I46" s="243"/>
      <c r="J46" s="243"/>
      <c r="L46" s="243"/>
      <c r="O46"/>
      <c r="P46"/>
    </row>
    <row r="47" spans="2:19" ht="16.2" customHeight="1">
      <c r="F47" s="278"/>
      <c r="G47" s="213"/>
      <c r="H47" s="373"/>
      <c r="I47" s="213"/>
      <c r="J47" s="213"/>
      <c r="K47" s="213"/>
      <c r="L47" s="243"/>
      <c r="O47" s="292"/>
      <c r="P47" s="212"/>
    </row>
    <row r="48" spans="2:19">
      <c r="B48" s="378"/>
      <c r="F48" s="361"/>
      <c r="G48" s="407"/>
      <c r="L48" s="243"/>
      <c r="P48" s="56"/>
    </row>
    <row r="49" spans="2:17" ht="14.4">
      <c r="E49" s="343"/>
      <c r="F49" s="361"/>
      <c r="K49" t="s">
        <v>1297</v>
      </c>
      <c r="L49">
        <f>50+45+30+45+54</f>
        <v>224</v>
      </c>
      <c r="P49"/>
    </row>
    <row r="50" spans="2:17" ht="14.4">
      <c r="D50" s="212"/>
      <c r="E50" s="410"/>
      <c r="F50" s="361"/>
      <c r="P50" s="212"/>
      <c r="Q50" s="212"/>
    </row>
    <row r="51" spans="2:17" ht="15" customHeight="1">
      <c r="E51" s="412"/>
      <c r="F51" s="361"/>
      <c r="P51" s="56"/>
      <c r="Q51" s="38"/>
    </row>
    <row r="52" spans="2:17" ht="14.4">
      <c r="E52" s="412"/>
      <c r="F52" s="360"/>
      <c r="O52"/>
      <c r="P52"/>
    </row>
    <row r="53" spans="2:17" ht="15" customHeight="1">
      <c r="E53" s="413"/>
      <c r="F53" s="360"/>
      <c r="O53"/>
      <c r="P53"/>
    </row>
    <row r="54" spans="2:17">
      <c r="E54" s="412"/>
      <c r="F54" s="383"/>
      <c r="O54"/>
      <c r="P54"/>
    </row>
    <row r="55" spans="2:17">
      <c r="B55" s="11"/>
      <c r="E55" s="405"/>
      <c r="F55" s="384"/>
      <c r="O55"/>
      <c r="P55"/>
    </row>
    <row r="56" spans="2:17" ht="14.4">
      <c r="B56" s="11"/>
      <c r="D56" s="212"/>
      <c r="E56" s="411"/>
      <c r="F56" s="79"/>
      <c r="H56" s="407"/>
      <c r="O56"/>
      <c r="P56"/>
    </row>
    <row r="57" spans="2:17" ht="14.4">
      <c r="E57" s="405"/>
      <c r="F57" s="79"/>
      <c r="H57" s="407"/>
      <c r="O57"/>
      <c r="P57"/>
    </row>
    <row r="58" spans="2:17" ht="14.4">
      <c r="B58" s="212"/>
      <c r="C58" s="212"/>
      <c r="E58" s="405"/>
      <c r="F58" s="7"/>
      <c r="H58" s="407"/>
      <c r="O58"/>
      <c r="P58"/>
    </row>
    <row r="59" spans="2:17" ht="14.4">
      <c r="C59" s="56"/>
      <c r="D59" s="243"/>
      <c r="E59" s="188"/>
      <c r="F59"/>
      <c r="O59"/>
      <c r="P59"/>
    </row>
    <row r="60" spans="2:17" ht="15.75" customHeight="1">
      <c r="C60" s="56"/>
      <c r="F60"/>
      <c r="O60"/>
      <c r="P60"/>
    </row>
    <row r="61" spans="2:17" ht="14.4">
      <c r="C61" s="56"/>
      <c r="D61" s="212"/>
      <c r="E61" s="188"/>
      <c r="F61"/>
      <c r="O61"/>
      <c r="P61" s="771"/>
    </row>
    <row r="62" spans="2:17" ht="14.4">
      <c r="C62" s="56"/>
      <c r="E62" s="188"/>
      <c r="F62"/>
      <c r="O62"/>
      <c r="P62" s="771"/>
    </row>
    <row r="63" spans="2:17" ht="14.4">
      <c r="C63" s="56"/>
      <c r="E63" s="188"/>
      <c r="F63"/>
      <c r="K63" s="243"/>
      <c r="O63"/>
      <c r="P63" s="771"/>
    </row>
    <row r="64" spans="2:17" ht="14.4">
      <c r="C64" s="56"/>
      <c r="E64" s="416"/>
      <c r="F64"/>
      <c r="O64"/>
      <c r="P64" s="771"/>
    </row>
    <row r="65" spans="2:16" ht="14.4">
      <c r="C65" s="56"/>
      <c r="E65"/>
      <c r="F65"/>
      <c r="O65"/>
      <c r="P65"/>
    </row>
    <row r="66" spans="2:16" ht="14.4">
      <c r="C66" s="56"/>
      <c r="E66" s="347"/>
      <c r="F66"/>
      <c r="G66" s="771"/>
      <c r="H66" s="771"/>
      <c r="I66" s="771"/>
      <c r="J66" s="771"/>
      <c r="K66" s="771"/>
      <c r="L66" s="771"/>
      <c r="M66" s="771"/>
      <c r="N66" s="771"/>
      <c r="O66" s="771"/>
      <c r="P66" s="771"/>
    </row>
    <row r="67" spans="2:16" ht="14.4">
      <c r="C67" s="56"/>
      <c r="E67" s="332"/>
      <c r="F67" s="332"/>
      <c r="O67"/>
      <c r="P67" s="771"/>
    </row>
    <row r="68" spans="2:16" ht="14.4">
      <c r="C68" s="56"/>
      <c r="E68"/>
      <c r="F68"/>
      <c r="O68"/>
      <c r="P68" s="771"/>
    </row>
    <row r="69" spans="2:16" ht="14.4">
      <c r="C69" s="56"/>
      <c r="E69"/>
      <c r="F69"/>
      <c r="O69"/>
      <c r="P69" s="771"/>
    </row>
    <row r="70" spans="2:16">
      <c r="E70" s="365"/>
      <c r="F70" s="365"/>
      <c r="O70"/>
      <c r="P70" s="771"/>
    </row>
    <row r="71" spans="2:16" ht="14.4">
      <c r="B71" s="212"/>
      <c r="C71" s="294"/>
      <c r="D71" s="212"/>
      <c r="E71" s="212"/>
      <c r="F71" s="212"/>
      <c r="O71"/>
      <c r="P71"/>
    </row>
    <row r="72" spans="2:16" ht="14.4">
      <c r="C72" s="56"/>
      <c r="D72" s="56"/>
      <c r="E72" s="56"/>
      <c r="F72" s="56"/>
      <c r="G72" s="771"/>
      <c r="H72" s="771"/>
      <c r="I72" s="771"/>
      <c r="J72" s="771"/>
      <c r="K72" s="771"/>
      <c r="L72" s="771"/>
      <c r="M72" s="771"/>
      <c r="N72" s="771"/>
      <c r="O72" s="771"/>
      <c r="P72"/>
    </row>
    <row r="73" spans="2:16" ht="14.4">
      <c r="C73" s="56"/>
      <c r="D73" s="56"/>
      <c r="E73" s="56"/>
      <c r="F73" s="56"/>
      <c r="O73"/>
      <c r="P73" s="771"/>
    </row>
    <row r="74" spans="2:16" ht="14.4">
      <c r="C74" s="56"/>
      <c r="D74" s="56"/>
      <c r="E74" s="56"/>
      <c r="F74" s="56"/>
      <c r="O74"/>
      <c r="P74" s="771"/>
    </row>
    <row r="75" spans="2:16" ht="14.4">
      <c r="C75" s="56"/>
      <c r="D75" s="56"/>
      <c r="E75" s="56"/>
      <c r="F75" s="56"/>
      <c r="O75"/>
      <c r="P75" s="771"/>
    </row>
    <row r="76" spans="2:16" ht="14.4">
      <c r="C76" s="56"/>
      <c r="D76" s="56"/>
      <c r="E76" s="56"/>
      <c r="F76" s="56"/>
      <c r="O76"/>
      <c r="P76" s="771"/>
    </row>
    <row r="77" spans="2:16" ht="14.4">
      <c r="C77" s="56"/>
      <c r="E77" s="56"/>
      <c r="F77" s="56"/>
      <c r="O77"/>
      <c r="P77"/>
    </row>
    <row r="78" spans="2:16">
      <c r="O78"/>
      <c r="P78"/>
    </row>
    <row r="79" spans="2:16" ht="14.4">
      <c r="E79" s="212"/>
      <c r="F79" s="212"/>
      <c r="O79"/>
      <c r="P79" s="771"/>
    </row>
    <row r="80" spans="2:16" ht="14.4">
      <c r="E80" s="56"/>
      <c r="F80" s="56"/>
      <c r="O80"/>
      <c r="P80" s="771"/>
    </row>
    <row r="81" spans="5:16" ht="14.4">
      <c r="E81" s="56"/>
      <c r="F81" s="56"/>
      <c r="O81"/>
      <c r="P81" s="771"/>
    </row>
    <row r="82" spans="5:16" ht="14.4">
      <c r="E82" s="56"/>
      <c r="F82" s="56"/>
      <c r="O82"/>
      <c r="P82" s="771"/>
    </row>
    <row r="83" spans="5:16" ht="14.4">
      <c r="E83" s="56"/>
      <c r="F83" s="56"/>
      <c r="O83"/>
      <c r="P83"/>
    </row>
    <row r="84" spans="5:16" ht="14.4">
      <c r="E84" s="56"/>
      <c r="F84" s="56"/>
      <c r="O84"/>
      <c r="P84"/>
    </row>
    <row r="85" spans="5:16" ht="14.4">
      <c r="E85" s="56"/>
      <c r="F85" s="56"/>
      <c r="O85"/>
      <c r="P85" s="771"/>
    </row>
    <row r="86" spans="5:16">
      <c r="O86"/>
      <c r="P86" s="771"/>
    </row>
    <row r="87" spans="5:16" ht="14.4">
      <c r="E87" s="212"/>
      <c r="F87" s="212"/>
      <c r="O87"/>
      <c r="P87" s="771"/>
    </row>
    <row r="88" spans="5:16" ht="14.4">
      <c r="E88" s="56"/>
      <c r="F88" s="56"/>
      <c r="O88"/>
      <c r="P88" s="771"/>
    </row>
    <row r="89" spans="5:16" ht="14.4">
      <c r="E89" s="56"/>
      <c r="F89" s="56"/>
      <c r="O89"/>
      <c r="P89"/>
    </row>
    <row r="90" spans="5:16" ht="14.4">
      <c r="E90" s="56"/>
      <c r="F90" s="56"/>
      <c r="O90"/>
      <c r="P90"/>
    </row>
    <row r="91" spans="5:16" ht="14.4">
      <c r="E91" s="56"/>
      <c r="F91" s="56"/>
      <c r="O91"/>
      <c r="P91" s="771"/>
    </row>
    <row r="92" spans="5:16" ht="14.4">
      <c r="E92" s="56"/>
      <c r="F92" s="56"/>
      <c r="O92"/>
      <c r="P92" s="771"/>
    </row>
    <row r="93" spans="5:16" ht="14.4">
      <c r="E93" s="56"/>
      <c r="F93" s="56"/>
      <c r="O93"/>
      <c r="P93" s="771"/>
    </row>
    <row r="94" spans="5:16">
      <c r="E94" s="365"/>
      <c r="F94" s="365"/>
      <c r="O94"/>
      <c r="P94" s="771"/>
    </row>
    <row r="95" spans="5:16">
      <c r="O95"/>
      <c r="P95"/>
    </row>
    <row r="96" spans="5:16">
      <c r="O96"/>
      <c r="P96"/>
    </row>
  </sheetData>
  <mergeCells count="31">
    <mergeCell ref="B24:C24"/>
    <mergeCell ref="D24:E24"/>
    <mergeCell ref="B1:O1"/>
    <mergeCell ref="G3:H3"/>
    <mergeCell ref="I3:J3"/>
    <mergeCell ref="K3:L3"/>
    <mergeCell ref="M3:N3"/>
    <mergeCell ref="B4:E4"/>
    <mergeCell ref="B5:C5"/>
    <mergeCell ref="D5:E5"/>
    <mergeCell ref="B6:B21"/>
    <mergeCell ref="C6:C21"/>
    <mergeCell ref="B23:E23"/>
    <mergeCell ref="B32:E32"/>
    <mergeCell ref="B33:C33"/>
    <mergeCell ref="D33:E33"/>
    <mergeCell ref="B34:B38"/>
    <mergeCell ref="C34:C38"/>
    <mergeCell ref="B41:D41"/>
    <mergeCell ref="B43:G43"/>
    <mergeCell ref="K43:O43"/>
    <mergeCell ref="B44:C44"/>
    <mergeCell ref="D44:E44"/>
    <mergeCell ref="P79:P82"/>
    <mergeCell ref="P85:P88"/>
    <mergeCell ref="P91:P94"/>
    <mergeCell ref="P61:P64"/>
    <mergeCell ref="G66:P66"/>
    <mergeCell ref="P67:P70"/>
    <mergeCell ref="G72:O72"/>
    <mergeCell ref="P73:P76"/>
  </mergeCells>
  <pageMargins left="0.7" right="0.7" top="0.75" bottom="0.75" header="0.3" footer="0.3"/>
  <pageSetup orientation="portrait" r:id="rId1"/>
  <legacyDrawing r:id="rId2"/>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4637F-AFB3-F849-BE7A-B24608230D53}">
  <dimension ref="A1:K22"/>
  <sheetViews>
    <sheetView workbookViewId="0">
      <selection activeCell="F11" sqref="F11"/>
    </sheetView>
  </sheetViews>
  <sheetFormatPr defaultColWidth="11.44140625" defaultRowHeight="14.4"/>
  <sheetData>
    <row r="1" spans="1:11">
      <c r="A1" s="726" t="s">
        <v>1305</v>
      </c>
      <c r="B1" s="726"/>
      <c r="C1" s="726"/>
      <c r="D1" s="726"/>
      <c r="E1" s="726"/>
      <c r="F1" s="726"/>
      <c r="G1" s="726"/>
      <c r="H1" s="726"/>
      <c r="I1" s="726"/>
      <c r="J1" s="726"/>
      <c r="K1" s="726"/>
    </row>
    <row r="2" spans="1:11">
      <c r="A2" s="734" t="s">
        <v>1300</v>
      </c>
      <c r="B2" t="s">
        <v>868</v>
      </c>
      <c r="D2">
        <v>154950</v>
      </c>
      <c r="E2" s="335"/>
      <c r="G2" t="s">
        <v>650</v>
      </c>
      <c r="H2" t="s">
        <v>1280</v>
      </c>
      <c r="K2" s="79"/>
    </row>
    <row r="3" spans="1:11">
      <c r="A3" s="734"/>
      <c r="B3" t="s">
        <v>870</v>
      </c>
      <c r="D3">
        <v>190000</v>
      </c>
      <c r="E3" s="337"/>
      <c r="F3" t="s">
        <v>1283</v>
      </c>
      <c r="G3">
        <v>468.84</v>
      </c>
      <c r="H3">
        <v>0</v>
      </c>
      <c r="K3" s="79"/>
    </row>
    <row r="4" spans="1:11">
      <c r="A4" s="734"/>
      <c r="B4" t="s">
        <v>872</v>
      </c>
      <c r="D4">
        <f>D3-D2</f>
        <v>35050</v>
      </c>
      <c r="F4" t="s">
        <v>1281</v>
      </c>
      <c r="G4">
        <v>157</v>
      </c>
      <c r="H4">
        <v>0</v>
      </c>
      <c r="K4" s="79"/>
    </row>
    <row r="5" spans="1:11">
      <c r="A5" s="734"/>
      <c r="B5" t="s">
        <v>1266</v>
      </c>
      <c r="D5">
        <f>ROUND(((D3-D2)/D2)*100,2)</f>
        <v>22.62</v>
      </c>
      <c r="F5" t="s">
        <v>1282</v>
      </c>
      <c r="G5">
        <v>452.64</v>
      </c>
      <c r="H5">
        <v>838.57</v>
      </c>
      <c r="I5" t="s">
        <v>1288</v>
      </c>
      <c r="K5" s="79"/>
    </row>
    <row r="6" spans="1:11">
      <c r="A6" s="734"/>
      <c r="B6" t="s">
        <v>1264</v>
      </c>
      <c r="D6">
        <f>ROUND(D2*0.15,2)</f>
        <v>23242.5</v>
      </c>
      <c r="E6" s="334"/>
      <c r="G6">
        <f>SUM(G3:G5)</f>
        <v>1078.48</v>
      </c>
      <c r="H6">
        <f>SUM(H3:H5)</f>
        <v>838.57</v>
      </c>
      <c r="K6" s="79"/>
    </row>
    <row r="7" spans="1:11">
      <c r="A7" s="734"/>
      <c r="B7" t="s">
        <v>1265</v>
      </c>
      <c r="D7">
        <f>ROUND(D6*(D5/100),2)</f>
        <v>5257.45</v>
      </c>
      <c r="E7" s="336"/>
      <c r="F7" t="s">
        <v>1284</v>
      </c>
      <c r="G7" s="79">
        <f>G6-H6</f>
        <v>239.90999999999997</v>
      </c>
      <c r="H7" s="79"/>
      <c r="K7" s="79"/>
    </row>
    <row r="8" spans="1:11">
      <c r="A8" s="734"/>
      <c r="B8" t="s">
        <v>1299</v>
      </c>
      <c r="D8">
        <v>112828.18</v>
      </c>
      <c r="E8" s="335"/>
      <c r="K8" s="79"/>
    </row>
    <row r="9" spans="1:11">
      <c r="A9" s="734"/>
      <c r="B9" t="s">
        <v>183</v>
      </c>
      <c r="D9">
        <v>0</v>
      </c>
      <c r="E9" s="337"/>
    </row>
    <row r="10" spans="1:11">
      <c r="A10" s="734"/>
      <c r="B10" t="s">
        <v>1263</v>
      </c>
      <c r="D10">
        <f>(D6+D7)+5000+15150+21.87</f>
        <v>48671.82</v>
      </c>
    </row>
    <row r="11" spans="1:11">
      <c r="A11" s="734"/>
      <c r="B11" t="s">
        <v>874</v>
      </c>
      <c r="D11">
        <f>D8+D10-D9</f>
        <v>161500</v>
      </c>
      <c r="K11" s="248"/>
    </row>
    <row r="12" spans="1:11">
      <c r="A12" s="334"/>
      <c r="C12">
        <v>113867</v>
      </c>
      <c r="E12" s="335"/>
      <c r="K12" s="248"/>
    </row>
    <row r="13" spans="1:11">
      <c r="A13" s="734" t="s">
        <v>1301</v>
      </c>
      <c r="B13" t="s">
        <v>595</v>
      </c>
      <c r="C13">
        <f>D8</f>
        <v>112828.18</v>
      </c>
      <c r="D13">
        <f>D11-C13</f>
        <v>48671.820000000007</v>
      </c>
      <c r="E13" s="335"/>
    </row>
    <row r="14" spans="1:11">
      <c r="A14" s="734"/>
      <c r="B14" t="s">
        <v>591</v>
      </c>
      <c r="C14">
        <f>SUM(D6:D7)</f>
        <v>28499.95</v>
      </c>
      <c r="D14">
        <f>D13-C14</f>
        <v>20171.870000000006</v>
      </c>
      <c r="E14" s="334">
        <v>19332.87</v>
      </c>
      <c r="F14">
        <f>D14-E14</f>
        <v>839.00000000000728</v>
      </c>
      <c r="G14">
        <f>F14-456</f>
        <v>383.00000000000728</v>
      </c>
      <c r="K14" s="79"/>
    </row>
    <row r="15" spans="1:11">
      <c r="A15" s="734"/>
      <c r="B15" t="s">
        <v>606</v>
      </c>
      <c r="C15">
        <v>13127.52</v>
      </c>
      <c r="D15">
        <f>D14-C15</f>
        <v>7044.3500000000058</v>
      </c>
      <c r="K15" s="79"/>
    </row>
    <row r="16" spans="1:11">
      <c r="A16" s="734"/>
      <c r="B16" t="s">
        <v>950</v>
      </c>
      <c r="C16">
        <v>0</v>
      </c>
      <c r="D16">
        <f>D15-C16</f>
        <v>7044.3500000000058</v>
      </c>
      <c r="E16" s="212"/>
      <c r="K16" s="79"/>
    </row>
    <row r="17" spans="1:11">
      <c r="A17" s="359"/>
      <c r="E17" s="212"/>
      <c r="K17" s="79"/>
    </row>
    <row r="18" spans="1:11">
      <c r="A18" s="772" t="s">
        <v>1304</v>
      </c>
      <c r="B18" t="s">
        <v>1302</v>
      </c>
      <c r="C18">
        <v>20000</v>
      </c>
      <c r="D18">
        <f>C18-D16</f>
        <v>12955.649999999994</v>
      </c>
      <c r="K18" s="79"/>
    </row>
    <row r="19" spans="1:11">
      <c r="A19" s="772"/>
      <c r="B19" t="s">
        <v>1303</v>
      </c>
      <c r="C19">
        <v>6000</v>
      </c>
      <c r="D19">
        <f>D18-C19</f>
        <v>6955.6499999999942</v>
      </c>
      <c r="K19" s="79"/>
    </row>
    <row r="20" spans="1:11">
      <c r="A20" s="772"/>
      <c r="B20" t="s">
        <v>768</v>
      </c>
      <c r="C20">
        <v>19000</v>
      </c>
      <c r="D20">
        <f>C20-D19</f>
        <v>12044.350000000006</v>
      </c>
      <c r="K20" s="79"/>
    </row>
    <row r="21" spans="1:11">
      <c r="A21" s="359"/>
      <c r="K21" s="79"/>
    </row>
    <row r="22" spans="1:11">
      <c r="A22" s="422" t="s">
        <v>1306</v>
      </c>
      <c r="B22" t="s">
        <v>332</v>
      </c>
      <c r="C22">
        <v>0</v>
      </c>
      <c r="D22">
        <f>D20-C22</f>
        <v>12044.350000000006</v>
      </c>
      <c r="K22" s="79"/>
    </row>
  </sheetData>
  <mergeCells count="4">
    <mergeCell ref="A1:K1"/>
    <mergeCell ref="A2:A11"/>
    <mergeCell ref="A13:A16"/>
    <mergeCell ref="A18:A20"/>
  </mergeCells>
  <pageMargins left="0.7" right="0.7" top="0.75" bottom="0.75" header="0.3" footer="0.3"/>
  <legacy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9EB48-4A5E-404F-A736-37A4F3D29ED4}">
  <dimension ref="A1:K22"/>
  <sheetViews>
    <sheetView workbookViewId="0">
      <selection activeCell="I16" sqref="I16"/>
    </sheetView>
  </sheetViews>
  <sheetFormatPr defaultColWidth="11.44140625" defaultRowHeight="14.4"/>
  <sheetData>
    <row r="1" spans="1:11">
      <c r="A1" s="773" t="s">
        <v>812</v>
      </c>
      <c r="B1" s="773"/>
      <c r="C1" s="773"/>
      <c r="D1" s="773"/>
      <c r="E1" s="773"/>
      <c r="F1" s="773"/>
      <c r="G1" s="773"/>
      <c r="H1" s="773"/>
      <c r="I1" s="773"/>
      <c r="J1" s="773"/>
      <c r="K1" s="773"/>
    </row>
    <row r="2" spans="1:11">
      <c r="A2" s="212" t="s">
        <v>850</v>
      </c>
      <c r="B2" s="212" t="s">
        <v>14</v>
      </c>
      <c r="C2" s="90">
        <v>2020</v>
      </c>
      <c r="D2" s="90">
        <v>2021</v>
      </c>
      <c r="E2" s="212">
        <v>2022</v>
      </c>
      <c r="F2" s="212" t="s">
        <v>9</v>
      </c>
      <c r="G2">
        <f>SUM(G3:G15)</f>
        <v>9952.4199999999983</v>
      </c>
      <c r="H2" s="212" t="s">
        <v>851</v>
      </c>
      <c r="I2" t="s">
        <v>852</v>
      </c>
      <c r="J2" s="90"/>
      <c r="K2" s="331"/>
    </row>
    <row r="3" spans="1:11">
      <c r="A3">
        <v>150</v>
      </c>
      <c r="B3" s="247" t="s">
        <v>280</v>
      </c>
      <c r="D3" s="346">
        <f>C21+$A$10-G9+217.21+2000</f>
        <v>7694.21</v>
      </c>
      <c r="E3" s="356">
        <f>10049.88-525-82</f>
        <v>9442.8799999999992</v>
      </c>
      <c r="F3" t="s">
        <v>853</v>
      </c>
      <c r="G3">
        <v>500</v>
      </c>
      <c r="H3">
        <v>210</v>
      </c>
      <c r="I3" t="s">
        <v>854</v>
      </c>
      <c r="K3" s="331"/>
    </row>
    <row r="4" spans="1:11">
      <c r="A4" s="78">
        <v>850</v>
      </c>
      <c r="B4" t="s">
        <v>281</v>
      </c>
      <c r="D4" s="346">
        <f>D3+$A$10</f>
        <v>8594.2099999999991</v>
      </c>
      <c r="E4" s="356">
        <f>(9325.31-G15)</f>
        <v>9144.01</v>
      </c>
      <c r="F4" t="s">
        <v>855</v>
      </c>
      <c r="G4">
        <v>40</v>
      </c>
      <c r="I4" t="s">
        <v>856</v>
      </c>
      <c r="K4" s="331"/>
    </row>
    <row r="5" spans="1:11">
      <c r="A5" s="78"/>
      <c r="D5" s="346"/>
      <c r="E5" s="356"/>
      <c r="F5" t="s">
        <v>857</v>
      </c>
      <c r="G5">
        <v>180</v>
      </c>
      <c r="K5" s="331"/>
    </row>
    <row r="6" spans="1:11">
      <c r="A6" s="78"/>
      <c r="D6" s="346"/>
      <c r="E6" s="356"/>
      <c r="K6" s="331"/>
    </row>
    <row r="7" spans="1:11">
      <c r="A7" s="78"/>
      <c r="D7" s="346"/>
      <c r="E7" s="356"/>
      <c r="F7" t="s">
        <v>175</v>
      </c>
      <c r="G7">
        <v>1998</v>
      </c>
      <c r="I7" t="str">
        <f>"$" &amp; (50/20)*4 &amp; " Fuel per day"</f>
        <v>$10 Fuel per day</v>
      </c>
      <c r="K7" s="331"/>
    </row>
    <row r="8" spans="1:11">
      <c r="A8" s="78"/>
      <c r="D8" s="346"/>
      <c r="E8" s="356"/>
      <c r="F8" t="s">
        <v>858</v>
      </c>
      <c r="G8">
        <f>637.5+637.5</f>
        <v>1275</v>
      </c>
      <c r="I8" t="str">
        <f>"$" &amp; ((50/20)*4)*20 &amp; " Fuel for trip"</f>
        <v>$200 Fuel for trip</v>
      </c>
      <c r="K8" s="331"/>
    </row>
    <row r="9" spans="1:11">
      <c r="A9" s="78"/>
      <c r="D9" s="346"/>
      <c r="E9" s="356"/>
      <c r="F9" t="s">
        <v>859</v>
      </c>
      <c r="G9">
        <v>2000</v>
      </c>
      <c r="K9" s="331"/>
    </row>
    <row r="10" spans="1:11">
      <c r="A10" s="346">
        <v>900</v>
      </c>
      <c r="B10" t="s">
        <v>282</v>
      </c>
      <c r="D10" s="346">
        <f>D4+$A$10</f>
        <v>9494.2099999999991</v>
      </c>
      <c r="E10" s="356">
        <f>9914.04+500-G16-G17</f>
        <v>7857.0400000000009</v>
      </c>
      <c r="F10" t="s">
        <v>860</v>
      </c>
      <c r="G10">
        <f>3096.12</f>
        <v>3096.12</v>
      </c>
      <c r="K10" s="331"/>
    </row>
    <row r="11" spans="1:11">
      <c r="A11" s="312">
        <f>800</f>
        <v>800</v>
      </c>
      <c r="B11" t="s">
        <v>284</v>
      </c>
      <c r="D11" s="346">
        <f>D10+$A$10</f>
        <v>10394.209999999999</v>
      </c>
      <c r="E11" s="356">
        <f>E10+$A$13+300</f>
        <v>8657.0400000000009</v>
      </c>
      <c r="F11" t="s">
        <v>861</v>
      </c>
      <c r="G11">
        <f>600</f>
        <v>600</v>
      </c>
      <c r="K11" s="331"/>
    </row>
    <row r="12" spans="1:11">
      <c r="A12" s="338">
        <f>800+180</f>
        <v>980</v>
      </c>
      <c r="B12" t="s">
        <v>285</v>
      </c>
      <c r="C12">
        <f>2740+100+15</f>
        <v>2855</v>
      </c>
      <c r="D12" s="346">
        <f>D11+$A$10+300</f>
        <v>11594.21</v>
      </c>
      <c r="E12" s="290" t="str">
        <f>"On track: " &amp; E11+$A$13+300+H3+150+225</f>
        <v>On track: 10042.04</v>
      </c>
      <c r="F12" t="s">
        <v>68</v>
      </c>
      <c r="G12">
        <v>82</v>
      </c>
      <c r="K12" s="331"/>
    </row>
    <row r="13" spans="1:11">
      <c r="A13" s="354">
        <f>180+320</f>
        <v>500</v>
      </c>
      <c r="B13" t="s">
        <v>286</v>
      </c>
      <c r="C13">
        <f>C12+$A$4</f>
        <v>3705</v>
      </c>
      <c r="D13" s="312">
        <f>D12+$A$11</f>
        <v>12394.21</v>
      </c>
      <c r="E13" s="7" t="str">
        <f>"Target: " &amp; 12500</f>
        <v>Target: 12500</v>
      </c>
      <c r="F13" t="s">
        <v>862</v>
      </c>
      <c r="G13" t="s">
        <v>150</v>
      </c>
      <c r="K13" s="331"/>
    </row>
    <row r="14" spans="1:11">
      <c r="A14" s="354"/>
      <c r="D14" s="312"/>
      <c r="E14" s="7"/>
      <c r="F14" t="s">
        <v>863</v>
      </c>
      <c r="G14">
        <v>0</v>
      </c>
      <c r="K14" s="331"/>
    </row>
    <row r="15" spans="1:11">
      <c r="A15" s="354"/>
      <c r="D15" s="312"/>
      <c r="E15" s="7"/>
      <c r="F15" t="s">
        <v>864</v>
      </c>
      <c r="G15">
        <v>181.3</v>
      </c>
      <c r="K15" s="331"/>
    </row>
    <row r="16" spans="1:11">
      <c r="A16" s="212"/>
      <c r="B16" s="247" t="s">
        <v>287</v>
      </c>
      <c r="C16" s="247">
        <f>C13+1225</f>
        <v>4930</v>
      </c>
      <c r="D16" s="312">
        <f>13086.87-5545.13</f>
        <v>7541.7400000000007</v>
      </c>
      <c r="F16" t="s">
        <v>853</v>
      </c>
      <c r="G16" s="79">
        <v>1557</v>
      </c>
      <c r="K16" s="331"/>
    </row>
    <row r="17" spans="1:11">
      <c r="B17" t="s">
        <v>288</v>
      </c>
      <c r="C17" s="346">
        <f>C16+$A$10</f>
        <v>5830</v>
      </c>
      <c r="D17" s="355">
        <f>D16+$A$12</f>
        <v>8521.7400000000016</v>
      </c>
      <c r="F17" t="s">
        <v>606</v>
      </c>
      <c r="G17">
        <v>1000</v>
      </c>
      <c r="K17" s="331"/>
    </row>
    <row r="18" spans="1:11">
      <c r="B18" t="s">
        <v>289</v>
      </c>
      <c r="C18" s="346">
        <f>C17+$A$10</f>
        <v>6730</v>
      </c>
      <c r="D18" s="355">
        <f>8796.83</f>
        <v>8796.83</v>
      </c>
      <c r="K18" s="331"/>
    </row>
    <row r="19" spans="1:11">
      <c r="B19" s="247" t="s">
        <v>277</v>
      </c>
      <c r="C19" s="247">
        <f>C18+$A$10+600-180</f>
        <v>8050</v>
      </c>
      <c r="D19" s="355">
        <f>9404.52+130-1000</f>
        <v>8534.52</v>
      </c>
      <c r="K19" s="331"/>
    </row>
    <row r="20" spans="1:11">
      <c r="B20" t="s">
        <v>278</v>
      </c>
      <c r="C20" s="346">
        <f>C19+$A$10-G7-G8</f>
        <v>5677</v>
      </c>
      <c r="D20" s="356">
        <f>D19+$A$13+459.6</f>
        <v>9494.1200000000008</v>
      </c>
      <c r="K20" s="331"/>
    </row>
    <row r="21" spans="1:11">
      <c r="B21" t="s">
        <v>279</v>
      </c>
      <c r="C21" s="346">
        <f>C20+$A$10</f>
        <v>6577</v>
      </c>
      <c r="D21" s="356">
        <f>10350</f>
        <v>10350</v>
      </c>
      <c r="K21" s="331"/>
    </row>
    <row r="22" spans="1:11">
      <c r="A22" s="331"/>
      <c r="B22" s="331"/>
      <c r="C22" s="331"/>
      <c r="D22" s="331"/>
      <c r="E22" s="421"/>
      <c r="F22" s="331"/>
      <c r="G22" s="331"/>
      <c r="H22" s="331"/>
      <c r="I22" s="331"/>
      <c r="J22" s="331"/>
      <c r="K22" s="331"/>
    </row>
  </sheetData>
  <mergeCells count="1">
    <mergeCell ref="A1:K1"/>
  </mergeCells>
  <pageMargins left="0.7" right="0.7" top="0.75" bottom="0.75" header="0.3" footer="0.3"/>
  <legacy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55A77-8A10-496E-B446-FBD82147EE95}">
  <dimension ref="A1:K16"/>
  <sheetViews>
    <sheetView workbookViewId="0">
      <selection activeCell="J8" sqref="J8:J10"/>
    </sheetView>
  </sheetViews>
  <sheetFormatPr defaultColWidth="8.44140625" defaultRowHeight="14.4"/>
  <cols>
    <col min="1" max="1" width="20.6640625" customWidth="1"/>
  </cols>
  <sheetData>
    <row r="1" spans="1:11">
      <c r="A1" s="79" t="s">
        <v>974</v>
      </c>
      <c r="B1" s="79" t="s">
        <v>1837</v>
      </c>
      <c r="C1" s="79" t="s">
        <v>1838</v>
      </c>
      <c r="D1" s="79" t="s">
        <v>1839</v>
      </c>
      <c r="E1" s="79" t="s">
        <v>183</v>
      </c>
      <c r="H1" s="774" t="s">
        <v>1817</v>
      </c>
      <c r="I1" s="774"/>
      <c r="J1" s="774"/>
      <c r="K1" s="79"/>
    </row>
    <row r="2" spans="1:11">
      <c r="A2" s="415" t="s">
        <v>715</v>
      </c>
      <c r="B2" s="415" t="s">
        <v>1840</v>
      </c>
      <c r="C2" s="415">
        <v>2019</v>
      </c>
      <c r="D2" s="415" t="s">
        <v>1841</v>
      </c>
      <c r="E2" s="358"/>
      <c r="H2" t="s">
        <v>974</v>
      </c>
      <c r="I2" t="s">
        <v>840</v>
      </c>
      <c r="J2" t="s">
        <v>1812</v>
      </c>
      <c r="K2" t="s">
        <v>1819</v>
      </c>
    </row>
    <row r="3" spans="1:11">
      <c r="A3" s="415" t="s">
        <v>889</v>
      </c>
      <c r="B3" s="415" t="s">
        <v>650</v>
      </c>
      <c r="C3" s="415">
        <v>2022</v>
      </c>
      <c r="D3" s="415" t="s">
        <v>1842</v>
      </c>
      <c r="E3" s="358"/>
      <c r="H3" t="s">
        <v>1818</v>
      </c>
      <c r="I3">
        <v>7</v>
      </c>
      <c r="J3">
        <v>300</v>
      </c>
      <c r="K3" s="243">
        <f>J3*I3/100</f>
        <v>21</v>
      </c>
    </row>
    <row r="4" spans="1:11" ht="15.6">
      <c r="G4" s="456"/>
      <c r="H4" s="487"/>
      <c r="K4" s="390"/>
    </row>
    <row r="5" spans="1:11">
      <c r="K5" s="243"/>
    </row>
    <row r="6" spans="1:11">
      <c r="G6" s="726" t="s">
        <v>1820</v>
      </c>
      <c r="H6" s="726"/>
      <c r="I6" s="726"/>
      <c r="J6" s="726"/>
      <c r="K6" s="243"/>
    </row>
    <row r="7" spans="1:11">
      <c r="G7" s="79" t="s">
        <v>974</v>
      </c>
      <c r="H7" s="79" t="s">
        <v>1821</v>
      </c>
      <c r="I7" s="493" t="s">
        <v>1822</v>
      </c>
      <c r="J7" s="79" t="s">
        <v>1823</v>
      </c>
      <c r="K7" s="79" t="s">
        <v>1809</v>
      </c>
    </row>
    <row r="8" spans="1:11">
      <c r="G8" s="776" t="s">
        <v>1824</v>
      </c>
      <c r="H8" t="str">
        <f>"+2 DD"</f>
        <v>+2 DD</v>
      </c>
      <c r="J8" s="777">
        <v>175</v>
      </c>
      <c r="K8" t="s">
        <v>1832</v>
      </c>
    </row>
    <row r="9" spans="1:11">
      <c r="G9" s="776"/>
      <c r="H9" s="407" t="s">
        <v>1825</v>
      </c>
      <c r="J9" s="775"/>
    </row>
    <row r="10" spans="1:11">
      <c r="G10" s="776"/>
      <c r="H10" t="s">
        <v>1826</v>
      </c>
      <c r="J10" s="775"/>
    </row>
    <row r="11" spans="1:11" ht="15.6">
      <c r="G11" s="486" t="s">
        <v>1386</v>
      </c>
      <c r="H11" t="str">
        <f>"+2 DD"</f>
        <v>+2 DD</v>
      </c>
      <c r="J11" s="775">
        <v>175</v>
      </c>
      <c r="K11" t="s">
        <v>1833</v>
      </c>
    </row>
    <row r="12" spans="1:11" ht="15.6">
      <c r="G12" s="267"/>
      <c r="H12" t="s">
        <v>1827</v>
      </c>
      <c r="J12" s="775"/>
      <c r="K12" t="s">
        <v>1834</v>
      </c>
    </row>
    <row r="13" spans="1:11">
      <c r="H13" t="s">
        <v>1828</v>
      </c>
      <c r="J13" s="775"/>
    </row>
    <row r="14" spans="1:11">
      <c r="G14" s="332"/>
      <c r="H14" t="s">
        <v>1829</v>
      </c>
      <c r="J14" s="775"/>
    </row>
    <row r="15" spans="1:11">
      <c r="G15" s="402" t="s">
        <v>1830</v>
      </c>
      <c r="H15" t="str">
        <f>"+3 DD"</f>
        <v>+3 DD</v>
      </c>
      <c r="J15" s="775">
        <v>175</v>
      </c>
      <c r="K15" t="s">
        <v>1835</v>
      </c>
    </row>
    <row r="16" spans="1:11">
      <c r="G16" s="56"/>
      <c r="H16" t="s">
        <v>1831</v>
      </c>
      <c r="J16" s="775"/>
      <c r="K16" t="s">
        <v>1836</v>
      </c>
    </row>
  </sheetData>
  <mergeCells count="6">
    <mergeCell ref="H1:J1"/>
    <mergeCell ref="J15:J16"/>
    <mergeCell ref="G6:J6"/>
    <mergeCell ref="G8:G10"/>
    <mergeCell ref="J8:J10"/>
    <mergeCell ref="J11:J14"/>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1842-9E35-41CA-8269-6B514EE91B78}">
  <dimension ref="A1:T29"/>
  <sheetViews>
    <sheetView workbookViewId="0">
      <selection activeCell="M7" sqref="M7"/>
    </sheetView>
  </sheetViews>
  <sheetFormatPr defaultColWidth="8.44140625" defaultRowHeight="14.4"/>
  <cols>
    <col min="1" max="1" width="11.44140625" bestFit="1" customWidth="1"/>
    <col min="2" max="2" width="10.33203125" customWidth="1"/>
    <col min="3" max="3" width="14.77734375" customWidth="1"/>
    <col min="4" max="4" width="12.33203125" customWidth="1"/>
    <col min="6" max="6" width="4.6640625" bestFit="1" customWidth="1"/>
    <col min="7" max="7" width="4.44140625" bestFit="1" customWidth="1"/>
    <col min="8" max="8" width="6" bestFit="1" customWidth="1"/>
    <col min="9" max="9" width="19.44140625" bestFit="1" customWidth="1"/>
    <col min="13" max="13" width="10.44140625" bestFit="1" customWidth="1"/>
    <col min="14" max="14" width="11" customWidth="1"/>
    <col min="16" max="16" width="10.6640625" bestFit="1" customWidth="1"/>
    <col min="17" max="18" width="10.44140625" bestFit="1" customWidth="1"/>
  </cols>
  <sheetData>
    <row r="1" spans="1:20">
      <c r="A1" t="s">
        <v>1932</v>
      </c>
      <c r="D1" t="s">
        <v>1943</v>
      </c>
      <c r="F1" s="726">
        <v>2025</v>
      </c>
      <c r="G1" s="726"/>
      <c r="H1" s="726"/>
      <c r="I1" s="726"/>
      <c r="L1" s="726">
        <v>2025</v>
      </c>
      <c r="M1" s="726"/>
      <c r="O1" s="726">
        <v>2026</v>
      </c>
      <c r="P1" s="726"/>
      <c r="Q1" s="726"/>
      <c r="R1" s="726"/>
      <c r="S1" s="726"/>
      <c r="T1" s="726"/>
    </row>
    <row r="2" spans="1:20">
      <c r="A2" t="s">
        <v>1408</v>
      </c>
      <c r="B2">
        <v>10</v>
      </c>
      <c r="C2" t="s">
        <v>281</v>
      </c>
      <c r="D2">
        <v>16</v>
      </c>
      <c r="G2" t="s">
        <v>1932</v>
      </c>
      <c r="H2" t="s">
        <v>1933</v>
      </c>
      <c r="I2" t="s">
        <v>1934</v>
      </c>
      <c r="L2" t="s">
        <v>2271</v>
      </c>
      <c r="M2">
        <v>5</v>
      </c>
      <c r="P2" t="s">
        <v>2388</v>
      </c>
      <c r="Q2" t="s">
        <v>2386</v>
      </c>
      <c r="R2" t="s">
        <v>2387</v>
      </c>
      <c r="S2" t="s">
        <v>1932</v>
      </c>
      <c r="T2" t="s">
        <v>1933</v>
      </c>
    </row>
    <row r="3" spans="1:20">
      <c r="A3" t="s">
        <v>1783</v>
      </c>
      <c r="B3">
        <v>5</v>
      </c>
      <c r="C3" t="s">
        <v>286</v>
      </c>
      <c r="D3">
        <v>9</v>
      </c>
      <c r="F3" t="s">
        <v>17</v>
      </c>
      <c r="G3">
        <v>2</v>
      </c>
      <c r="H3">
        <v>1</v>
      </c>
      <c r="I3">
        <f>G3+H3+2</f>
        <v>5</v>
      </c>
      <c r="L3" t="s">
        <v>2272</v>
      </c>
      <c r="M3">
        <v>5</v>
      </c>
      <c r="O3" t="s">
        <v>17</v>
      </c>
      <c r="P3" t="s">
        <v>2889</v>
      </c>
      <c r="Q3" s="42">
        <v>46023</v>
      </c>
      <c r="R3" s="42">
        <v>46024</v>
      </c>
      <c r="S3">
        <f>NETWORKDAYS(Q3,R3)-T3</f>
        <v>1</v>
      </c>
      <c r="T3">
        <v>1</v>
      </c>
    </row>
    <row r="4" spans="1:20">
      <c r="A4" t="s">
        <v>873</v>
      </c>
      <c r="B4">
        <v>5</v>
      </c>
      <c r="C4" t="s">
        <v>289</v>
      </c>
      <c r="D4">
        <v>9</v>
      </c>
      <c r="F4" t="s">
        <v>53</v>
      </c>
      <c r="G4">
        <v>8</v>
      </c>
      <c r="H4">
        <v>2</v>
      </c>
      <c r="I4">
        <v>6</v>
      </c>
      <c r="L4" t="s">
        <v>2887</v>
      </c>
      <c r="M4">
        <v>5</v>
      </c>
      <c r="O4" t="s">
        <v>59</v>
      </c>
      <c r="P4" t="s">
        <v>797</v>
      </c>
      <c r="Q4" s="77">
        <v>46143</v>
      </c>
      <c r="R4" s="77">
        <v>46158</v>
      </c>
      <c r="S4" s="55">
        <f>NETWORKDAYS(Q4,R4)-T4-1</f>
        <v>9</v>
      </c>
      <c r="T4">
        <f>1</f>
        <v>1</v>
      </c>
    </row>
    <row r="5" spans="1:20">
      <c r="A5" t="s">
        <v>129</v>
      </c>
      <c r="B5">
        <v>3</v>
      </c>
      <c r="C5" t="s">
        <v>279</v>
      </c>
      <c r="D5">
        <v>9</v>
      </c>
      <c r="F5" t="s">
        <v>285</v>
      </c>
      <c r="G5">
        <v>8</v>
      </c>
      <c r="H5">
        <v>2</v>
      </c>
      <c r="I5">
        <v>8</v>
      </c>
      <c r="L5" t="s">
        <v>2888</v>
      </c>
      <c r="M5">
        <v>1</v>
      </c>
      <c r="O5" t="s">
        <v>101</v>
      </c>
      <c r="P5" t="s">
        <v>2887</v>
      </c>
      <c r="Q5" s="42">
        <v>46296</v>
      </c>
      <c r="R5" s="42">
        <v>46309</v>
      </c>
      <c r="S5">
        <v>9</v>
      </c>
      <c r="T5">
        <v>0</v>
      </c>
    </row>
    <row r="6" spans="1:20">
      <c r="A6" t="s">
        <v>1903</v>
      </c>
      <c r="B6">
        <f>25-SUM(B2:B5)</f>
        <v>2</v>
      </c>
      <c r="F6" t="s">
        <v>288</v>
      </c>
      <c r="G6">
        <v>4</v>
      </c>
      <c r="H6">
        <v>1</v>
      </c>
      <c r="I6">
        <v>4</v>
      </c>
      <c r="L6" t="s">
        <v>3063</v>
      </c>
      <c r="M6">
        <v>1</v>
      </c>
      <c r="O6" t="s">
        <v>118</v>
      </c>
      <c r="P6" t="s">
        <v>129</v>
      </c>
      <c r="Q6" s="42">
        <v>46377</v>
      </c>
      <c r="R6" s="42">
        <v>46381</v>
      </c>
      <c r="S6">
        <v>4</v>
      </c>
      <c r="T6">
        <v>2</v>
      </c>
    </row>
    <row r="7" spans="1:20">
      <c r="F7" s="358" t="s">
        <v>279</v>
      </c>
      <c r="G7" s="358">
        <v>3</v>
      </c>
      <c r="H7" s="358">
        <v>2</v>
      </c>
      <c r="I7" s="358">
        <v>4</v>
      </c>
      <c r="L7" t="s">
        <v>3079</v>
      </c>
      <c r="M7">
        <v>1</v>
      </c>
    </row>
    <row r="8" spans="1:20">
      <c r="L8" t="s">
        <v>3080</v>
      </c>
      <c r="M8">
        <v>1</v>
      </c>
    </row>
    <row r="9" spans="1:20">
      <c r="L9" t="s">
        <v>2274</v>
      </c>
      <c r="M9">
        <v>6</v>
      </c>
    </row>
    <row r="10" spans="1:20">
      <c r="M10">
        <f>SUM(M2:M9)</f>
        <v>25</v>
      </c>
    </row>
    <row r="13" spans="1:20">
      <c r="A13" s="726"/>
      <c r="B13" s="726"/>
      <c r="C13" s="726"/>
      <c r="D13" s="726"/>
      <c r="E13" s="726"/>
    </row>
    <row r="17" spans="1:12">
      <c r="K17" s="726"/>
      <c r="L17" s="726"/>
    </row>
    <row r="24" spans="1:12">
      <c r="A24" s="726"/>
      <c r="B24" s="726"/>
      <c r="C24" s="726"/>
      <c r="D24" s="726"/>
      <c r="E24" s="726"/>
      <c r="F24" s="726"/>
    </row>
    <row r="26" spans="1:12">
      <c r="C26" s="42"/>
      <c r="D26" s="42"/>
    </row>
    <row r="27" spans="1:12">
      <c r="C27" s="77"/>
      <c r="D27" s="77"/>
      <c r="E27" s="55"/>
    </row>
    <row r="28" spans="1:12">
      <c r="C28" s="42"/>
      <c r="D28" s="42"/>
    </row>
    <row r="29" spans="1:12">
      <c r="C29" s="42"/>
      <c r="D29" s="42"/>
    </row>
  </sheetData>
  <mergeCells count="6">
    <mergeCell ref="O1:T1"/>
    <mergeCell ref="K17:L17"/>
    <mergeCell ref="F1:I1"/>
    <mergeCell ref="A13:E13"/>
    <mergeCell ref="A24:F24"/>
    <mergeCell ref="L1:M1"/>
  </mergeCells>
  <pageMargins left="0.7" right="0.7" top="0.75" bottom="0.75" header="0.3" footer="0.3"/>
  <legacy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E371-02CF-41DA-85A9-245D518DA986}">
  <dimension ref="A1:S21"/>
  <sheetViews>
    <sheetView topLeftCell="A3" zoomScale="110" zoomScaleNormal="110" workbookViewId="0">
      <selection activeCell="D16" sqref="D16"/>
    </sheetView>
  </sheetViews>
  <sheetFormatPr defaultColWidth="8.44140625" defaultRowHeight="14.4"/>
  <cols>
    <col min="1" max="1" width="33.33203125" customWidth="1"/>
    <col min="2" max="3" width="11.44140625" customWidth="1"/>
    <col min="4" max="4" width="10.33203125" bestFit="1" customWidth="1"/>
    <col min="5" max="5" width="13.6640625" customWidth="1"/>
    <col min="6" max="6" width="21.109375" hidden="1" customWidth="1"/>
    <col min="7" max="7" width="10.6640625" bestFit="1" customWidth="1"/>
    <col min="8" max="8" width="10.33203125" customWidth="1"/>
    <col min="10" max="10" width="12.6640625" customWidth="1"/>
    <col min="11" max="11" width="14.44140625" customWidth="1"/>
    <col min="12" max="12" width="15.33203125" customWidth="1"/>
  </cols>
  <sheetData>
    <row r="1" spans="1:19">
      <c r="A1" s="498" t="s">
        <v>1854</v>
      </c>
      <c r="B1" s="498" t="s">
        <v>193</v>
      </c>
      <c r="C1" s="498" t="s">
        <v>2072</v>
      </c>
      <c r="D1" s="498" t="s">
        <v>1855</v>
      </c>
      <c r="E1" s="498" t="s">
        <v>2073</v>
      </c>
      <c r="F1" s="498" t="s">
        <v>1856</v>
      </c>
      <c r="G1" s="535" t="s">
        <v>784</v>
      </c>
    </row>
    <row r="2" spans="1:19">
      <c r="A2" s="7" t="s">
        <v>1853</v>
      </c>
      <c r="B2" s="7"/>
      <c r="C2" s="7"/>
      <c r="D2" s="404">
        <v>120</v>
      </c>
      <c r="E2" s="404">
        <f>D2</f>
        <v>120</v>
      </c>
      <c r="F2" s="7"/>
    </row>
    <row r="3" spans="1:19" ht="28.8">
      <c r="A3" s="7" t="s">
        <v>1866</v>
      </c>
      <c r="B3" s="7"/>
      <c r="C3" s="7"/>
      <c r="D3" s="404">
        <v>958.58</v>
      </c>
      <c r="E3" s="404">
        <f t="shared" ref="E3:E10" si="0">E2+D3</f>
        <v>1078.58</v>
      </c>
      <c r="F3" s="442" t="s">
        <v>1858</v>
      </c>
    </row>
    <row r="4" spans="1:19">
      <c r="A4" s="7" t="s">
        <v>1857</v>
      </c>
      <c r="B4" s="7"/>
      <c r="C4" s="7"/>
      <c r="D4" s="404">
        <v>274</v>
      </c>
      <c r="E4" s="404">
        <f t="shared" si="0"/>
        <v>1352.58</v>
      </c>
      <c r="F4" s="7"/>
      <c r="J4" t="s">
        <v>685</v>
      </c>
    </row>
    <row r="5" spans="1:19">
      <c r="A5" s="7" t="s">
        <v>2070</v>
      </c>
      <c r="B5" s="7">
        <v>4</v>
      </c>
      <c r="C5" s="7">
        <f>B5</f>
        <v>4</v>
      </c>
      <c r="D5" s="404">
        <f>(B5*60)*1.2</f>
        <v>288</v>
      </c>
      <c r="E5" s="404">
        <f t="shared" si="0"/>
        <v>1640.58</v>
      </c>
      <c r="G5" s="42">
        <v>45539</v>
      </c>
      <c r="J5" t="s">
        <v>562</v>
      </c>
      <c r="K5" t="s">
        <v>2009</v>
      </c>
      <c r="L5" t="s">
        <v>2005</v>
      </c>
      <c r="M5" t="s">
        <v>2004</v>
      </c>
      <c r="N5" t="s">
        <v>2007</v>
      </c>
      <c r="O5" t="s">
        <v>2006</v>
      </c>
      <c r="P5" t="s">
        <v>2008</v>
      </c>
      <c r="Q5" t="s">
        <v>1809</v>
      </c>
      <c r="R5" t="s">
        <v>2010</v>
      </c>
      <c r="S5" t="s">
        <v>615</v>
      </c>
    </row>
    <row r="6" spans="1:19">
      <c r="A6" s="7" t="s">
        <v>2071</v>
      </c>
      <c r="B6" s="7">
        <v>17</v>
      </c>
      <c r="C6" s="7">
        <f>C5+B6</f>
        <v>21</v>
      </c>
      <c r="D6" s="404">
        <f>(17*60)*1.2</f>
        <v>1224</v>
      </c>
      <c r="E6" s="404">
        <f t="shared" si="0"/>
        <v>2864.58</v>
      </c>
      <c r="G6" s="42">
        <v>45574</v>
      </c>
      <c r="J6">
        <v>3100</v>
      </c>
      <c r="L6">
        <v>96000</v>
      </c>
      <c r="M6" t="s">
        <v>2011</v>
      </c>
      <c r="N6" t="s">
        <v>1841</v>
      </c>
      <c r="O6">
        <v>9000</v>
      </c>
      <c r="P6" s="518" t="s">
        <v>2013</v>
      </c>
      <c r="Q6" t="s">
        <v>2012</v>
      </c>
      <c r="R6">
        <v>600</v>
      </c>
      <c r="S6">
        <f>O6-J6-R6</f>
        <v>5300</v>
      </c>
    </row>
    <row r="7" spans="1:19">
      <c r="A7" s="7" t="s">
        <v>1987</v>
      </c>
      <c r="B7" s="7">
        <v>0</v>
      </c>
      <c r="C7" s="7">
        <f>C6</f>
        <v>21</v>
      </c>
      <c r="D7" s="404">
        <v>5000</v>
      </c>
      <c r="E7" s="404">
        <f t="shared" si="0"/>
        <v>7864.58</v>
      </c>
      <c r="J7">
        <v>5000</v>
      </c>
      <c r="K7">
        <v>4800</v>
      </c>
      <c r="L7">
        <v>39000</v>
      </c>
      <c r="M7" t="s">
        <v>2017</v>
      </c>
      <c r="N7" t="s">
        <v>2018</v>
      </c>
      <c r="O7">
        <v>14000</v>
      </c>
      <c r="P7" s="518" t="s">
        <v>2019</v>
      </c>
      <c r="S7">
        <f>O7-J7-R7</f>
        <v>9000</v>
      </c>
    </row>
    <row r="8" spans="1:19">
      <c r="A8" s="7" t="s">
        <v>2074</v>
      </c>
      <c r="B8" s="7">
        <v>12</v>
      </c>
      <c r="C8" s="7">
        <f>B8+C7</f>
        <v>33</v>
      </c>
      <c r="D8">
        <f>(B8*60)*1.2+300</f>
        <v>1164</v>
      </c>
      <c r="E8" s="445">
        <f t="shared" si="0"/>
        <v>9028.58</v>
      </c>
      <c r="F8" s="445"/>
      <c r="J8">
        <v>5450</v>
      </c>
      <c r="K8">
        <v>5000</v>
      </c>
      <c r="L8">
        <v>20000</v>
      </c>
      <c r="M8" t="s">
        <v>2014</v>
      </c>
      <c r="N8" t="s">
        <v>2015</v>
      </c>
      <c r="O8">
        <v>15000</v>
      </c>
      <c r="P8" s="518" t="s">
        <v>2016</v>
      </c>
      <c r="S8">
        <f>O8-J8-R8</f>
        <v>9550</v>
      </c>
    </row>
    <row r="9" spans="1:19">
      <c r="A9" s="7" t="s">
        <v>2075</v>
      </c>
      <c r="B9" s="7">
        <v>17</v>
      </c>
      <c r="C9" s="7">
        <f>C8+B9</f>
        <v>50</v>
      </c>
      <c r="D9">
        <f>(B9*60)*1.2</f>
        <v>1224</v>
      </c>
      <c r="E9" s="445">
        <f t="shared" si="0"/>
        <v>10252.58</v>
      </c>
      <c r="J9">
        <v>3100</v>
      </c>
      <c r="K9">
        <v>2900</v>
      </c>
      <c r="L9">
        <v>101000</v>
      </c>
      <c r="M9" t="s">
        <v>2020</v>
      </c>
      <c r="N9" t="s">
        <v>1841</v>
      </c>
      <c r="O9">
        <v>9000</v>
      </c>
      <c r="P9" s="518" t="s">
        <v>2021</v>
      </c>
      <c r="S9">
        <f>O9-J9-R9</f>
        <v>5900</v>
      </c>
    </row>
    <row r="10" spans="1:19">
      <c r="A10" s="7" t="s">
        <v>2099</v>
      </c>
      <c r="D10" s="445">
        <f>600*1.2</f>
        <v>720</v>
      </c>
      <c r="E10" s="445">
        <f t="shared" si="0"/>
        <v>10972.58</v>
      </c>
    </row>
    <row r="12" spans="1:19">
      <c r="A12" s="7" t="s">
        <v>131</v>
      </c>
      <c r="B12" s="7"/>
      <c r="C12" s="7"/>
      <c r="D12" s="445">
        <f>E10</f>
        <v>10972.58</v>
      </c>
      <c r="E12" s="445"/>
      <c r="G12" s="445"/>
      <c r="I12">
        <v>2416.67</v>
      </c>
    </row>
    <row r="13" spans="1:19">
      <c r="A13" s="7" t="s">
        <v>1974</v>
      </c>
      <c r="B13" s="7"/>
      <c r="C13" s="7"/>
      <c r="D13" s="404">
        <v>17000</v>
      </c>
      <c r="E13" s="404"/>
      <c r="I13">
        <v>525</v>
      </c>
    </row>
    <row r="14" spans="1:19">
      <c r="A14" s="7" t="s">
        <v>1975</v>
      </c>
      <c r="B14" s="7"/>
      <c r="C14" s="7"/>
      <c r="D14">
        <f>ROUND((D12/D13)*100, 2)</f>
        <v>64.540000000000006</v>
      </c>
    </row>
    <row r="15" spans="1:19">
      <c r="A15" s="7" t="s">
        <v>1989</v>
      </c>
      <c r="B15" s="7"/>
      <c r="C15" s="7"/>
      <c r="D15">
        <v>12500</v>
      </c>
      <c r="I15" t="s">
        <v>2101</v>
      </c>
      <c r="J15">
        <v>2941.67</v>
      </c>
      <c r="K15">
        <f>J15*12</f>
        <v>35300.04</v>
      </c>
    </row>
    <row r="16" spans="1:19">
      <c r="A16" s="7" t="s">
        <v>615</v>
      </c>
      <c r="B16" s="7"/>
      <c r="C16" s="7"/>
      <c r="D16" s="445">
        <f>D15-D6-D7-D8-D5-D9-D10</f>
        <v>2880</v>
      </c>
      <c r="E16" s="445"/>
      <c r="G16" s="445"/>
      <c r="H16" s="445"/>
    </row>
    <row r="17" spans="1:7">
      <c r="G17" s="445"/>
    </row>
    <row r="18" spans="1:7">
      <c r="A18" s="7" t="s">
        <v>1988</v>
      </c>
      <c r="B18" s="7"/>
      <c r="C18" s="7"/>
      <c r="D18">
        <v>4000</v>
      </c>
    </row>
    <row r="19" spans="1:7">
      <c r="A19" s="7" t="s">
        <v>615</v>
      </c>
      <c r="B19" s="7"/>
      <c r="C19" s="7"/>
      <c r="D19" s="445">
        <f>D18-D6</f>
        <v>2776</v>
      </c>
      <c r="E19" s="445"/>
    </row>
    <row r="21" spans="1:7">
      <c r="A21" s="7" t="s">
        <v>203</v>
      </c>
      <c r="B21" s="7"/>
      <c r="C21" s="7"/>
      <c r="D21" s="445">
        <f>D16-D19</f>
        <v>104</v>
      </c>
      <c r="E21" s="445"/>
    </row>
  </sheetData>
  <hyperlinks>
    <hyperlink ref="P6" r:id="rId1" xr:uid="{87D014B8-8845-42A1-BB63-6EA3C540CF66}"/>
    <hyperlink ref="P8" r:id="rId2" xr:uid="{D6FBCFB7-C672-464B-9389-4B7438C1DCAB}"/>
    <hyperlink ref="P7" r:id="rId3" xr:uid="{BE89A7E0-9615-477B-A89C-38A93F9DC03C}"/>
    <hyperlink ref="P9" r:id="rId4" xr:uid="{845AC2AF-EB72-4094-A661-63B9EB48D22C}"/>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8343-8FAA-41AC-8C76-0B8F17C2C59E}">
  <dimension ref="A1:T92"/>
  <sheetViews>
    <sheetView topLeftCell="G1" zoomScale="80" zoomScaleNormal="80" workbookViewId="0">
      <selection activeCell="R30" sqref="R30"/>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DEC-JAN 2023</v>
      </c>
      <c r="B1" s="730" t="str">
        <f ca="1">MID(CELL("filename",B1),FIND("]",CELL("filename",B1))+1,255)</f>
        <v>JAN-FEB 2023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ROUND(O5+O32+O24+IF(O34&lt;0,0,O34)+O35+O4,2) &amp; " / " &amp; "£" &amp; E37</f>
        <v>£2231.08 / £7861.63</v>
      </c>
      <c r="E3" s="365">
        <f>2802.81-2787.81</f>
        <v>15</v>
      </c>
      <c r="F3" s="365"/>
      <c r="G3" s="732">
        <v>44951</v>
      </c>
      <c r="H3" s="732"/>
      <c r="I3" s="732">
        <f>G3+7</f>
        <v>44958</v>
      </c>
      <c r="J3" s="732"/>
      <c r="K3" s="732">
        <f>I3+7</f>
        <v>44965</v>
      </c>
      <c r="L3" s="732"/>
      <c r="M3" s="732">
        <f>K3+7</f>
        <v>44972</v>
      </c>
      <c r="N3" s="732"/>
      <c r="O3" s="308">
        <v>0</v>
      </c>
      <c r="P3" s="325" t="s">
        <v>1224</v>
      </c>
      <c r="Q3" s="282"/>
    </row>
    <row r="4" spans="1:20" ht="15" customHeight="1">
      <c r="B4" s="727" t="str">
        <f>_xlfn.CONCAT("Expenses - 50 - ",G37*0.5," / Actual = ",ROUND(D5,2)," (",ROUND((D5/G37)*100,2),")")</f>
        <v>Expenses - 50 - 2829.11 / Actual = 2444.98 (43.21)</v>
      </c>
      <c r="C4" s="727"/>
      <c r="D4" s="727"/>
      <c r="E4" s="727"/>
      <c r="F4" s="318"/>
      <c r="H4" s="304">
        <f>SUM(H5:H35)</f>
        <v>461.38</v>
      </c>
      <c r="J4" s="304">
        <f>SUM(J5:J35)</f>
        <v>551.44999999999993</v>
      </c>
      <c r="L4" s="304">
        <f>SUM(L5:L35)</f>
        <v>125.17999999999999</v>
      </c>
      <c r="N4" s="304">
        <f>SUM(N5:N35)</f>
        <v>103.9</v>
      </c>
      <c r="O4" s="308">
        <f>IF(H36&lt;&gt;"PAID",H4,0)+IF(J36&lt;&gt;"PAID",J4,0)+IF(L36&lt;&gt;"PAID",L4,0)+IF(N36&lt;&gt;"PAID",N4,0)</f>
        <v>1241.9100000000001</v>
      </c>
      <c r="P4" s="309" t="s">
        <v>973</v>
      </c>
      <c r="Q4" s="408">
        <f>O4+5268.9+820</f>
        <v>7330.8099999999995</v>
      </c>
      <c r="R4" s="243">
        <f>Q4-O4</f>
        <v>6088.9</v>
      </c>
      <c r="S4" s="243"/>
    </row>
    <row r="5" spans="1:20" ht="15" customHeight="1">
      <c r="B5" s="733" t="str">
        <f>IF(D5&gt;E$37*0.5,ROUND(D5-E$37*0.5,2) &amp; " Over",ROUND(E$37*0.5-D5,2) &amp; " Under")</f>
        <v>1485.84 Under</v>
      </c>
      <c r="C5" s="733"/>
      <c r="D5" s="761">
        <f>ROUND(SUM(F6:F21),2)</f>
        <v>2444.98</v>
      </c>
      <c r="E5" s="761"/>
      <c r="F5" s="321"/>
      <c r="G5" s="284"/>
      <c r="H5" s="306"/>
      <c r="I5" s="79"/>
      <c r="J5" s="306"/>
      <c r="K5" s="79"/>
      <c r="L5" s="306"/>
      <c r="M5" s="79"/>
      <c r="N5" s="305"/>
      <c r="O5" s="285">
        <f>SUMIF(O6:O21,"&gt;0")</f>
        <v>0</v>
      </c>
      <c r="P5" s="285" t="s">
        <v>892</v>
      </c>
      <c r="Q5" s="282">
        <f>SUM(Q6:Q20)</f>
        <v>15.879999999999995</v>
      </c>
      <c r="R5" s="243"/>
    </row>
    <row r="6" spans="1:20" ht="15" customHeight="1">
      <c r="B6" s="734" t="str">
        <f>"50%: " &amp; E$37*0.5</f>
        <v>50%: 3930.815</v>
      </c>
      <c r="C6" s="734" t="str">
        <f>ROUND((D5/E$37)*100,2) &amp; "%: " &amp;D5</f>
        <v>31.1%: 2444.98</v>
      </c>
      <c r="D6" s="13" t="s">
        <v>805</v>
      </c>
      <c r="E6" s="365">
        <v>0</v>
      </c>
      <c r="F6" s="374">
        <v>200</v>
      </c>
      <c r="H6" s="304">
        <f>32.9+33.76+33.77</f>
        <v>100.43</v>
      </c>
      <c r="J6" s="305">
        <f>25.2+35.22</f>
        <v>60.42</v>
      </c>
      <c r="L6" s="305"/>
      <c r="N6" s="305">
        <f>20.01+20.36</f>
        <v>40.370000000000005</v>
      </c>
      <c r="O6" s="274">
        <f>SUM(E6:F6)-SUM(G6:N6)</f>
        <v>-1.2200000000000273</v>
      </c>
      <c r="P6" s="274" t="str">
        <f t="shared" ref="P6:P21" si="0">D6</f>
        <v>Car Petrol / commuting</v>
      </c>
      <c r="Q6" s="282">
        <f t="shared" ref="Q6:Q21" si="1">IF(O6&lt;0,O6*-1,0)</f>
        <v>1.2200000000000273</v>
      </c>
      <c r="R6" s="243"/>
      <c r="S6" s="243">
        <f>Q4+11.5+24.82+6.15</f>
        <v>7373.2799999999988</v>
      </c>
    </row>
    <row r="7" spans="1:20" ht="15" customHeight="1">
      <c r="B7" s="734"/>
      <c r="C7" s="734"/>
      <c r="D7" s="13" t="s">
        <v>169</v>
      </c>
      <c r="E7" s="365">
        <v>0</v>
      </c>
      <c r="F7" s="365">
        <f>400</f>
        <v>400</v>
      </c>
      <c r="H7" s="304">
        <f>35.65+54.2+18.75+38.9-46.88</f>
        <v>100.62</v>
      </c>
      <c r="J7" s="305">
        <f>26.98+105.75+4.5</f>
        <v>137.22999999999999</v>
      </c>
      <c r="L7" s="305">
        <f>16.13+68.2</f>
        <v>84.33</v>
      </c>
      <c r="N7" s="305">
        <f>1.85+2.15+40.5+38.14+1.55+8.29</f>
        <v>92.47999999999999</v>
      </c>
      <c r="O7" s="274">
        <f>SUM(E7:F7)-SUM(G7:N7)</f>
        <v>-14.659999999999968</v>
      </c>
      <c r="P7" s="274" t="str">
        <f t="shared" si="0"/>
        <v>Food</v>
      </c>
      <c r="Q7" s="282">
        <f t="shared" si="1"/>
        <v>14.659999999999968</v>
      </c>
      <c r="R7" s="243"/>
    </row>
    <row r="8" spans="1:20" ht="15" customHeight="1">
      <c r="B8" s="734"/>
      <c r="C8" s="734"/>
      <c r="D8" s="13" t="s">
        <v>153</v>
      </c>
      <c r="E8" s="365">
        <v>0</v>
      </c>
      <c r="F8" s="365">
        <f>100+20-17.89</f>
        <v>102.11</v>
      </c>
      <c r="G8">
        <f>24.53+35.78</f>
        <v>60.31</v>
      </c>
      <c r="H8" s="305"/>
      <c r="I8">
        <f>19.15</f>
        <v>19.149999999999999</v>
      </c>
      <c r="J8" s="305"/>
      <c r="L8" s="305"/>
      <c r="M8">
        <f>22.65</f>
        <v>22.65</v>
      </c>
      <c r="N8" s="305"/>
      <c r="O8" s="274">
        <f>SUM(E8:F8)-SUM(G8:N8)</f>
        <v>0</v>
      </c>
      <c r="P8" s="274" t="str">
        <f t="shared" si="0"/>
        <v>Luna</v>
      </c>
      <c r="Q8" s="282">
        <f t="shared" si="1"/>
        <v>0</v>
      </c>
    </row>
    <row r="9" spans="1:20" ht="15" customHeight="1">
      <c r="B9" s="734"/>
      <c r="C9" s="734"/>
      <c r="D9" s="13" t="s">
        <v>1079</v>
      </c>
      <c r="E9" s="365">
        <v>0</v>
      </c>
      <c r="F9" s="365">
        <f>40-20-2.53</f>
        <v>17.47</v>
      </c>
      <c r="H9" s="305">
        <f>17.47</f>
        <v>17.47</v>
      </c>
      <c r="J9" s="305"/>
      <c r="L9" s="305"/>
      <c r="N9" s="305"/>
      <c r="O9" s="274">
        <f>SUM(E9:F9)-SUM(G9:N9)</f>
        <v>0</v>
      </c>
      <c r="P9" s="274" t="str">
        <f t="shared" si="0"/>
        <v>Creamy</v>
      </c>
      <c r="Q9" s="282">
        <f t="shared" si="1"/>
        <v>0</v>
      </c>
    </row>
    <row r="10" spans="1:20" ht="15" customHeight="1" outlineLevel="1">
      <c r="B10" s="734"/>
      <c r="C10" s="734"/>
      <c r="D10" s="201" t="s">
        <v>595</v>
      </c>
      <c r="E10" s="365">
        <v>0</v>
      </c>
      <c r="F10" s="365">
        <f>452.64</f>
        <v>452.64</v>
      </c>
      <c r="H10" s="304"/>
      <c r="J10" s="305"/>
      <c r="L10" s="305"/>
      <c r="M10">
        <v>452.64</v>
      </c>
      <c r="N10" s="305"/>
      <c r="O10" s="274">
        <f t="shared" ref="O10:O15" si="2">SUM(E10:F10)-SUM(G10:N10)</f>
        <v>0</v>
      </c>
      <c r="P10" s="274" t="str">
        <f t="shared" si="0"/>
        <v>Mortgage</v>
      </c>
      <c r="Q10" s="282">
        <f t="shared" si="1"/>
        <v>0</v>
      </c>
      <c r="R10" s="243"/>
    </row>
    <row r="11" spans="1:20" ht="15" customHeight="1" outlineLevel="1">
      <c r="B11" s="734"/>
      <c r="C11" s="734"/>
      <c r="D11" s="201" t="s">
        <v>596</v>
      </c>
      <c r="E11" s="365">
        <v>0</v>
      </c>
      <c r="F11" s="365">
        <v>139</v>
      </c>
      <c r="H11" s="305"/>
      <c r="I11">
        <f>139</f>
        <v>139</v>
      </c>
      <c r="J11" s="305"/>
      <c r="L11" s="305"/>
      <c r="N11" s="305"/>
      <c r="O11" s="274">
        <f t="shared" si="2"/>
        <v>0</v>
      </c>
      <c r="P11" s="274" t="str">
        <f t="shared" si="0"/>
        <v>Council tax</v>
      </c>
      <c r="Q11" s="282">
        <f t="shared" si="1"/>
        <v>0</v>
      </c>
    </row>
    <row r="12" spans="1:20" ht="15" customHeight="1" outlineLevel="1">
      <c r="B12" s="734"/>
      <c r="C12" s="734"/>
      <c r="D12" s="201" t="s">
        <v>1002</v>
      </c>
      <c r="E12" s="365">
        <v>0</v>
      </c>
      <c r="F12" s="365">
        <f>46+65.56+1</f>
        <v>112.56</v>
      </c>
      <c r="H12" s="305"/>
      <c r="I12">
        <f>65.56+1</f>
        <v>66.56</v>
      </c>
      <c r="J12" s="305"/>
      <c r="L12" s="305"/>
      <c r="M12">
        <v>46</v>
      </c>
      <c r="N12" s="305"/>
      <c r="O12" s="274">
        <f>SUM(E12:F12)-SUM(G12:N12)</f>
        <v>0</v>
      </c>
      <c r="P12" s="274" t="str">
        <f t="shared" si="0"/>
        <v>Utilities (G,W,E,HTB)</v>
      </c>
      <c r="Q12" s="282">
        <f t="shared" si="1"/>
        <v>0</v>
      </c>
    </row>
    <row r="13" spans="1:20" ht="15" customHeight="1" outlineLevel="1">
      <c r="B13" s="734"/>
      <c r="C13" s="734"/>
      <c r="D13" s="201" t="s">
        <v>996</v>
      </c>
      <c r="E13" s="365">
        <v>0</v>
      </c>
      <c r="F13" s="365">
        <f>16.42</f>
        <v>16.420000000000002</v>
      </c>
      <c r="H13" s="305"/>
      <c r="I13">
        <f>16.42</f>
        <v>16.420000000000002</v>
      </c>
      <c r="J13" s="305"/>
      <c r="L13" s="305"/>
      <c r="N13" s="305"/>
      <c r="O13" s="274">
        <f>SUM(E13:F13)-SUM(G13:N13)</f>
        <v>0</v>
      </c>
      <c r="P13" s="274" t="str">
        <f t="shared" si="0"/>
        <v>Home Insurance</v>
      </c>
      <c r="Q13" s="282">
        <f t="shared" si="1"/>
        <v>0</v>
      </c>
    </row>
    <row r="14" spans="1:20" ht="15" customHeight="1" outlineLevel="1">
      <c r="B14" s="734"/>
      <c r="C14" s="734"/>
      <c r="D14" s="201" t="s">
        <v>1056</v>
      </c>
      <c r="E14" s="365">
        <v>0</v>
      </c>
      <c r="F14" s="365">
        <f>8+35.99+17.99</f>
        <v>61.980000000000004</v>
      </c>
      <c r="H14" s="305"/>
      <c r="I14">
        <f>17.99+8+35.99</f>
        <v>61.980000000000004</v>
      </c>
      <c r="J14" s="305"/>
      <c r="L14" s="305"/>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4.52+15.97+15.68</f>
        <v>36.17</v>
      </c>
      <c r="H15" s="305"/>
      <c r="I15" s="11">
        <f>15.68+4.52+15.97</f>
        <v>36.17</v>
      </c>
      <c r="J15" s="305"/>
      <c r="L15" s="305"/>
      <c r="N15" s="305"/>
      <c r="O15" s="274">
        <f t="shared" si="2"/>
        <v>0</v>
      </c>
      <c r="P15" s="274" t="str">
        <f t="shared" si="0"/>
        <v>Life / Income Insurance</v>
      </c>
      <c r="Q15" s="282">
        <f t="shared" si="1"/>
        <v>0</v>
      </c>
    </row>
    <row r="16" spans="1:20" ht="15" customHeight="1" outlineLevel="1">
      <c r="B16" s="734"/>
      <c r="C16" s="734"/>
      <c r="D16" s="201" t="s">
        <v>602</v>
      </c>
      <c r="E16" s="365">
        <v>0</v>
      </c>
      <c r="F16" s="365">
        <v>25</v>
      </c>
      <c r="H16" s="305"/>
      <c r="I16">
        <v>25</v>
      </c>
      <c r="J16" s="305"/>
      <c r="L16" s="305"/>
      <c r="N16" s="305"/>
      <c r="O16" s="274">
        <f t="shared" ref="O16:O21" si="3">SUM(E16:F16)-SUM(G16:N16)</f>
        <v>0</v>
      </c>
      <c r="P16" s="274" t="str">
        <f t="shared" si="0"/>
        <v>Broadband / TV</v>
      </c>
      <c r="Q16" s="282">
        <f t="shared" si="1"/>
        <v>0</v>
      </c>
    </row>
    <row r="17" spans="2:19" ht="15" customHeight="1" outlineLevel="1">
      <c r="B17" s="734"/>
      <c r="C17" s="734"/>
      <c r="D17" s="201" t="s">
        <v>582</v>
      </c>
      <c r="E17" s="365">
        <v>0</v>
      </c>
      <c r="F17" s="365">
        <v>7.99</v>
      </c>
      <c r="H17" s="305"/>
      <c r="I17">
        <f>7.99</f>
        <v>7.99</v>
      </c>
      <c r="J17" s="305"/>
      <c r="L17" s="305"/>
      <c r="N17" s="305"/>
      <c r="O17" s="274">
        <f t="shared" si="3"/>
        <v>0</v>
      </c>
      <c r="P17" s="274" t="str">
        <f t="shared" si="0"/>
        <v>Onedrive (6th)</v>
      </c>
      <c r="Q17" s="282">
        <f t="shared" si="1"/>
        <v>0</v>
      </c>
    </row>
    <row r="18" spans="2:19" ht="15" customHeight="1" outlineLevel="1">
      <c r="B18" s="734"/>
      <c r="C18" s="734"/>
      <c r="D18" s="201" t="s">
        <v>788</v>
      </c>
      <c r="E18" s="365">
        <v>0</v>
      </c>
      <c r="F18" s="365">
        <f>11.55</f>
        <v>11.55</v>
      </c>
      <c r="G18">
        <v>11.55</v>
      </c>
      <c r="H18" s="305"/>
      <c r="J18" s="305"/>
      <c r="L18" s="305"/>
      <c r="N18" s="305"/>
      <c r="O18" s="274">
        <f t="shared" si="3"/>
        <v>0</v>
      </c>
      <c r="P18" s="274" t="str">
        <f t="shared" si="0"/>
        <v>Matt Phone</v>
      </c>
      <c r="Q18" s="282">
        <f t="shared" si="1"/>
        <v>0</v>
      </c>
    </row>
    <row r="19" spans="2:19" ht="15" customHeight="1" outlineLevel="1">
      <c r="B19" s="734"/>
      <c r="C19" s="734"/>
      <c r="D19" s="201" t="s">
        <v>690</v>
      </c>
      <c r="E19" s="365">
        <v>0</v>
      </c>
      <c r="F19" s="365">
        <f>11.81+32.71+47.69+14.43+468.84</f>
        <v>575.48</v>
      </c>
      <c r="H19" s="305"/>
      <c r="I19">
        <f>11.81+14.43+32.71+468.84+47.69</f>
        <v>575.48</v>
      </c>
      <c r="J19" s="305"/>
      <c r="L19" s="305"/>
      <c r="N19" s="305"/>
      <c r="O19" s="274">
        <f t="shared" si="3"/>
        <v>0</v>
      </c>
      <c r="P19" s="274" t="str">
        <f t="shared" si="0"/>
        <v>Cars</v>
      </c>
      <c r="Q19" s="282">
        <f t="shared" si="1"/>
        <v>0</v>
      </c>
    </row>
    <row r="20" spans="2:19" ht="15" customHeight="1" outlineLevel="1">
      <c r="B20" s="734"/>
      <c r="C20" s="734"/>
      <c r="D20" s="201" t="s">
        <v>944</v>
      </c>
      <c r="E20" s="365">
        <v>0</v>
      </c>
      <c r="F20" s="365">
        <v>15</v>
      </c>
      <c r="H20" s="305"/>
      <c r="I20">
        <v>15</v>
      </c>
      <c r="J20" s="305"/>
      <c r="L20" s="305"/>
      <c r="N20" s="305"/>
      <c r="O20" s="274">
        <f t="shared" si="3"/>
        <v>0</v>
      </c>
      <c r="P20" s="274" t="str">
        <f t="shared" si="0"/>
        <v>Windows</v>
      </c>
      <c r="Q20" s="282">
        <f t="shared" si="1"/>
        <v>0</v>
      </c>
    </row>
    <row r="21" spans="2:19" ht="15" customHeight="1" outlineLevel="1">
      <c r="B21" s="7"/>
      <c r="C21" s="7"/>
      <c r="D21" s="201" t="s">
        <v>814</v>
      </c>
      <c r="E21" s="365">
        <v>1877.67</v>
      </c>
      <c r="F21" s="365">
        <v>271.61</v>
      </c>
      <c r="G21">
        <v>2149.2800000000002</v>
      </c>
      <c r="H21" s="305"/>
      <c r="J21" s="305"/>
      <c r="L21" s="305"/>
      <c r="N21" s="305"/>
      <c r="O21" s="274">
        <f t="shared" si="3"/>
        <v>0</v>
      </c>
      <c r="P21" s="274" t="str">
        <f t="shared" si="0"/>
        <v>CC</v>
      </c>
      <c r="Q21" s="282">
        <f t="shared" si="1"/>
        <v>0</v>
      </c>
    </row>
    <row r="22" spans="2:19" ht="15" customHeight="1">
      <c r="B22" s="118"/>
      <c r="C22" s="118"/>
      <c r="D22" s="188"/>
      <c r="E22" s="365"/>
      <c r="F22" s="365"/>
      <c r="H22" s="305"/>
      <c r="J22" s="305"/>
      <c r="L22" s="305"/>
      <c r="N22" s="305"/>
      <c r="O22" s="273"/>
      <c r="P22" s="273"/>
      <c r="Q22" s="282"/>
    </row>
    <row r="23" spans="2:19" ht="15" customHeight="1">
      <c r="B23" s="736" t="str">
        <f>_xlfn.CONCAT("Savings - 20 - ",G37*0.2," / Actual = ",D24," (",ROUND((D24/G37)*100,2),")")</f>
        <v>Savings - 20 - 1131.644 / Actual = 2676.06 (47.3)</v>
      </c>
      <c r="C23" s="736"/>
      <c r="D23" s="736"/>
      <c r="E23" s="736"/>
      <c r="F23" s="320"/>
      <c r="H23" s="305"/>
      <c r="J23" s="305"/>
      <c r="L23" s="305"/>
      <c r="N23" s="305"/>
      <c r="O23" s="274"/>
      <c r="P23" s="274"/>
      <c r="Q23" s="282"/>
    </row>
    <row r="24" spans="2:19" ht="15" customHeight="1">
      <c r="B24" s="727" t="str">
        <f>IF(ISNUMBER((SEARCH("Over",C$5))),"Operating under budget","Operating over budget")</f>
        <v>Operating over budget</v>
      </c>
      <c r="C24" s="727"/>
      <c r="D24" s="759">
        <f>SUM(F25:F29)</f>
        <v>2676.06</v>
      </c>
      <c r="E24" s="759"/>
      <c r="F24" s="319"/>
      <c r="H24" s="305"/>
      <c r="J24" s="305"/>
      <c r="L24" s="305"/>
      <c r="N24" s="305"/>
      <c r="O24" s="285">
        <f>SUMIF(O25:O29,"&gt;0")</f>
        <v>989.16999999999928</v>
      </c>
      <c r="P24" s="285" t="s">
        <v>895</v>
      </c>
      <c r="Q24" s="282">
        <f>SUM(Q25:Q29)</f>
        <v>0</v>
      </c>
    </row>
    <row r="25" spans="2:19" ht="15" customHeight="1" outlineLevel="1">
      <c r="B25" s="7" t="str">
        <f>"20% : " &amp; E$37*0.2</f>
        <v>20% : 1572.326</v>
      </c>
      <c r="C25" s="7" t="str">
        <f>"20% : " &amp; E$37*0.2</f>
        <v>20% : 1572.326</v>
      </c>
      <c r="D25" s="300" t="s">
        <v>590</v>
      </c>
      <c r="E25" s="365">
        <f>1.89+0.8+2.29</f>
        <v>4.9800000000000004</v>
      </c>
      <c r="F25" s="365">
        <f>75+60+15+15</f>
        <v>165</v>
      </c>
      <c r="H25" s="305">
        <f>40</f>
        <v>40</v>
      </c>
      <c r="J25" s="305">
        <f>28.95</f>
        <v>28.95</v>
      </c>
      <c r="L25" s="315"/>
      <c r="N25" s="305"/>
      <c r="O25" s="274">
        <f>SUM(E25:F25)-SUM(G25:N25)-Q37</f>
        <v>82.739999999999569</v>
      </c>
      <c r="P25" s="274" t="str">
        <f t="shared" ref="P25:P29" si="4">D25</f>
        <v>Contingency</v>
      </c>
      <c r="Q25" s="282">
        <v>0</v>
      </c>
    </row>
    <row r="26" spans="2:19" ht="15" customHeight="1" outlineLevel="1">
      <c r="B26" s="7"/>
      <c r="C26" s="7"/>
      <c r="D26" s="300" t="s">
        <v>359</v>
      </c>
      <c r="E26" s="365">
        <v>27.33</v>
      </c>
      <c r="F26" s="365">
        <v>13.67</v>
      </c>
      <c r="H26" s="305"/>
      <c r="I26">
        <v>41</v>
      </c>
      <c r="J26" s="305"/>
      <c r="L26" s="315"/>
      <c r="N26" s="305"/>
      <c r="O26" s="274">
        <f>SUM(E26:F26)-SUM(G26:N26)</f>
        <v>0</v>
      </c>
      <c r="P26" s="274" t="str">
        <f t="shared" si="4"/>
        <v>TV License</v>
      </c>
      <c r="Q26" s="282">
        <v>0</v>
      </c>
    </row>
    <row r="27" spans="2:19" ht="15" customHeight="1" outlineLevel="1">
      <c r="B27" s="7"/>
      <c r="C27" s="7"/>
      <c r="D27" s="300" t="s">
        <v>998</v>
      </c>
      <c r="E27" s="365">
        <v>0</v>
      </c>
      <c r="F27" s="365">
        <v>55</v>
      </c>
      <c r="H27" s="305"/>
      <c r="J27" s="305"/>
      <c r="L27" s="305"/>
      <c r="N27" s="305"/>
      <c r="O27" s="274">
        <f>SUM(E27:F27)-SUM(G27:N27)</f>
        <v>55</v>
      </c>
      <c r="P27" s="274" t="str">
        <f t="shared" si="4"/>
        <v>Cars (Service / MOT)</v>
      </c>
      <c r="Q27" s="282">
        <v>0</v>
      </c>
    </row>
    <row r="28" spans="2:19" ht="15" customHeight="1" outlineLevel="1">
      <c r="B28" s="7"/>
      <c r="C28" s="7"/>
      <c r="D28" s="300" t="s">
        <v>701</v>
      </c>
      <c r="E28" s="365">
        <v>0</v>
      </c>
      <c r="F28" s="365">
        <v>250</v>
      </c>
      <c r="H28" s="305"/>
      <c r="I28">
        <f>21.35</f>
        <v>21.35</v>
      </c>
      <c r="J28" s="305"/>
      <c r="L28" s="305">
        <f>33</f>
        <v>33</v>
      </c>
      <c r="M28">
        <f>25</f>
        <v>25</v>
      </c>
      <c r="N28" s="305"/>
      <c r="O28" s="274">
        <f>SUM(E28:F28)-SUM(G28:N28)</f>
        <v>170.65</v>
      </c>
      <c r="P28" s="274" t="str">
        <f t="shared" si="4"/>
        <v>Gift</v>
      </c>
      <c r="Q28" s="282">
        <v>0</v>
      </c>
    </row>
    <row r="29" spans="2:19" ht="15" customHeight="1" outlineLevel="1">
      <c r="B29" s="7"/>
      <c r="C29" s="7"/>
      <c r="D29" s="300" t="s">
        <v>332</v>
      </c>
      <c r="E29" s="365">
        <v>25</v>
      </c>
      <c r="F29" s="365">
        <f>850+1578+36-271.61</f>
        <v>2192.39</v>
      </c>
      <c r="G29">
        <f>7+299</f>
        <v>306</v>
      </c>
      <c r="H29" s="306">
        <f>74.61</f>
        <v>74.61</v>
      </c>
      <c r="I29">
        <f>375+200</f>
        <v>575</v>
      </c>
      <c r="J29" s="305">
        <f>245</f>
        <v>245</v>
      </c>
      <c r="L29" s="305"/>
      <c r="M29">
        <v>336</v>
      </c>
      <c r="N29" s="305"/>
      <c r="O29" s="274">
        <f>SUM(E29:F29)-SUM(G29:N29)</f>
        <v>680.77999999999975</v>
      </c>
      <c r="P29" s="274" t="str">
        <f t="shared" si="4"/>
        <v>Holidays</v>
      </c>
      <c r="Q29" s="282">
        <v>0</v>
      </c>
      <c r="R29" s="243">
        <f>2927+O24+1908.67+50</f>
        <v>5874.8399999999992</v>
      </c>
      <c r="S29" s="243">
        <f>R4-R29</f>
        <v>214.0600000000004</v>
      </c>
    </row>
    <row r="30" spans="2:19" ht="15" customHeight="1">
      <c r="B30" s="118"/>
      <c r="C30" s="118"/>
      <c r="E30" s="365"/>
      <c r="F30" s="365"/>
      <c r="H30" s="305"/>
      <c r="J30" s="305"/>
      <c r="L30" s="305"/>
      <c r="N30" s="305"/>
      <c r="O30" s="273"/>
      <c r="P30" s="273"/>
      <c r="Q30" s="282"/>
    </row>
    <row r="31" spans="2:19" ht="15" customHeight="1">
      <c r="B31" s="727" t="str">
        <f>_xlfn.CONCAT("Wants - 30 - ",G37*0.3," / Actual = ",D32," (",ROUND((D32/G37)*100,2),")")</f>
        <v>Wants - 30 - 1697.466 / Actual = 802.18 (14.18)</v>
      </c>
      <c r="C31" s="727"/>
      <c r="D31" s="727"/>
      <c r="E31" s="727"/>
      <c r="F31" s="318"/>
      <c r="H31" s="305"/>
      <c r="J31" s="305"/>
      <c r="L31" s="305"/>
      <c r="N31" s="305"/>
      <c r="O31" s="273"/>
      <c r="P31" s="273"/>
      <c r="Q31" s="282"/>
    </row>
    <row r="32" spans="2:19" ht="15" customHeight="1">
      <c r="B32" s="727" t="str">
        <f>IF(ISNUMBER((SEARCH("Over",B$5))),"Operating under budget","Operating over budget")</f>
        <v>Operating over budget</v>
      </c>
      <c r="C32" s="727"/>
      <c r="D32" s="759">
        <f>(E$37-D5-D24-E36)</f>
        <v>802.17999999999961</v>
      </c>
      <c r="E32" s="727"/>
      <c r="F32" s="319">
        <f>SUM(F33:F34)</f>
        <v>802.17999999999961</v>
      </c>
      <c r="H32" s="305"/>
      <c r="J32" s="305"/>
      <c r="L32" s="305"/>
      <c r="N32" s="305"/>
      <c r="O32" s="285">
        <f>SUMIF(O33:O33,"&gt;0")</f>
        <v>0</v>
      </c>
      <c r="P32" s="285" t="s">
        <v>899</v>
      </c>
      <c r="Q32" s="282">
        <f>SUM(Q33:Q34)</f>
        <v>2.4100000000004229</v>
      </c>
    </row>
    <row r="33" spans="2:19" ht="15.75" customHeight="1" outlineLevel="1">
      <c r="B33" s="734"/>
      <c r="C33" s="760"/>
      <c r="D33" s="13" t="s">
        <v>781</v>
      </c>
      <c r="E33" s="365">
        <v>0</v>
      </c>
      <c r="F33" s="365">
        <f>13+6.99+10.99+0.99+25</f>
        <v>56.97</v>
      </c>
      <c r="G33" s="11">
        <f>13</f>
        <v>13</v>
      </c>
      <c r="H33" s="305"/>
      <c r="I33">
        <f>10.99+0.99+25+6.99</f>
        <v>43.970000000000006</v>
      </c>
      <c r="J33" s="305"/>
      <c r="L33" s="305"/>
      <c r="N33" s="305"/>
      <c r="O33" s="274">
        <f t="shared" ref="O33:O35" si="5">SUM(E33:F33)-SUM(G33:N33)</f>
        <v>0</v>
      </c>
      <c r="P33" s="274" t="str">
        <f t="shared" ref="P33:P35" si="6">D33</f>
        <v>Subscriptions</v>
      </c>
      <c r="Q33" s="282">
        <f>IF(O33&lt;0,O33*-1,0)</f>
        <v>0</v>
      </c>
      <c r="S33" s="349"/>
    </row>
    <row r="34" spans="2:19" ht="18" outlineLevel="1">
      <c r="B34" s="734"/>
      <c r="C34" s="760"/>
      <c r="D34" s="13" t="s">
        <v>922</v>
      </c>
      <c r="E34" s="365">
        <v>3.43</v>
      </c>
      <c r="F34" s="365">
        <f>(D32-SUM(F33:F33))-F35</f>
        <v>745.20999999999958</v>
      </c>
      <c r="G34" s="11">
        <f>9.99+15+61.25+53.18+40+7.6+7.6+9.99</f>
        <v>204.61</v>
      </c>
      <c r="H34">
        <f>4.4+10+5.2+3.06+4+13.05+38.45+39.99+5.2+4.9</f>
        <v>128.25</v>
      </c>
      <c r="I34">
        <f>5+10+3+9.25+18.99</f>
        <v>46.239999999999995</v>
      </c>
      <c r="J34" s="305">
        <f>(64-60.65)+4.45+22.35+5.9+10.6+14.6+15.55+3.05</f>
        <v>79.850000000000009</v>
      </c>
      <c r="L34" s="305">
        <f>7.85</f>
        <v>7.85</v>
      </c>
      <c r="M34">
        <f>25+225+29.71+6.49+27</f>
        <v>313.2</v>
      </c>
      <c r="N34" s="305">
        <f>7.99-36.94</f>
        <v>-28.949999999999996</v>
      </c>
      <c r="O34" s="274">
        <f>SUM(E34:F34)-SUM(G34:N34)</f>
        <v>-2.4100000000004229</v>
      </c>
      <c r="P34" s="274" t="str">
        <f t="shared" si="6"/>
        <v>Matt Fun</v>
      </c>
      <c r="Q34" s="282">
        <f>IF(SUM(E34:F34)-SUM(G34:N34)&lt;=0,(SUM(E34:F34)-SUM(G34:N34))*-1,0)</f>
        <v>2.4100000000004229</v>
      </c>
    </row>
    <row r="35" spans="2:19" ht="18" outlineLevel="1">
      <c r="B35" s="7"/>
      <c r="C35" s="284"/>
      <c r="D35" s="13" t="s">
        <v>152</v>
      </c>
      <c r="E35" s="365">
        <v>0</v>
      </c>
      <c r="F35" s="365">
        <v>0</v>
      </c>
      <c r="G35" s="11"/>
      <c r="H35" s="306"/>
      <c r="J35" s="305"/>
      <c r="L35" s="305"/>
      <c r="N35" s="305"/>
      <c r="O35" s="274">
        <f t="shared" si="5"/>
        <v>0</v>
      </c>
      <c r="P35" s="274" t="str">
        <f t="shared" si="6"/>
        <v>Kris</v>
      </c>
      <c r="Q35" s="271">
        <f>IF(F35-SUM(G35:N35)&lt;=0,(F35-SUM(G35:N35))*-1,0)</f>
        <v>0</v>
      </c>
    </row>
    <row r="36" spans="2:19">
      <c r="B36" s="118"/>
      <c r="C36" s="118"/>
      <c r="E36" s="365">
        <f>SUM(E33:E35)+SUM(E25:E29)+SUM(E6:E21)</f>
        <v>1938.41</v>
      </c>
      <c r="F36" s="365"/>
      <c r="G36" s="349"/>
      <c r="J36" s="7"/>
      <c r="L36" s="7"/>
      <c r="N36" s="7"/>
      <c r="O36" s="273"/>
      <c r="P36" s="273"/>
      <c r="Q36" s="282"/>
    </row>
    <row r="37" spans="2:19" ht="18">
      <c r="B37" s="728" t="s">
        <v>817</v>
      </c>
      <c r="C37" s="728"/>
      <c r="D37" s="728"/>
      <c r="E37" s="375">
        <f>G37+I37+K37+M37+N37+E36</f>
        <v>7861.63</v>
      </c>
      <c r="F37" s="379"/>
      <c r="G37" s="271">
        <f>4536.22+1070+12+20+20</f>
        <v>5658.22</v>
      </c>
      <c r="H37" s="282"/>
      <c r="I37" s="271">
        <f>15+250</f>
        <v>265</v>
      </c>
      <c r="J37" s="271"/>
      <c r="K37" s="271"/>
      <c r="L37" s="271"/>
      <c r="M37" s="271"/>
      <c r="N37" s="271"/>
      <c r="O37" s="314" t="str">
        <f>"£" &amp; ROUND(O5+O32+O24+IF(O34&lt;0,0,O34)+O35+O4,2) &amp; " / " &amp; "£" &amp; E37</f>
        <v>£2231.08 / £7861.63</v>
      </c>
      <c r="P37" s="274"/>
      <c r="Q37" s="282">
        <f>SUM(Q32,Q24,Q5)</f>
        <v>18.290000000000418</v>
      </c>
    </row>
    <row r="38" spans="2:19">
      <c r="B38" s="118"/>
      <c r="C38" s="7"/>
      <c r="E38" s="365"/>
      <c r="F38" s="365"/>
      <c r="G38" s="365"/>
      <c r="H38" s="365"/>
    </row>
    <row r="39" spans="2:19" ht="14.4">
      <c r="B39" s="729"/>
      <c r="C39" s="729"/>
      <c r="D39" s="729"/>
      <c r="E39" s="729"/>
      <c r="F39" s="729"/>
      <c r="G39" s="729"/>
      <c r="H39" s="297"/>
      <c r="K39" s="729"/>
      <c r="L39" s="729"/>
      <c r="M39" s="729"/>
      <c r="N39" s="729"/>
      <c r="O39" s="729"/>
      <c r="P39" s="297"/>
    </row>
    <row r="40" spans="2:19" ht="15" customHeight="1">
      <c r="B40" s="726" t="s">
        <v>955</v>
      </c>
      <c r="C40" s="726"/>
      <c r="D40" s="726"/>
      <c r="E40" s="726"/>
      <c r="F40" s="348"/>
      <c r="K40" s="212"/>
      <c r="L40" s="212"/>
      <c r="N40" s="118" t="s">
        <v>1318</v>
      </c>
      <c r="O40" s="316">
        <v>44979</v>
      </c>
      <c r="P40" s="7">
        <f ca="1">DATEDIF(O40,NOW(),"d")</f>
        <v>1272</v>
      </c>
      <c r="Q40">
        <v>27</v>
      </c>
      <c r="R40" t="s">
        <v>1319</v>
      </c>
    </row>
    <row r="41" spans="2:19">
      <c r="B41" s="365"/>
      <c r="C41" s="38"/>
      <c r="D41" s="212"/>
      <c r="E41" s="310" t="s">
        <v>1307</v>
      </c>
      <c r="F41" s="11"/>
      <c r="G41" s="367"/>
      <c r="H41" s="243"/>
      <c r="I41" s="243"/>
      <c r="K41" s="11"/>
      <c r="N41" s="322" t="s">
        <v>1316</v>
      </c>
      <c r="O41" s="42">
        <v>44979</v>
      </c>
      <c r="P41" s="7">
        <f ca="1">DATEDIF(O41,NOW(),"d")</f>
        <v>1272</v>
      </c>
      <c r="Q41">
        <v>7.99</v>
      </c>
      <c r="R41" t="s">
        <v>1317</v>
      </c>
    </row>
    <row r="42" spans="2:19">
      <c r="D42" t="s">
        <v>662</v>
      </c>
      <c r="E42" s="409">
        <v>100</v>
      </c>
      <c r="F42" s="365"/>
      <c r="G42" s="11"/>
      <c r="H42" s="243"/>
      <c r="I42" s="243"/>
      <c r="J42" s="243"/>
      <c r="L42" s="243"/>
      <c r="O42"/>
      <c r="P42"/>
    </row>
    <row r="43" spans="2:19" ht="16.2" customHeight="1">
      <c r="D43" t="s">
        <v>1308</v>
      </c>
      <c r="E43" s="188">
        <v>50</v>
      </c>
      <c r="F43" s="278"/>
      <c r="G43" s="213"/>
      <c r="H43" s="373"/>
      <c r="I43" s="213"/>
      <c r="J43" s="213"/>
      <c r="K43" s="213"/>
      <c r="L43" s="243"/>
      <c r="O43" s="292"/>
      <c r="P43" s="212"/>
    </row>
    <row r="44" spans="2:19">
      <c r="B44" s="378"/>
      <c r="D44" t="s">
        <v>1309</v>
      </c>
      <c r="E44" s="409">
        <f>100+15</f>
        <v>115</v>
      </c>
      <c r="F44" s="361"/>
      <c r="G44" s="407"/>
      <c r="L44" s="243"/>
      <c r="P44" s="56"/>
    </row>
    <row r="45" spans="2:19" ht="14.4">
      <c r="D45" t="s">
        <v>1311</v>
      </c>
      <c r="E45" s="409">
        <v>50</v>
      </c>
      <c r="F45" s="361"/>
      <c r="P45"/>
    </row>
    <row r="46" spans="2:19" ht="14.4">
      <c r="D46" s="212" t="s">
        <v>1312</v>
      </c>
      <c r="E46" s="410">
        <v>40</v>
      </c>
      <c r="F46" s="361"/>
      <c r="G46" s="407"/>
      <c r="P46" s="212"/>
      <c r="Q46" s="212"/>
    </row>
    <row r="47" spans="2:19" ht="15" customHeight="1">
      <c r="D47" t="s">
        <v>1313</v>
      </c>
      <c r="E47" s="412">
        <v>30</v>
      </c>
      <c r="F47" s="361"/>
      <c r="P47" s="56"/>
      <c r="Q47" s="38"/>
    </row>
    <row r="48" spans="2:19" ht="14.4">
      <c r="D48" t="s">
        <v>970</v>
      </c>
      <c r="E48" s="412">
        <v>30</v>
      </c>
      <c r="F48" s="360"/>
      <c r="O48"/>
      <c r="P48"/>
    </row>
    <row r="49" spans="2:16" ht="15" customHeight="1">
      <c r="E49" s="413"/>
      <c r="F49" s="360"/>
      <c r="O49"/>
      <c r="P49"/>
    </row>
    <row r="50" spans="2:16">
      <c r="E50" s="412"/>
      <c r="F50" s="383"/>
      <c r="G50">
        <f>3452.91-2949.58-375</f>
        <v>128.32999999999993</v>
      </c>
      <c r="O50"/>
      <c r="P50"/>
    </row>
    <row r="51" spans="2:16">
      <c r="B51" s="11"/>
      <c r="E51" s="405"/>
      <c r="F51" s="384"/>
      <c r="O51"/>
      <c r="P51"/>
    </row>
    <row r="52" spans="2:16" ht="14.4">
      <c r="B52" s="11"/>
      <c r="D52" s="212"/>
      <c r="E52" s="411"/>
      <c r="F52" s="79"/>
      <c r="G52" s="407"/>
      <c r="O52"/>
      <c r="P52"/>
    </row>
    <row r="53" spans="2:16" ht="14.4">
      <c r="E53" s="405"/>
      <c r="F53" s="79"/>
      <c r="O53"/>
      <c r="P53"/>
    </row>
    <row r="54" spans="2:16" ht="14.4">
      <c r="B54" s="212"/>
      <c r="C54" s="212"/>
      <c r="E54" s="405"/>
      <c r="F54" s="7"/>
      <c r="O54"/>
      <c r="P54"/>
    </row>
    <row r="55" spans="2:16" ht="14.4">
      <c r="C55" s="56"/>
      <c r="D55" s="243"/>
      <c r="E55"/>
      <c r="F55"/>
      <c r="O55"/>
      <c r="P55"/>
    </row>
    <row r="56" spans="2:16" ht="15.75" customHeight="1">
      <c r="C56" s="56"/>
      <c r="E56"/>
      <c r="F56"/>
      <c r="O56"/>
      <c r="P56"/>
    </row>
    <row r="57" spans="2:16" ht="14.4">
      <c r="C57" s="56"/>
      <c r="E57"/>
      <c r="F57"/>
      <c r="O57"/>
      <c r="P57" s="771"/>
    </row>
    <row r="58" spans="2:16" ht="14.4">
      <c r="C58" s="56"/>
      <c r="E58"/>
      <c r="F58"/>
      <c r="O58"/>
      <c r="P58" s="771"/>
    </row>
    <row r="59" spans="2:16" ht="14.4">
      <c r="C59" s="56"/>
      <c r="E59" s="243"/>
      <c r="F59"/>
      <c r="K59" s="243"/>
      <c r="O59"/>
      <c r="P59" s="771"/>
    </row>
    <row r="60" spans="2:16" ht="14.4">
      <c r="C60" s="56"/>
      <c r="D60" s="243"/>
      <c r="E60"/>
      <c r="F60"/>
      <c r="O60"/>
      <c r="P60" s="771"/>
    </row>
    <row r="61" spans="2:16" ht="14.4">
      <c r="C61" s="56"/>
      <c r="E61"/>
      <c r="F61"/>
      <c r="O61"/>
      <c r="P61"/>
    </row>
    <row r="62" spans="2:16" ht="14.4">
      <c r="C62" s="56"/>
      <c r="E62" s="347"/>
      <c r="F62"/>
      <c r="G62" s="771"/>
      <c r="H62" s="771"/>
      <c r="I62" s="771"/>
      <c r="J62" s="771"/>
      <c r="K62" s="771"/>
      <c r="L62" s="771"/>
      <c r="M62" s="771"/>
      <c r="N62" s="771"/>
      <c r="O62" s="771"/>
      <c r="P62" s="771"/>
    </row>
    <row r="63" spans="2:16" ht="14.4">
      <c r="C63" s="56"/>
      <c r="E63" s="332"/>
      <c r="F63" s="332"/>
      <c r="O63"/>
      <c r="P63" s="771"/>
    </row>
    <row r="64" spans="2:16" ht="14.4">
      <c r="C64" s="56"/>
      <c r="E64"/>
      <c r="F64"/>
      <c r="O64"/>
      <c r="P64" s="771"/>
    </row>
    <row r="65" spans="2:16" ht="14.4">
      <c r="C65" s="56"/>
      <c r="E65"/>
      <c r="F65"/>
      <c r="O65"/>
      <c r="P65" s="771"/>
    </row>
    <row r="66" spans="2:16">
      <c r="E66" s="365"/>
      <c r="F66" s="365"/>
      <c r="O66"/>
      <c r="P66" s="771"/>
    </row>
    <row r="67" spans="2:16" ht="14.4">
      <c r="B67" s="212"/>
      <c r="C67" s="294"/>
      <c r="D67" s="212"/>
      <c r="E67" s="212"/>
      <c r="F67" s="212"/>
      <c r="O67"/>
      <c r="P67"/>
    </row>
    <row r="68" spans="2:16" ht="14.4">
      <c r="C68" s="56"/>
      <c r="D68" s="56"/>
      <c r="E68" s="56"/>
      <c r="F68" s="56"/>
      <c r="G68" s="771"/>
      <c r="H68" s="771"/>
      <c r="I68" s="771"/>
      <c r="J68" s="771"/>
      <c r="K68" s="771"/>
      <c r="L68" s="771"/>
      <c r="M68" s="771"/>
      <c r="N68" s="771"/>
      <c r="O68" s="771"/>
      <c r="P68"/>
    </row>
    <row r="69" spans="2:16" ht="14.4">
      <c r="C69" s="56"/>
      <c r="D69" s="56"/>
      <c r="E69" s="56"/>
      <c r="F69" s="56"/>
      <c r="O69"/>
      <c r="P69" s="771"/>
    </row>
    <row r="70" spans="2:16" ht="14.4">
      <c r="C70" s="56"/>
      <c r="D70" s="56"/>
      <c r="E70" s="56"/>
      <c r="F70" s="56"/>
      <c r="O70"/>
      <c r="P70" s="771"/>
    </row>
    <row r="71" spans="2:16" ht="14.4">
      <c r="C71" s="56"/>
      <c r="D71" s="56"/>
      <c r="E71" s="56"/>
      <c r="F71" s="56"/>
      <c r="O71"/>
      <c r="P71" s="771"/>
    </row>
    <row r="72" spans="2:16" ht="14.4">
      <c r="C72" s="56"/>
      <c r="D72" s="56"/>
      <c r="E72" s="56"/>
      <c r="F72" s="56"/>
      <c r="O72"/>
      <c r="P72" s="771"/>
    </row>
    <row r="73" spans="2:16" ht="14.4">
      <c r="C73" s="56"/>
      <c r="E73" s="56"/>
      <c r="F73" s="56"/>
      <c r="O73"/>
      <c r="P73"/>
    </row>
    <row r="74" spans="2:16">
      <c r="O74"/>
      <c r="P74"/>
    </row>
    <row r="75" spans="2:16" ht="14.4">
      <c r="E75" s="212"/>
      <c r="F75" s="212"/>
      <c r="O75"/>
      <c r="P75" s="771"/>
    </row>
    <row r="76" spans="2:16" ht="14.4">
      <c r="E76" s="56"/>
      <c r="F76" s="56"/>
      <c r="O76"/>
      <c r="P76" s="771"/>
    </row>
    <row r="77" spans="2:16" ht="14.4">
      <c r="E77" s="56"/>
      <c r="F77" s="56"/>
      <c r="O77"/>
      <c r="P77" s="771"/>
    </row>
    <row r="78" spans="2:16" ht="14.4">
      <c r="E78" s="56"/>
      <c r="F78" s="56"/>
      <c r="O78"/>
      <c r="P78" s="771"/>
    </row>
    <row r="79" spans="2:16" ht="14.4">
      <c r="E79" s="56"/>
      <c r="F79" s="56"/>
      <c r="O79"/>
      <c r="P79"/>
    </row>
    <row r="80" spans="2:16" ht="14.4">
      <c r="E80" s="56"/>
      <c r="F80" s="56"/>
      <c r="O80"/>
      <c r="P80"/>
    </row>
    <row r="81" spans="5:16" ht="14.4">
      <c r="E81" s="56"/>
      <c r="F81" s="56"/>
      <c r="O81"/>
      <c r="P81" s="771"/>
    </row>
    <row r="82" spans="5:16">
      <c r="O82"/>
      <c r="P82" s="771"/>
    </row>
    <row r="83" spans="5:16" ht="14.4">
      <c r="E83" s="212"/>
      <c r="F83" s="212"/>
      <c r="O83"/>
      <c r="P83" s="771"/>
    </row>
    <row r="84" spans="5:16" ht="14.4">
      <c r="E84" s="56"/>
      <c r="F84" s="56"/>
      <c r="O84"/>
      <c r="P84" s="771"/>
    </row>
    <row r="85" spans="5:16" ht="14.4">
      <c r="E85" s="56"/>
      <c r="F85" s="56"/>
      <c r="O85"/>
      <c r="P85"/>
    </row>
    <row r="86" spans="5:16" ht="14.4">
      <c r="E86" s="56"/>
      <c r="F86" s="56"/>
      <c r="O86"/>
      <c r="P86"/>
    </row>
    <row r="87" spans="5:16" ht="14.4">
      <c r="E87" s="56"/>
      <c r="F87" s="56"/>
      <c r="O87"/>
      <c r="P87" s="771"/>
    </row>
    <row r="88" spans="5:16" ht="14.4">
      <c r="E88" s="56"/>
      <c r="F88" s="56"/>
      <c r="O88"/>
      <c r="P88" s="771"/>
    </row>
    <row r="89" spans="5:16" ht="14.4">
      <c r="E89" s="56"/>
      <c r="F89" s="56"/>
      <c r="O89"/>
      <c r="P89" s="771"/>
    </row>
    <row r="90" spans="5:16">
      <c r="E90" s="365"/>
      <c r="F90" s="365"/>
      <c r="O90"/>
      <c r="P90" s="771"/>
    </row>
    <row r="91" spans="5:16">
      <c r="O91"/>
      <c r="P91"/>
    </row>
    <row r="92" spans="5:16">
      <c r="O92"/>
      <c r="P92"/>
    </row>
  </sheetData>
  <mergeCells count="31">
    <mergeCell ref="B4:E4"/>
    <mergeCell ref="B1:O1"/>
    <mergeCell ref="G3:H3"/>
    <mergeCell ref="I3:J3"/>
    <mergeCell ref="K3:L3"/>
    <mergeCell ref="M3:N3"/>
    <mergeCell ref="B37:D37"/>
    <mergeCell ref="B5:C5"/>
    <mergeCell ref="D5:E5"/>
    <mergeCell ref="B6:B20"/>
    <mergeCell ref="C6:C20"/>
    <mergeCell ref="B23:E23"/>
    <mergeCell ref="B24:C24"/>
    <mergeCell ref="D24:E24"/>
    <mergeCell ref="B31:E31"/>
    <mergeCell ref="B32:C32"/>
    <mergeCell ref="D32:E32"/>
    <mergeCell ref="B33:B34"/>
    <mergeCell ref="C33:C34"/>
    <mergeCell ref="P87:P90"/>
    <mergeCell ref="B39:G39"/>
    <mergeCell ref="K39:O39"/>
    <mergeCell ref="B40:C40"/>
    <mergeCell ref="D40:E40"/>
    <mergeCell ref="P57:P60"/>
    <mergeCell ref="G62:P62"/>
    <mergeCell ref="P63:P66"/>
    <mergeCell ref="G68:O68"/>
    <mergeCell ref="P69:P72"/>
    <mergeCell ref="P75:P78"/>
    <mergeCell ref="P81:P84"/>
  </mergeCells>
  <pageMargins left="0.7" right="0.7" top="0.75" bottom="0.75" header="0.3" footer="0.3"/>
  <pageSetup orientation="portrait" r:id="rId1"/>
  <legacyDrawing r:id="rId2"/>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F0314-AE8A-4D94-A36D-46839AF4C300}">
  <dimension ref="A1:T92"/>
  <sheetViews>
    <sheetView topLeftCell="H1" zoomScale="80" zoomScaleNormal="80" workbookViewId="0">
      <selection activeCell="R4" sqref="R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JAN-FEB 2023</v>
      </c>
      <c r="B1" s="730" t="str">
        <f ca="1">MID(CELL("filename",B1),FIND("]",CELL("filename",B1))+1,255)</f>
        <v>FEB-MAR 2023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c r="R2">
        <f>402.34+270+98.65+92.79</f>
        <v>863.77999999999986</v>
      </c>
    </row>
    <row r="3" spans="1:20">
      <c r="B3" s="118"/>
      <c r="C3" s="118"/>
      <c r="D3" s="290" t="str">
        <f>"£" &amp; ROUND(O5+O32+O24+IF(O34&lt;0,0,O34)+O35+O4,2) &amp; " / " &amp; "£" &amp; E37</f>
        <v>£1580.68 / £5694.46</v>
      </c>
      <c r="E3" s="365">
        <f>2802.81-2787.81</f>
        <v>15</v>
      </c>
      <c r="F3" s="365"/>
      <c r="G3" s="732">
        <v>44981</v>
      </c>
      <c r="H3" s="732"/>
      <c r="I3" s="732">
        <f>G3+7</f>
        <v>44988</v>
      </c>
      <c r="J3" s="732"/>
      <c r="K3" s="732">
        <f>I3+7</f>
        <v>44995</v>
      </c>
      <c r="L3" s="732"/>
      <c r="M3" s="732">
        <f>K3+7</f>
        <v>45002</v>
      </c>
      <c r="N3" s="732"/>
      <c r="O3" s="308">
        <v>0</v>
      </c>
      <c r="P3" s="325" t="s">
        <v>1224</v>
      </c>
      <c r="Q3" s="282"/>
      <c r="R3" s="243">
        <f>S4-O4</f>
        <v>1073.4500000000003</v>
      </c>
    </row>
    <row r="4" spans="1:20" ht="15" customHeight="1">
      <c r="B4" s="727" t="str">
        <f>_xlfn.CONCAT("Expenses - 50 - ",G37*0.5," / Actual = ",ROUND(D5,2)," (",ROUND((D5/G37)*100,2),")")</f>
        <v>Expenses - 50 - 2388.955 / Actual = 2202.17 (46.09)</v>
      </c>
      <c r="C4" s="727"/>
      <c r="D4" s="727"/>
      <c r="E4" s="727"/>
      <c r="F4" s="318"/>
      <c r="H4" s="304">
        <f>SUM(H5:H35)</f>
        <v>186.42</v>
      </c>
      <c r="J4" s="304">
        <f>SUM(J5:J35)</f>
        <v>329.56000000000006</v>
      </c>
      <c r="L4" s="304">
        <f>SUM(L5:L35)</f>
        <v>24.07</v>
      </c>
      <c r="N4" s="304">
        <f>SUM(N5:N35)</f>
        <v>766.53</v>
      </c>
      <c r="O4" s="308">
        <f>IF(H36&lt;&gt;"PAID",H4,0)+IF(J36&lt;&gt;"PAID",J4,0)+IF(L36&lt;&gt;"PAID",L4,0)+IF(N36&lt;&gt;"PAID",N4,0)</f>
        <v>1306.58</v>
      </c>
      <c r="P4" s="309" t="s">
        <v>973</v>
      </c>
      <c r="Q4" s="282"/>
      <c r="R4" s="243">
        <f>O4+402.34+270+98.65+92.79</f>
        <v>2170.3599999999997</v>
      </c>
      <c r="S4" s="243">
        <f>2380.03</f>
        <v>2380.0300000000002</v>
      </c>
    </row>
    <row r="5" spans="1:20" ht="15" customHeight="1">
      <c r="B5" s="733" t="str">
        <f>IF(D5&gt;E$37*0.5,ROUND(D5-E$37*0.5,2) &amp; " Over",ROUND(E$37*0.5-D5,2) &amp; " Under")</f>
        <v>645.06 Under</v>
      </c>
      <c r="C5" s="733"/>
      <c r="D5" s="761">
        <f>ROUND(SUM(F6:F21),2)</f>
        <v>2202.17</v>
      </c>
      <c r="E5" s="761"/>
      <c r="F5" s="321"/>
      <c r="G5" s="284"/>
      <c r="H5" s="306"/>
      <c r="I5" s="79"/>
      <c r="J5" s="306"/>
      <c r="K5" s="79"/>
      <c r="L5" s="306"/>
      <c r="M5" s="79"/>
      <c r="N5" s="305"/>
      <c r="O5" s="285">
        <f>SUMIF(O6:O21,"&gt;0")</f>
        <v>0</v>
      </c>
      <c r="P5" s="285" t="s">
        <v>892</v>
      </c>
      <c r="Q5" s="282">
        <f>SUM(Q6:Q20)</f>
        <v>25.37000000000009</v>
      </c>
      <c r="R5" s="243"/>
    </row>
    <row r="6" spans="1:20" ht="15" customHeight="1">
      <c r="B6" s="734" t="str">
        <f>"50%: " &amp; E$37*0.5</f>
        <v>50%: 2847.23</v>
      </c>
      <c r="C6" s="734" t="str">
        <f>ROUND((D5/E$37)*100,2) &amp; "%: " &amp;D5</f>
        <v>38.67%: 2202.17</v>
      </c>
      <c r="D6" s="13" t="s">
        <v>805</v>
      </c>
      <c r="E6" s="365">
        <v>0</v>
      </c>
      <c r="F6" s="374">
        <v>150</v>
      </c>
      <c r="H6" s="304">
        <f>24.82+20.08+20.01</f>
        <v>64.91</v>
      </c>
      <c r="J6" s="305">
        <f>22.2+25.17</f>
        <v>47.370000000000005</v>
      </c>
      <c r="L6" s="305"/>
      <c r="M6">
        <v>25</v>
      </c>
      <c r="N6" s="305">
        <f>20.18</f>
        <v>20.18</v>
      </c>
      <c r="O6" s="274">
        <f>SUM(E6:F6)-SUM(G6:N6)</f>
        <v>-7.460000000000008</v>
      </c>
      <c r="P6" s="274" t="str">
        <f t="shared" ref="P6:P21" si="0">D6</f>
        <v>Car Petrol / commuting</v>
      </c>
      <c r="Q6" s="282">
        <f t="shared" ref="Q6:Q21" si="1">IF(O6&lt;0,O6*-1,0)</f>
        <v>7.460000000000008</v>
      </c>
      <c r="R6" s="243">
        <f>22.1+40</f>
        <v>62.1</v>
      </c>
    </row>
    <row r="7" spans="1:20" ht="15" customHeight="1">
      <c r="B7" s="734"/>
      <c r="C7" s="734"/>
      <c r="D7" s="13" t="s">
        <v>169</v>
      </c>
      <c r="E7" s="365">
        <v>0</v>
      </c>
      <c r="F7" s="365">
        <f>400</f>
        <v>400</v>
      </c>
      <c r="H7" s="304">
        <f>11.5+15.35+21.94+33.54+7.08+33.15</f>
        <v>122.56</v>
      </c>
      <c r="J7" s="305">
        <f>1.5+78.26+15.78</f>
        <v>95.54</v>
      </c>
      <c r="L7" s="305"/>
      <c r="N7" s="305">
        <f>65.7+19.97+5.48+64.5+31.55</f>
        <v>187.20000000000002</v>
      </c>
      <c r="O7" s="274">
        <f>SUM(E7:F7)-SUM(G7:N7)</f>
        <v>-5.3000000000000682</v>
      </c>
      <c r="P7" s="274" t="str">
        <f t="shared" si="0"/>
        <v>Food</v>
      </c>
      <c r="Q7" s="282">
        <f t="shared" si="1"/>
        <v>5.3000000000000682</v>
      </c>
      <c r="R7" s="243">
        <f>54.93+30.7+16.89</f>
        <v>102.52</v>
      </c>
    </row>
    <row r="8" spans="1:20" ht="15" customHeight="1">
      <c r="B8" s="734"/>
      <c r="C8" s="734"/>
      <c r="D8" s="13" t="s">
        <v>153</v>
      </c>
      <c r="E8" s="365">
        <v>0</v>
      </c>
      <c r="F8" s="365">
        <f>184-18.76</f>
        <v>165.24</v>
      </c>
      <c r="G8">
        <f>29.69+84</f>
        <v>113.69</v>
      </c>
      <c r="H8" s="305"/>
      <c r="J8" s="305">
        <f>24.05</f>
        <v>24.05</v>
      </c>
      <c r="L8" s="305"/>
      <c r="M8">
        <f>3.55</f>
        <v>3.55</v>
      </c>
      <c r="N8" s="305">
        <f>27.5</f>
        <v>27.5</v>
      </c>
      <c r="O8" s="274">
        <f>SUM(E8:F8)-SUM(G8:N8)</f>
        <v>-3.5500000000000114</v>
      </c>
      <c r="P8" s="274" t="str">
        <f t="shared" si="0"/>
        <v>Luna</v>
      </c>
      <c r="Q8" s="282">
        <f t="shared" si="1"/>
        <v>3.5500000000000114</v>
      </c>
    </row>
    <row r="9" spans="1:20" ht="15" customHeight="1">
      <c r="B9" s="734"/>
      <c r="C9" s="734"/>
      <c r="D9" s="13" t="s">
        <v>1079</v>
      </c>
      <c r="E9" s="365">
        <v>0</v>
      </c>
      <c r="F9" s="365">
        <f>40</f>
        <v>40</v>
      </c>
      <c r="H9" s="305"/>
      <c r="J9" s="305"/>
      <c r="L9" s="305">
        <v>24.07</v>
      </c>
      <c r="N9" s="305">
        <f>24.99</f>
        <v>24.99</v>
      </c>
      <c r="O9" s="274">
        <f>SUM(E9:F9)-SUM(G9:N9)</f>
        <v>-9.0600000000000023</v>
      </c>
      <c r="P9" s="274" t="str">
        <f t="shared" si="0"/>
        <v>Creamy</v>
      </c>
      <c r="Q9" s="282">
        <f t="shared" si="1"/>
        <v>9.0600000000000023</v>
      </c>
    </row>
    <row r="10" spans="1:20" ht="15" customHeight="1" outlineLevel="1">
      <c r="B10" s="734"/>
      <c r="C10" s="734"/>
      <c r="D10" s="201" t="s">
        <v>595</v>
      </c>
      <c r="E10" s="365">
        <v>0</v>
      </c>
      <c r="F10" s="365">
        <f>452.64</f>
        <v>452.64</v>
      </c>
      <c r="H10" s="304"/>
      <c r="J10" s="305"/>
      <c r="L10" s="305"/>
      <c r="M10">
        <v>452.64</v>
      </c>
      <c r="N10" s="305"/>
      <c r="O10" s="274">
        <f t="shared" ref="O10:O15" si="2">SUM(E10:F10)-SUM(G10:N10)</f>
        <v>0</v>
      </c>
      <c r="P10" s="274" t="str">
        <f t="shared" si="0"/>
        <v>Mortgage</v>
      </c>
      <c r="Q10" s="282">
        <f t="shared" si="1"/>
        <v>0</v>
      </c>
      <c r="R10" s="243"/>
    </row>
    <row r="11" spans="1:20" ht="15" customHeight="1" outlineLevel="1">
      <c r="B11" s="734"/>
      <c r="C11" s="734"/>
      <c r="D11" s="201" t="s">
        <v>596</v>
      </c>
      <c r="E11" s="365">
        <v>0</v>
      </c>
      <c r="F11" s="365">
        <v>139</v>
      </c>
      <c r="H11" s="305"/>
      <c r="J11" s="305"/>
      <c r="L11" s="305"/>
      <c r="M11">
        <v>139</v>
      </c>
      <c r="N11" s="305"/>
      <c r="O11" s="274">
        <f t="shared" si="2"/>
        <v>0</v>
      </c>
      <c r="P11" s="274" t="str">
        <f t="shared" si="0"/>
        <v>Council tax</v>
      </c>
      <c r="Q11" s="282">
        <f t="shared" si="1"/>
        <v>0</v>
      </c>
    </row>
    <row r="12" spans="1:20" ht="15" customHeight="1" outlineLevel="1">
      <c r="B12" s="734"/>
      <c r="C12" s="734"/>
      <c r="D12" s="201" t="s">
        <v>1002</v>
      </c>
      <c r="E12" s="365">
        <v>0</v>
      </c>
      <c r="F12" s="365">
        <f>24+65.56+1</f>
        <v>90.56</v>
      </c>
      <c r="G12">
        <f>1+65.56</f>
        <v>66.56</v>
      </c>
      <c r="H12" s="305"/>
      <c r="J12" s="305"/>
      <c r="L12" s="305"/>
      <c r="M12">
        <v>24</v>
      </c>
      <c r="N12" s="305"/>
      <c r="O12" s="274">
        <f>SUM(E12:F12)-SUM(G12:N12)</f>
        <v>0</v>
      </c>
      <c r="P12" s="274" t="str">
        <f t="shared" si="0"/>
        <v>Utilities (G,W,E,HTB)</v>
      </c>
      <c r="Q12" s="282">
        <f t="shared" si="1"/>
        <v>0</v>
      </c>
    </row>
    <row r="13" spans="1:20" ht="15" customHeight="1" outlineLevel="1">
      <c r="B13" s="734"/>
      <c r="C13" s="734"/>
      <c r="D13" s="201" t="s">
        <v>996</v>
      </c>
      <c r="E13" s="365">
        <v>0</v>
      </c>
      <c r="F13" s="365">
        <v>16.440000000000001</v>
      </c>
      <c r="G13">
        <v>16.440000000000001</v>
      </c>
      <c r="H13" s="305"/>
      <c r="J13" s="305"/>
      <c r="L13" s="305"/>
      <c r="N13" s="305"/>
      <c r="O13" s="274">
        <f>SUM(E13:F13)-SUM(G13:N13)</f>
        <v>0</v>
      </c>
      <c r="P13" s="274" t="str">
        <f t="shared" si="0"/>
        <v>Home Insurance</v>
      </c>
      <c r="Q13" s="282">
        <f t="shared" si="1"/>
        <v>0</v>
      </c>
    </row>
    <row r="14" spans="1:20" ht="15" customHeight="1" outlineLevel="1">
      <c r="B14" s="734"/>
      <c r="C14" s="734"/>
      <c r="D14" s="201" t="s">
        <v>1056</v>
      </c>
      <c r="E14" s="365">
        <v>0</v>
      </c>
      <c r="F14" s="365">
        <f>8+35.99+17.99</f>
        <v>61.980000000000004</v>
      </c>
      <c r="G14">
        <v>17.989999999999998</v>
      </c>
      <c r="H14" s="305"/>
      <c r="J14" s="305"/>
      <c r="L14" s="305"/>
      <c r="M14">
        <f>8+35.99</f>
        <v>43.99</v>
      </c>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4.52+15.97+30.8</f>
        <v>51.290000000000006</v>
      </c>
      <c r="G15">
        <f>20.49+30.8</f>
        <v>51.29</v>
      </c>
      <c r="H15" s="305"/>
      <c r="I15" s="11"/>
      <c r="J15" s="305"/>
      <c r="L15" s="305"/>
      <c r="N15" s="305"/>
      <c r="O15" s="274">
        <f t="shared" si="2"/>
        <v>0</v>
      </c>
      <c r="P15" s="274" t="str">
        <f t="shared" si="0"/>
        <v>Life / Income Insurance</v>
      </c>
      <c r="Q15" s="282">
        <f t="shared" si="1"/>
        <v>0</v>
      </c>
    </row>
    <row r="16" spans="1:20" ht="15" customHeight="1" outlineLevel="1">
      <c r="B16" s="734"/>
      <c r="C16" s="734"/>
      <c r="D16" s="201" t="s">
        <v>602</v>
      </c>
      <c r="E16" s="365">
        <v>0</v>
      </c>
      <c r="F16" s="365">
        <v>25</v>
      </c>
      <c r="H16" s="305"/>
      <c r="J16" s="305"/>
      <c r="K16">
        <v>25</v>
      </c>
      <c r="L16" s="305"/>
      <c r="N16" s="305"/>
      <c r="O16" s="274">
        <f t="shared" ref="O16:O21" si="3">SUM(E16:F16)-SUM(G16:N16)</f>
        <v>0</v>
      </c>
      <c r="P16" s="274" t="str">
        <f t="shared" si="0"/>
        <v>Broadband / TV</v>
      </c>
      <c r="Q16" s="282">
        <f t="shared" si="1"/>
        <v>0</v>
      </c>
    </row>
    <row r="17" spans="2:18" ht="15" customHeight="1" outlineLevel="1">
      <c r="B17" s="734"/>
      <c r="C17" s="734"/>
      <c r="D17" s="201" t="s">
        <v>582</v>
      </c>
      <c r="E17" s="365">
        <v>0</v>
      </c>
      <c r="F17" s="365">
        <v>7.99</v>
      </c>
      <c r="H17" s="305"/>
      <c r="I17">
        <v>7.99</v>
      </c>
      <c r="J17" s="305"/>
      <c r="L17" s="305"/>
      <c r="N17" s="305"/>
      <c r="O17" s="274">
        <f t="shared" si="3"/>
        <v>0</v>
      </c>
      <c r="P17" s="274" t="str">
        <f t="shared" si="0"/>
        <v>Onedrive (6th)</v>
      </c>
      <c r="Q17" s="282">
        <f t="shared" si="1"/>
        <v>0</v>
      </c>
    </row>
    <row r="18" spans="2:18" ht="15" customHeight="1" outlineLevel="1">
      <c r="B18" s="734"/>
      <c r="C18" s="734"/>
      <c r="D18" s="201" t="s">
        <v>788</v>
      </c>
      <c r="E18" s="365">
        <v>0</v>
      </c>
      <c r="F18" s="365">
        <f>11.55</f>
        <v>11.55</v>
      </c>
      <c r="G18">
        <v>11.55</v>
      </c>
      <c r="H18" s="305"/>
      <c r="J18" s="305"/>
      <c r="L18" s="305"/>
      <c r="N18" s="305"/>
      <c r="O18" s="274">
        <f t="shared" si="3"/>
        <v>0</v>
      </c>
      <c r="P18" s="274" t="str">
        <f t="shared" si="0"/>
        <v>Matt Phone</v>
      </c>
      <c r="Q18" s="282">
        <f t="shared" si="1"/>
        <v>0</v>
      </c>
    </row>
    <row r="19" spans="2:18" ht="15" customHeight="1" outlineLevel="1">
      <c r="B19" s="734"/>
      <c r="C19" s="734"/>
      <c r="D19" s="201" t="s">
        <v>690</v>
      </c>
      <c r="E19" s="365">
        <v>0</v>
      </c>
      <c r="F19" s="365">
        <f>11.81+32.71+47.69+14.43+468.84</f>
        <v>575.48</v>
      </c>
      <c r="G19">
        <f>11.81+32.71+14.43+468.84</f>
        <v>527.79</v>
      </c>
      <c r="H19" s="305"/>
      <c r="I19">
        <v>47.69</v>
      </c>
      <c r="J19" s="305"/>
      <c r="L19" s="305"/>
      <c r="N19" s="305"/>
      <c r="O19" s="274">
        <f t="shared" si="3"/>
        <v>0</v>
      </c>
      <c r="P19" s="274" t="str">
        <f t="shared" si="0"/>
        <v>Cars</v>
      </c>
      <c r="Q19" s="282">
        <f t="shared" si="1"/>
        <v>0</v>
      </c>
    </row>
    <row r="20" spans="2:18" ht="15" customHeight="1" outlineLevel="1">
      <c r="B20" s="734"/>
      <c r="C20" s="734"/>
      <c r="D20" s="201" t="s">
        <v>944</v>
      </c>
      <c r="E20" s="365">
        <v>0</v>
      </c>
      <c r="F20" s="365">
        <v>15</v>
      </c>
      <c r="G20">
        <v>15</v>
      </c>
      <c r="H20" s="305"/>
      <c r="J20" s="305"/>
      <c r="L20" s="305"/>
      <c r="N20" s="305"/>
      <c r="O20" s="274">
        <f t="shared" si="3"/>
        <v>0</v>
      </c>
      <c r="P20" s="274" t="str">
        <f t="shared" si="0"/>
        <v>Windows</v>
      </c>
      <c r="Q20" s="282">
        <f t="shared" si="1"/>
        <v>0</v>
      </c>
    </row>
    <row r="21" spans="2:18" ht="15" customHeight="1" outlineLevel="1">
      <c r="B21" s="7"/>
      <c r="C21" s="7"/>
      <c r="D21" s="201" t="s">
        <v>814</v>
      </c>
      <c r="E21" s="365">
        <v>0</v>
      </c>
      <c r="F21" s="365">
        <v>0</v>
      </c>
      <c r="H21" s="305"/>
      <c r="J21" s="305"/>
      <c r="L21" s="305"/>
      <c r="N21" s="305"/>
      <c r="O21" s="274">
        <f t="shared" si="3"/>
        <v>0</v>
      </c>
      <c r="P21" s="274" t="str">
        <f t="shared" si="0"/>
        <v>CC</v>
      </c>
      <c r="Q21" s="282">
        <f t="shared" si="1"/>
        <v>0</v>
      </c>
    </row>
    <row r="22" spans="2:18" ht="15" customHeight="1">
      <c r="B22" s="118"/>
      <c r="C22" s="118"/>
      <c r="D22" s="188"/>
      <c r="E22" s="365"/>
      <c r="F22" s="365"/>
      <c r="H22" s="305"/>
      <c r="J22" s="305"/>
      <c r="L22" s="305"/>
      <c r="N22" s="305"/>
      <c r="O22" s="273"/>
      <c r="P22" s="273"/>
      <c r="Q22" s="282"/>
    </row>
    <row r="23" spans="2:18" ht="15" customHeight="1">
      <c r="B23" s="736" t="str">
        <f>_xlfn.CONCAT("Savings - 20 - ",G37*0.2," / Actual = ",D24," (",ROUND((D24/G37)*100,2),")")</f>
        <v>Savings - 20 - 955.582 / Actual = 2351.22 (49.21)</v>
      </c>
      <c r="C23" s="736"/>
      <c r="D23" s="736"/>
      <c r="E23" s="736"/>
      <c r="F23" s="320"/>
      <c r="H23" s="305"/>
      <c r="J23" s="305"/>
      <c r="L23" s="305"/>
      <c r="N23" s="305"/>
      <c r="O23" s="274"/>
      <c r="P23" s="274"/>
      <c r="Q23" s="282"/>
    </row>
    <row r="24" spans="2:18" ht="15" customHeight="1">
      <c r="B24" s="727" t="str">
        <f>IF(ISNUMBER((SEARCH("Over",C$5))),"Operating under budget","Operating over budget")</f>
        <v>Operating over budget</v>
      </c>
      <c r="C24" s="727"/>
      <c r="D24" s="759">
        <f>SUM(F25:F29)</f>
        <v>2351.2200000000003</v>
      </c>
      <c r="E24" s="759"/>
      <c r="F24" s="319"/>
      <c r="H24" s="305"/>
      <c r="J24" s="305"/>
      <c r="L24" s="305"/>
      <c r="N24" s="305"/>
      <c r="O24" s="285">
        <f>SUMIF(O25:O29,"&gt;0")</f>
        <v>278.09999999999957</v>
      </c>
      <c r="P24" s="285" t="s">
        <v>895</v>
      </c>
      <c r="Q24" s="282">
        <f>SUM(Q25:Q29)</f>
        <v>0</v>
      </c>
    </row>
    <row r="25" spans="2:18" ht="15" customHeight="1" outlineLevel="1">
      <c r="B25" s="7" t="str">
        <f>"20% : " &amp; E$37*0.2</f>
        <v>20% : 1138.892</v>
      </c>
      <c r="C25" s="7" t="str">
        <f>"20% : " &amp; E$37*0.2</f>
        <v>20% : 1138.892</v>
      </c>
      <c r="D25" s="300" t="s">
        <v>590</v>
      </c>
      <c r="E25" s="365">
        <v>0</v>
      </c>
      <c r="F25" s="365">
        <f>75+60+15+15+40+199.5+25+25+38.05</f>
        <v>492.55</v>
      </c>
      <c r="G25">
        <v>165</v>
      </c>
      <c r="H25" s="305"/>
      <c r="J25" s="305"/>
      <c r="K25">
        <f>4.99</f>
        <v>4.99</v>
      </c>
      <c r="L25" s="315"/>
      <c r="M25">
        <f>17.98</f>
        <v>17.98</v>
      </c>
      <c r="N25" s="305"/>
      <c r="O25" s="274">
        <f>SUM(E25:F25)-SUM(G25:N25)-Q37</f>
        <v>274.86999999999955</v>
      </c>
      <c r="P25" s="274" t="str">
        <f t="shared" ref="P25:P29" si="4">D25</f>
        <v>Contingency</v>
      </c>
      <c r="Q25" s="282">
        <v>0</v>
      </c>
    </row>
    <row r="26" spans="2:18" ht="15" customHeight="1" outlineLevel="1">
      <c r="B26" s="7"/>
      <c r="C26" s="7"/>
      <c r="D26" s="300" t="s">
        <v>359</v>
      </c>
      <c r="E26" s="365">
        <v>0</v>
      </c>
      <c r="F26" s="365">
        <v>13.67</v>
      </c>
      <c r="G26">
        <v>13.67</v>
      </c>
      <c r="H26" s="305"/>
      <c r="J26" s="305"/>
      <c r="L26" s="315"/>
      <c r="N26" s="305"/>
      <c r="O26" s="274">
        <f>SUM(E26:F26)-SUM(G26:N26)</f>
        <v>0</v>
      </c>
      <c r="P26" s="274" t="str">
        <f t="shared" si="4"/>
        <v>TV License</v>
      </c>
      <c r="Q26" s="282">
        <v>0</v>
      </c>
    </row>
    <row r="27" spans="2:18" ht="15" customHeight="1" outlineLevel="1">
      <c r="B27" s="7"/>
      <c r="C27" s="7"/>
      <c r="D27" s="300" t="s">
        <v>998</v>
      </c>
      <c r="E27" s="365">
        <v>0</v>
      </c>
      <c r="F27" s="365">
        <v>55</v>
      </c>
      <c r="G27">
        <v>55</v>
      </c>
      <c r="H27" s="305"/>
      <c r="J27" s="305"/>
      <c r="L27" s="305"/>
      <c r="N27" s="305"/>
      <c r="O27" s="274">
        <f>SUM(E27:F27)-SUM(G27:N27)</f>
        <v>0</v>
      </c>
      <c r="P27" s="274" t="str">
        <f t="shared" si="4"/>
        <v>Cars (Service / MOT)</v>
      </c>
      <c r="Q27" s="282">
        <v>0</v>
      </c>
    </row>
    <row r="28" spans="2:18" ht="15" customHeight="1" outlineLevel="1">
      <c r="B28" s="7"/>
      <c r="C28" s="7"/>
      <c r="D28" s="300" t="s">
        <v>701</v>
      </c>
      <c r="E28" s="365">
        <v>0</v>
      </c>
      <c r="F28" s="365">
        <f>250+20</f>
        <v>270</v>
      </c>
      <c r="G28">
        <v>250</v>
      </c>
      <c r="H28" s="305"/>
      <c r="J28" s="305"/>
      <c r="L28" s="305"/>
      <c r="M28">
        <v>16.77</v>
      </c>
      <c r="N28" s="305"/>
      <c r="O28" s="274">
        <f>SUM(E28:F28)-SUM(G28:N28)</f>
        <v>3.2300000000000182</v>
      </c>
      <c r="P28" s="274" t="str">
        <f t="shared" si="4"/>
        <v>Gift</v>
      </c>
      <c r="Q28" s="282">
        <v>0</v>
      </c>
    </row>
    <row r="29" spans="2:18" ht="15" customHeight="1" outlineLevel="1">
      <c r="B29" s="7"/>
      <c r="C29" s="7"/>
      <c r="D29" s="300" t="s">
        <v>332</v>
      </c>
      <c r="E29" s="365">
        <v>0</v>
      </c>
      <c r="F29" s="365">
        <f>850+500+75+50+45</f>
        <v>1520</v>
      </c>
      <c r="G29">
        <v>1475</v>
      </c>
      <c r="H29" s="306"/>
      <c r="J29" s="305"/>
      <c r="K29">
        <v>45</v>
      </c>
      <c r="L29" s="305"/>
      <c r="N29" s="305"/>
      <c r="O29" s="274">
        <f>SUM(E29:F29)-SUM(G29:N29)</f>
        <v>0</v>
      </c>
      <c r="P29" s="274" t="str">
        <f t="shared" si="4"/>
        <v>Holidays</v>
      </c>
      <c r="Q29" s="282">
        <v>0</v>
      </c>
      <c r="R29" s="243"/>
    </row>
    <row r="30" spans="2:18" ht="15" customHeight="1">
      <c r="B30" s="118"/>
      <c r="C30" s="118"/>
      <c r="E30" s="365"/>
      <c r="F30" s="365"/>
      <c r="H30" s="305"/>
      <c r="J30" s="305"/>
      <c r="L30" s="305"/>
      <c r="N30" s="305"/>
      <c r="O30" s="273"/>
      <c r="P30" s="273"/>
      <c r="Q30" s="282"/>
    </row>
    <row r="31" spans="2:18" ht="15" customHeight="1">
      <c r="B31" s="727" t="str">
        <f>_xlfn.CONCAT("Wants - 30 - ",G37*0.3," / Actual = ",D32," (",ROUND((D32/G37)*100,2),")")</f>
        <v>Wants - 30 - 1433.373 / Actual = 1141.07 (23.88)</v>
      </c>
      <c r="C31" s="727"/>
      <c r="D31" s="727"/>
      <c r="E31" s="727"/>
      <c r="F31" s="318"/>
      <c r="H31" s="305"/>
      <c r="J31" s="305"/>
      <c r="L31" s="305"/>
      <c r="N31" s="305"/>
      <c r="O31" s="273"/>
      <c r="P31" s="273"/>
      <c r="Q31" s="282"/>
    </row>
    <row r="32" spans="2:18" ht="15" customHeight="1">
      <c r="B32" s="727" t="str">
        <f>IF(ISNUMBER((SEARCH("Over",B$5))),"Operating under budget","Operating over budget")</f>
        <v>Operating over budget</v>
      </c>
      <c r="C32" s="727"/>
      <c r="D32" s="759">
        <f>(E$37-D5-D24-E36)</f>
        <v>1141.0699999999997</v>
      </c>
      <c r="E32" s="727"/>
      <c r="F32" s="319">
        <f>SUM(F33:F34)</f>
        <v>1091.0699999999997</v>
      </c>
      <c r="H32" s="305"/>
      <c r="J32" s="305"/>
      <c r="L32" s="305"/>
      <c r="N32" s="305"/>
      <c r="O32" s="285">
        <f>SUMIF(O33:O33,"&gt;0")</f>
        <v>0</v>
      </c>
      <c r="P32" s="285" t="s">
        <v>899</v>
      </c>
      <c r="Q32" s="282">
        <f>SUM(Q33:Q34)</f>
        <v>4.3400000000003729</v>
      </c>
    </row>
    <row r="33" spans="2:19" ht="15.75" customHeight="1" outlineLevel="1">
      <c r="B33" s="734"/>
      <c r="C33" s="760"/>
      <c r="D33" s="13" t="s">
        <v>781</v>
      </c>
      <c r="E33" s="365">
        <v>0</v>
      </c>
      <c r="F33" s="365">
        <f>13+6.99+10.99+0.99</f>
        <v>31.970000000000002</v>
      </c>
      <c r="G33" s="11">
        <f>13+10.99</f>
        <v>23.990000000000002</v>
      </c>
      <c r="H33" s="305"/>
      <c r="I33">
        <f>0.99+6.99</f>
        <v>7.98</v>
      </c>
      <c r="J33" s="305"/>
      <c r="L33" s="305"/>
      <c r="N33" s="305"/>
      <c r="O33" s="274">
        <f t="shared" ref="O33:O35" si="5">SUM(E33:F33)-SUM(G33:N33)</f>
        <v>0</v>
      </c>
      <c r="P33" s="274" t="str">
        <f t="shared" ref="P33:P35" si="6">D33</f>
        <v>Subscriptions</v>
      </c>
      <c r="Q33" s="282">
        <f>IF(O33&lt;0,O33*-1,0)</f>
        <v>0</v>
      </c>
      <c r="S33" s="349"/>
    </row>
    <row r="34" spans="2:19" ht="18" outlineLevel="1">
      <c r="B34" s="734"/>
      <c r="C34" s="760"/>
      <c r="D34" s="13" t="s">
        <v>922</v>
      </c>
      <c r="E34" s="365">
        <v>0</v>
      </c>
      <c r="F34" s="365">
        <f>(D32-SUM(F33:F33))-F35</f>
        <v>1059.0999999999997</v>
      </c>
      <c r="G34" s="11">
        <f>213.96+9.99+19.85+1.09+11.97+48.7+5+27+9.99+12+2.2+2.48</f>
        <v>364.23</v>
      </c>
      <c r="H34">
        <f>6.15+0.65-7.85</f>
        <v>-1.0499999999999989</v>
      </c>
      <c r="I34">
        <f>6+25</f>
        <v>31</v>
      </c>
      <c r="J34" s="305">
        <f>12.79+7.8+10.7+45+81.57+4.74</f>
        <v>162.6</v>
      </c>
      <c r="L34" s="305"/>
      <c r="N34" s="305">
        <f>3.35+486.46+0.75+4.45+11.65</f>
        <v>506.65999999999997</v>
      </c>
      <c r="O34" s="274">
        <f>SUM(E34:F34)-SUM(G34:N34)</f>
        <v>-4.3400000000003729</v>
      </c>
      <c r="P34" s="274" t="str">
        <f t="shared" si="6"/>
        <v>Matt Fun</v>
      </c>
      <c r="Q34" s="282">
        <f>IF(SUM(E34:F34)-SUM(G34:N34)&lt;=0,(SUM(E34:F34)-SUM(G34:N34))*-1,0)</f>
        <v>4.3400000000003729</v>
      </c>
    </row>
    <row r="35" spans="2:19" ht="18" outlineLevel="1">
      <c r="B35" s="7"/>
      <c r="C35" s="284"/>
      <c r="D35" s="13" t="s">
        <v>152</v>
      </c>
      <c r="E35" s="365">
        <v>0</v>
      </c>
      <c r="F35" s="365">
        <f>50</f>
        <v>50</v>
      </c>
      <c r="G35" s="11"/>
      <c r="H35" s="306"/>
      <c r="I35">
        <v>27</v>
      </c>
      <c r="J35" s="305"/>
      <c r="L35" s="305"/>
      <c r="M35">
        <v>27</v>
      </c>
      <c r="N35" s="305"/>
      <c r="O35" s="274">
        <f t="shared" si="5"/>
        <v>-4</v>
      </c>
      <c r="P35" s="274" t="str">
        <f t="shared" si="6"/>
        <v>Kris</v>
      </c>
      <c r="Q35" s="271">
        <f>IF(F35-SUM(G35:N35)&lt;=0,(F35-SUM(G35:N35))*-1,0)</f>
        <v>4</v>
      </c>
      <c r="R35">
        <f>45.05</f>
        <v>45.05</v>
      </c>
    </row>
    <row r="36" spans="2:19">
      <c r="B36" s="118"/>
      <c r="C36" s="118"/>
      <c r="E36" s="365">
        <f>SUM(E33:E35)+SUM(E25:E29)+SUM(E6:E21)</f>
        <v>0</v>
      </c>
      <c r="F36" s="365"/>
      <c r="G36" s="349"/>
      <c r="J36" s="7"/>
      <c r="L36" s="7"/>
      <c r="N36" s="7"/>
      <c r="O36" s="273"/>
      <c r="P36" s="273"/>
      <c r="Q36" s="282"/>
    </row>
    <row r="37" spans="2:19" ht="18">
      <c r="B37" s="728" t="s">
        <v>817</v>
      </c>
      <c r="C37" s="728"/>
      <c r="D37" s="728"/>
      <c r="E37" s="375">
        <f>G37+I37+K37+M37+N37+E36</f>
        <v>5694.46</v>
      </c>
      <c r="F37" s="379"/>
      <c r="G37" s="271">
        <f>3452.91+1325</f>
        <v>4777.91</v>
      </c>
      <c r="H37" s="282"/>
      <c r="I37" s="271">
        <f>64</f>
        <v>64</v>
      </c>
      <c r="J37" s="271"/>
      <c r="K37" s="271">
        <f>244.5+38.05</f>
        <v>282.55</v>
      </c>
      <c r="L37" s="271"/>
      <c r="M37" s="271">
        <f>500+20+25+25</f>
        <v>570</v>
      </c>
      <c r="N37" s="271"/>
      <c r="O37" s="314" t="str">
        <f>"£" &amp; ROUND(O5+O32+O24+IF(O34&lt;0,0,O34)+O35+O4,2)-K37 &amp; " / " &amp; "£" &amp; E37</f>
        <v>£1298.13 / £5694.46</v>
      </c>
      <c r="P37" s="274"/>
      <c r="Q37" s="282">
        <f>SUM(Q32,Q24,Q5)</f>
        <v>29.710000000000463</v>
      </c>
    </row>
    <row r="38" spans="2:19">
      <c r="B38" s="118"/>
      <c r="C38" s="7"/>
      <c r="E38" s="365"/>
      <c r="F38" s="365"/>
      <c r="G38" s="365"/>
      <c r="H38" s="365"/>
    </row>
    <row r="39" spans="2:19" ht="14.4">
      <c r="B39" s="729"/>
      <c r="C39" s="729"/>
      <c r="D39" s="729"/>
      <c r="E39" s="729"/>
      <c r="F39" s="729"/>
      <c r="G39" s="729"/>
      <c r="H39" s="297"/>
      <c r="K39" s="729"/>
      <c r="L39" s="729"/>
      <c r="M39" s="729"/>
      <c r="N39" s="729"/>
      <c r="O39" s="729"/>
      <c r="P39" s="297"/>
    </row>
    <row r="40" spans="2:19" ht="15" customHeight="1">
      <c r="B40" s="726" t="s">
        <v>955</v>
      </c>
      <c r="C40" s="726"/>
      <c r="D40" s="726"/>
      <c r="E40" s="726"/>
      <c r="F40" s="348"/>
      <c r="K40" s="212"/>
      <c r="L40" s="212"/>
      <c r="N40" s="118" t="s">
        <v>1341</v>
      </c>
      <c r="O40" s="316">
        <v>45010</v>
      </c>
      <c r="P40" s="7">
        <f ca="1">DATEDIF(O40,NOW(),"d")</f>
        <v>1241</v>
      </c>
      <c r="Q40">
        <v>25</v>
      </c>
      <c r="R40" t="s">
        <v>1342</v>
      </c>
    </row>
    <row r="41" spans="2:19">
      <c r="B41" s="365"/>
      <c r="C41" s="38"/>
      <c r="D41" s="212"/>
      <c r="E41" s="310" t="s">
        <v>1307</v>
      </c>
      <c r="F41" s="11"/>
      <c r="G41" s="367"/>
      <c r="H41" s="243"/>
      <c r="I41" s="243"/>
      <c r="K41" s="11"/>
      <c r="N41" s="322" t="s">
        <v>1337</v>
      </c>
      <c r="O41" s="42">
        <v>44999</v>
      </c>
      <c r="P41" s="7">
        <f ca="1">DATEDIF(O41,NOW(),"d")</f>
        <v>1252</v>
      </c>
      <c r="Q41">
        <v>98.65</v>
      </c>
      <c r="R41" t="s">
        <v>1338</v>
      </c>
    </row>
    <row r="42" spans="2:19">
      <c r="D42" s="358" t="s">
        <v>662</v>
      </c>
      <c r="E42" s="424">
        <v>100</v>
      </c>
      <c r="F42" s="365"/>
      <c r="G42" s="11" t="s">
        <v>183</v>
      </c>
      <c r="H42" s="243">
        <v>282.55</v>
      </c>
      <c r="I42" s="243"/>
      <c r="J42" s="243"/>
      <c r="L42" s="243"/>
      <c r="O42"/>
      <c r="P42"/>
    </row>
    <row r="43" spans="2:19" ht="16.2" customHeight="1">
      <c r="D43" t="s">
        <v>1336</v>
      </c>
      <c r="E43" s="188">
        <v>80</v>
      </c>
      <c r="F43" s="278"/>
      <c r="G43" s="213"/>
      <c r="H43" s="373"/>
      <c r="I43" s="213"/>
      <c r="J43" s="213"/>
      <c r="K43" s="213">
        <v>60</v>
      </c>
      <c r="L43" s="243"/>
      <c r="O43" s="292"/>
      <c r="P43" s="212"/>
    </row>
    <row r="44" spans="2:19">
      <c r="B44" s="378"/>
      <c r="D44" s="242" t="s">
        <v>1309</v>
      </c>
      <c r="E44" s="427">
        <f>100+15</f>
        <v>115</v>
      </c>
      <c r="F44" s="361"/>
      <c r="G44" s="407"/>
      <c r="K44">
        <v>25</v>
      </c>
      <c r="L44" s="243" t="s">
        <v>1343</v>
      </c>
      <c r="P44" s="56"/>
    </row>
    <row r="45" spans="2:19" ht="14.4">
      <c r="D45" t="s">
        <v>379</v>
      </c>
      <c r="E45" s="409">
        <v>130</v>
      </c>
      <c r="F45" s="361"/>
      <c r="K45">
        <v>25</v>
      </c>
      <c r="L45" t="s">
        <v>1344</v>
      </c>
      <c r="P45"/>
    </row>
    <row r="46" spans="2:19" ht="14.4">
      <c r="D46" s="358" t="s">
        <v>1312</v>
      </c>
      <c r="E46" s="423">
        <v>35</v>
      </c>
      <c r="F46" s="361"/>
      <c r="G46" s="407"/>
      <c r="K46">
        <v>10</v>
      </c>
      <c r="L46" t="s">
        <v>1345</v>
      </c>
      <c r="P46" s="212"/>
      <c r="Q46" s="212"/>
    </row>
    <row r="47" spans="2:19" ht="15" customHeight="1">
      <c r="D47" t="s">
        <v>1313</v>
      </c>
      <c r="E47" s="412">
        <v>15</v>
      </c>
      <c r="F47" s="361"/>
      <c r="P47" s="56"/>
      <c r="Q47" s="38"/>
    </row>
    <row r="48" spans="2:19" ht="14.4">
      <c r="D48" t="s">
        <v>970</v>
      </c>
      <c r="E48" s="412">
        <v>15</v>
      </c>
      <c r="F48" s="360"/>
      <c r="O48"/>
      <c r="P48"/>
    </row>
    <row r="49" spans="2:16" ht="15" customHeight="1">
      <c r="D49" t="s">
        <v>1314</v>
      </c>
      <c r="E49" s="413">
        <v>40</v>
      </c>
      <c r="F49" s="360"/>
      <c r="O49"/>
      <c r="P49"/>
    </row>
    <row r="50" spans="2:16">
      <c r="D50" s="358" t="s">
        <v>1315</v>
      </c>
      <c r="E50" s="423">
        <v>90</v>
      </c>
      <c r="F50" s="384"/>
      <c r="O50"/>
      <c r="P50"/>
    </row>
    <row r="51" spans="2:16">
      <c r="B51" s="11"/>
      <c r="D51" t="s">
        <v>978</v>
      </c>
      <c r="E51" s="405">
        <v>100</v>
      </c>
      <c r="F51" s="384"/>
      <c r="G51">
        <f>395+15</f>
        <v>410</v>
      </c>
      <c r="O51"/>
      <c r="P51"/>
    </row>
    <row r="52" spans="2:16" ht="14.4">
      <c r="B52" s="11"/>
      <c r="D52" t="s">
        <v>1321</v>
      </c>
      <c r="E52" s="405">
        <v>100</v>
      </c>
      <c r="F52" s="79"/>
      <c r="G52" s="407"/>
      <c r="O52"/>
      <c r="P52"/>
    </row>
    <row r="53" spans="2:16" ht="14.4">
      <c r="D53" s="358" t="s">
        <v>1323</v>
      </c>
      <c r="E53" s="425">
        <v>24.5</v>
      </c>
      <c r="F53" s="79"/>
      <c r="O53"/>
      <c r="P53"/>
    </row>
    <row r="54" spans="2:16" ht="14.4">
      <c r="B54" s="212"/>
      <c r="C54" s="212"/>
      <c r="D54" t="s">
        <v>1322</v>
      </c>
      <c r="E54" s="405">
        <v>15</v>
      </c>
      <c r="F54" s="7"/>
      <c r="O54"/>
      <c r="P54"/>
    </row>
    <row r="55" spans="2:16" ht="14.4">
      <c r="C55" s="56"/>
      <c r="D55" s="243" t="s">
        <v>1339</v>
      </c>
      <c r="E55" s="405">
        <v>400</v>
      </c>
      <c r="F55"/>
      <c r="O55"/>
      <c r="P55"/>
    </row>
    <row r="56" spans="2:16" ht="15.75" customHeight="1">
      <c r="C56" s="56"/>
      <c r="D56" t="s">
        <v>1340</v>
      </c>
      <c r="E56" s="405">
        <v>200</v>
      </c>
      <c r="F56"/>
      <c r="O56"/>
      <c r="P56"/>
    </row>
    <row r="57" spans="2:16" ht="14.4">
      <c r="C57" s="56"/>
      <c r="E57"/>
      <c r="F57"/>
      <c r="O57"/>
      <c r="P57" s="771"/>
    </row>
    <row r="58" spans="2:16" ht="14.4">
      <c r="C58" s="56"/>
      <c r="E58"/>
      <c r="F58"/>
      <c r="O58"/>
      <c r="P58" s="771"/>
    </row>
    <row r="59" spans="2:16" ht="14.4">
      <c r="C59" s="56"/>
      <c r="E59" s="243"/>
      <c r="F59"/>
      <c r="K59" s="243"/>
      <c r="O59"/>
      <c r="P59" s="771"/>
    </row>
    <row r="60" spans="2:16" ht="14.4">
      <c r="C60" s="56"/>
      <c r="D60" s="243"/>
      <c r="E60"/>
      <c r="F60"/>
      <c r="O60"/>
      <c r="P60" s="771"/>
    </row>
    <row r="61" spans="2:16" ht="14.4">
      <c r="C61" s="56"/>
      <c r="E61"/>
      <c r="F61"/>
      <c r="O61"/>
      <c r="P61"/>
    </row>
    <row r="62" spans="2:16" ht="14.4">
      <c r="C62" s="56"/>
      <c r="E62" s="347"/>
      <c r="F62"/>
      <c r="G62" s="771"/>
      <c r="H62" s="771"/>
      <c r="I62" s="771"/>
      <c r="J62" s="771"/>
      <c r="K62" s="771"/>
      <c r="L62" s="771"/>
      <c r="M62" s="771"/>
      <c r="N62" s="771"/>
      <c r="O62" s="771"/>
      <c r="P62" s="771"/>
    </row>
    <row r="63" spans="2:16" ht="14.4">
      <c r="C63" s="56"/>
      <c r="E63" s="332"/>
      <c r="F63" s="332"/>
      <c r="O63"/>
      <c r="P63" s="771"/>
    </row>
    <row r="64" spans="2:16" ht="14.4">
      <c r="C64" s="56"/>
      <c r="E64"/>
      <c r="F64"/>
      <c r="O64"/>
      <c r="P64" s="771"/>
    </row>
    <row r="65" spans="2:16" ht="14.4">
      <c r="C65" s="56"/>
      <c r="E65"/>
      <c r="F65"/>
      <c r="O65"/>
      <c r="P65" s="771"/>
    </row>
    <row r="66" spans="2:16">
      <c r="E66" s="365"/>
      <c r="F66" s="365"/>
      <c r="O66"/>
      <c r="P66" s="771"/>
    </row>
    <row r="67" spans="2:16" ht="14.4">
      <c r="B67" s="212"/>
      <c r="C67" s="294"/>
      <c r="D67" s="212"/>
      <c r="E67" s="212"/>
      <c r="F67" s="212"/>
      <c r="O67"/>
      <c r="P67"/>
    </row>
    <row r="68" spans="2:16" ht="14.4">
      <c r="C68" s="56"/>
      <c r="D68" s="56"/>
      <c r="E68" s="56"/>
      <c r="F68" s="56"/>
      <c r="G68" s="771"/>
      <c r="H68" s="771"/>
      <c r="I68" s="771"/>
      <c r="J68" s="771"/>
      <c r="K68" s="771"/>
      <c r="L68" s="771"/>
      <c r="M68" s="771"/>
      <c r="N68" s="771"/>
      <c r="O68" s="771"/>
      <c r="P68"/>
    </row>
    <row r="69" spans="2:16" ht="14.4">
      <c r="C69" s="56"/>
      <c r="D69" s="56"/>
      <c r="E69" s="56"/>
      <c r="F69" s="56"/>
      <c r="O69"/>
      <c r="P69" s="771"/>
    </row>
    <row r="70" spans="2:16" ht="14.4">
      <c r="C70" s="56"/>
      <c r="D70" s="56"/>
      <c r="E70" s="56"/>
      <c r="F70" s="56"/>
      <c r="O70"/>
      <c r="P70" s="771"/>
    </row>
    <row r="71" spans="2:16" ht="14.4">
      <c r="C71" s="56"/>
      <c r="D71" s="56"/>
      <c r="E71" s="56"/>
      <c r="F71" s="56"/>
      <c r="O71"/>
      <c r="P71" s="771"/>
    </row>
    <row r="72" spans="2:16" ht="14.4">
      <c r="C72" s="56"/>
      <c r="D72" s="56"/>
      <c r="E72" s="56"/>
      <c r="F72" s="56"/>
      <c r="O72"/>
      <c r="P72" s="771"/>
    </row>
    <row r="73" spans="2:16" ht="14.4">
      <c r="C73" s="56"/>
      <c r="E73" s="56"/>
      <c r="F73" s="56"/>
      <c r="O73"/>
      <c r="P73"/>
    </row>
    <row r="74" spans="2:16">
      <c r="O74"/>
      <c r="P74"/>
    </row>
    <row r="75" spans="2:16" ht="14.4">
      <c r="E75" s="212"/>
      <c r="F75" s="212"/>
      <c r="O75"/>
      <c r="P75" s="771"/>
    </row>
    <row r="76" spans="2:16" ht="14.4">
      <c r="E76" s="56"/>
      <c r="F76" s="56"/>
      <c r="O76"/>
      <c r="P76" s="771"/>
    </row>
    <row r="77" spans="2:16" ht="14.4">
      <c r="E77" s="56"/>
      <c r="F77" s="56"/>
      <c r="O77"/>
      <c r="P77" s="771"/>
    </row>
    <row r="78" spans="2:16" ht="14.4">
      <c r="E78" s="56"/>
      <c r="F78" s="56"/>
      <c r="O78"/>
      <c r="P78" s="771"/>
    </row>
    <row r="79" spans="2:16" ht="14.4">
      <c r="E79" s="56"/>
      <c r="F79" s="56"/>
      <c r="O79"/>
      <c r="P79"/>
    </row>
    <row r="80" spans="2:16" ht="14.4">
      <c r="E80" s="56"/>
      <c r="F80" s="56"/>
      <c r="O80"/>
      <c r="P80"/>
    </row>
    <row r="81" spans="5:16" ht="14.4">
      <c r="E81" s="56"/>
      <c r="F81" s="56"/>
      <c r="O81"/>
      <c r="P81" s="771"/>
    </row>
    <row r="82" spans="5:16">
      <c r="O82"/>
      <c r="P82" s="771"/>
    </row>
    <row r="83" spans="5:16" ht="14.4">
      <c r="E83" s="212"/>
      <c r="F83" s="212"/>
      <c r="O83"/>
      <c r="P83" s="771"/>
    </row>
    <row r="84" spans="5:16" ht="14.4">
      <c r="E84" s="56"/>
      <c r="F84" s="56"/>
      <c r="O84"/>
      <c r="P84" s="771"/>
    </row>
    <row r="85" spans="5:16" ht="14.4">
      <c r="E85" s="56"/>
      <c r="F85" s="56"/>
      <c r="O85"/>
      <c r="P85"/>
    </row>
    <row r="86" spans="5:16" ht="14.4">
      <c r="E86" s="56"/>
      <c r="F86" s="56"/>
      <c r="O86"/>
      <c r="P86"/>
    </row>
    <row r="87" spans="5:16" ht="14.4">
      <c r="E87" s="56"/>
      <c r="F87" s="56"/>
      <c r="O87"/>
      <c r="P87" s="771"/>
    </row>
    <row r="88" spans="5:16" ht="14.4">
      <c r="E88" s="56"/>
      <c r="F88" s="56"/>
      <c r="O88"/>
      <c r="P88" s="771"/>
    </row>
    <row r="89" spans="5:16" ht="14.4">
      <c r="E89" s="56"/>
      <c r="F89" s="56"/>
      <c r="O89"/>
      <c r="P89" s="771"/>
    </row>
    <row r="90" spans="5:16">
      <c r="E90" s="365"/>
      <c r="F90" s="365"/>
      <c r="O90"/>
      <c r="P90" s="771"/>
    </row>
    <row r="91" spans="5:16">
      <c r="O91"/>
      <c r="P91"/>
    </row>
    <row r="92" spans="5:16">
      <c r="O92"/>
      <c r="P92"/>
    </row>
  </sheetData>
  <mergeCells count="31">
    <mergeCell ref="B4:E4"/>
    <mergeCell ref="B1:O1"/>
    <mergeCell ref="G3:H3"/>
    <mergeCell ref="I3:J3"/>
    <mergeCell ref="K3:L3"/>
    <mergeCell ref="M3:N3"/>
    <mergeCell ref="B37:D37"/>
    <mergeCell ref="B5:C5"/>
    <mergeCell ref="D5:E5"/>
    <mergeCell ref="B6:B20"/>
    <mergeCell ref="C6:C20"/>
    <mergeCell ref="B23:E23"/>
    <mergeCell ref="B24:C24"/>
    <mergeCell ref="D24:E24"/>
    <mergeCell ref="B31:E31"/>
    <mergeCell ref="B32:C32"/>
    <mergeCell ref="D32:E32"/>
    <mergeCell ref="B33:B34"/>
    <mergeCell ref="C33:C34"/>
    <mergeCell ref="P87:P90"/>
    <mergeCell ref="B39:G39"/>
    <mergeCell ref="K39:O39"/>
    <mergeCell ref="B40:C40"/>
    <mergeCell ref="D40:E40"/>
    <mergeCell ref="P57:P60"/>
    <mergeCell ref="G62:P62"/>
    <mergeCell ref="P63:P66"/>
    <mergeCell ref="G68:O68"/>
    <mergeCell ref="P69:P72"/>
    <mergeCell ref="P75:P78"/>
    <mergeCell ref="P81:P84"/>
  </mergeCells>
  <pageMargins left="0.7" right="0.7" top="0.75" bottom="0.75" header="0.3" footer="0.3"/>
  <pageSetup orientation="portrait" r:id="rId1"/>
  <legacyDrawing r:id="rId2"/>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2C3A-0C44-4A1F-8ED2-AA255A2C144E}">
  <dimension ref="A1:T88"/>
  <sheetViews>
    <sheetView topLeftCell="E12" zoomScale="80" zoomScaleNormal="80" workbookViewId="0">
      <selection activeCell="N39" sqref="N39"/>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FEB-MAR 2023</v>
      </c>
      <c r="B1" s="730" t="str">
        <f ca="1">MID(CELL("filename",B1),FIND("]",CELL("filename",B1))+1,255)</f>
        <v>MAR-APR 2023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c r="R2" s="243">
        <f>1373.4-R4</f>
        <v>1153.1500000000001</v>
      </c>
    </row>
    <row r="3" spans="1:20">
      <c r="B3" s="118"/>
      <c r="C3" s="118"/>
      <c r="D3" s="290" t="str">
        <f>"£" &amp; ROUND(O5+O28+O24+IF(O30&lt;0,0,O30)+O31+O4,2) &amp; " / " &amp; "£" &amp; E33</f>
        <v>£1388.95 / £6660.59</v>
      </c>
      <c r="E3" s="365">
        <f>2802.81-2787.81</f>
        <v>15</v>
      </c>
      <c r="F3" s="365"/>
      <c r="G3" s="732">
        <v>45010</v>
      </c>
      <c r="H3" s="732"/>
      <c r="I3" s="732">
        <f>G3+7</f>
        <v>45017</v>
      </c>
      <c r="J3" s="732"/>
      <c r="K3" s="732">
        <f>I3+7</f>
        <v>45024</v>
      </c>
      <c r="L3" s="732"/>
      <c r="M3" s="732">
        <f>K3+7</f>
        <v>45031</v>
      </c>
      <c r="N3" s="732"/>
      <c r="O3" s="308">
        <v>0</v>
      </c>
      <c r="P3" s="325" t="s">
        <v>1224</v>
      </c>
      <c r="Q3" s="282"/>
      <c r="R3" t="s">
        <v>53</v>
      </c>
      <c r="S3" t="s">
        <v>59</v>
      </c>
    </row>
    <row r="4" spans="1:20" ht="15" customHeight="1">
      <c r="B4" s="727" t="str">
        <f>_xlfn.CONCAT("Expenses - 50 - ",G33*0.5," / Actual = ",ROUND(D5,2)," (",ROUND((D5/G33)*100,2),")")</f>
        <v>Expenses - 50 - 2039.95 / Actual = 2074.57 (50.85)</v>
      </c>
      <c r="C4" s="727"/>
      <c r="D4" s="727"/>
      <c r="E4" s="727"/>
      <c r="F4" s="318"/>
      <c r="H4" s="304">
        <f>SUM(H5:H31)</f>
        <v>600.64999999999986</v>
      </c>
      <c r="J4" s="304">
        <f>SUM(J5:J31)</f>
        <v>342.69</v>
      </c>
      <c r="L4" s="304">
        <f>SUM(L5:L31)</f>
        <v>205.84</v>
      </c>
      <c r="N4" s="304">
        <f>SUM(N5:N31)</f>
        <v>130.60999999999999</v>
      </c>
      <c r="O4" s="308">
        <f>IF(H32&lt;&gt;"PAID",H4,0)+IF(J32&lt;&gt;"PAID",J4,0)+IF(L32&lt;&gt;"PAID",L4,0)+IF(N32&lt;&gt;"PAID",N4,0)</f>
        <v>1279.7899999999997</v>
      </c>
      <c r="P4" s="309" t="s">
        <v>973</v>
      </c>
      <c r="Q4" s="408">
        <f>O4+R4</f>
        <v>1500.0399999999997</v>
      </c>
      <c r="R4" s="243">
        <f>79+60.99+60.78+19.48</f>
        <v>220.25</v>
      </c>
      <c r="S4" s="243"/>
    </row>
    <row r="5" spans="1:20" ht="15" customHeight="1">
      <c r="B5" s="733" t="str">
        <f>IF(D5&gt;E$33*0.5,ROUND(D5-E$33*0.5,2) &amp; " Over",ROUND(E$33*0.5-D5,2) &amp; " Under")</f>
        <v>1255.73 Under</v>
      </c>
      <c r="C5" s="733"/>
      <c r="D5" s="761">
        <f>ROUND(SUM(F6:F21),2)</f>
        <v>2074.5700000000002</v>
      </c>
      <c r="E5" s="761"/>
      <c r="F5" s="321"/>
      <c r="G5" s="284"/>
      <c r="H5" s="306"/>
      <c r="I5" s="79"/>
      <c r="J5" s="306"/>
      <c r="K5" s="79"/>
      <c r="L5" s="306"/>
      <c r="M5" s="79"/>
      <c r="N5" s="305"/>
      <c r="O5" s="285">
        <f>SUMIF(O6:O21,"&gt;0")</f>
        <v>70.050000000000011</v>
      </c>
      <c r="P5" s="285" t="s">
        <v>892</v>
      </c>
      <c r="Q5" s="282">
        <f>SUM(Q6:Q20)</f>
        <v>4.9600000000000026</v>
      </c>
      <c r="R5" s="243"/>
    </row>
    <row r="6" spans="1:20" ht="15" customHeight="1">
      <c r="B6" s="734" t="str">
        <f>"50%: " &amp; E$33*0.5</f>
        <v>50%: 3330.295</v>
      </c>
      <c r="C6" s="734" t="str">
        <f>ROUND((D5/E$33)*100,2) &amp; "%: " &amp;D5</f>
        <v>31.15%: 2074.57</v>
      </c>
      <c r="D6" s="13" t="s">
        <v>805</v>
      </c>
      <c r="E6" s="365">
        <v>0</v>
      </c>
      <c r="F6" s="374">
        <f>150+50-40</f>
        <v>160</v>
      </c>
      <c r="H6" s="304">
        <f>22.1+40+20.01</f>
        <v>82.11</v>
      </c>
      <c r="I6">
        <f>25.01</f>
        <v>25.01</v>
      </c>
      <c r="J6" s="305">
        <f>20</f>
        <v>20</v>
      </c>
      <c r="L6" s="305"/>
      <c r="N6" s="305">
        <f>35.03</f>
        <v>35.03</v>
      </c>
      <c r="O6" s="274">
        <f>SUM(E6:F6)-SUM(G6:N6)</f>
        <v>-2.1500000000000057</v>
      </c>
      <c r="P6" s="274" t="str">
        <f t="shared" ref="P6:P21" si="0">D6</f>
        <v>Car Petrol / commuting</v>
      </c>
      <c r="Q6" s="282">
        <f t="shared" ref="Q6:Q21" si="1">IF(O6&lt;0,O6*-1,0)</f>
        <v>2.1500000000000057</v>
      </c>
      <c r="R6" s="243"/>
    </row>
    <row r="7" spans="1:20" ht="15" customHeight="1">
      <c r="B7" s="734"/>
      <c r="C7" s="734"/>
      <c r="D7" s="13" t="s">
        <v>169</v>
      </c>
      <c r="E7" s="365">
        <v>0</v>
      </c>
      <c r="F7" s="365">
        <f>400-100</f>
        <v>300</v>
      </c>
      <c r="H7" s="304">
        <f>54.93+30.7+16.89</f>
        <v>102.52</v>
      </c>
      <c r="J7" s="305">
        <f>42.94+45.29</f>
        <v>88.22999999999999</v>
      </c>
      <c r="L7" s="305"/>
      <c r="N7" s="305">
        <f>5.97+33.98-0.75</f>
        <v>39.199999999999996</v>
      </c>
      <c r="O7" s="274">
        <f>SUM(E7:F7)-SUM(G7:N7)</f>
        <v>70.050000000000011</v>
      </c>
      <c r="P7" s="274" t="str">
        <f t="shared" si="0"/>
        <v>Food</v>
      </c>
      <c r="Q7" s="282">
        <f t="shared" si="1"/>
        <v>0</v>
      </c>
      <c r="R7" s="243">
        <f>1402-R2</f>
        <v>248.84999999999991</v>
      </c>
    </row>
    <row r="8" spans="1:20" ht="15" customHeight="1">
      <c r="B8" s="734"/>
      <c r="C8" s="734"/>
      <c r="D8" s="13" t="s">
        <v>153</v>
      </c>
      <c r="E8" s="365">
        <v>0</v>
      </c>
      <c r="F8" s="365">
        <f>100-18.38</f>
        <v>81.62</v>
      </c>
      <c r="G8">
        <f>20.69</f>
        <v>20.69</v>
      </c>
      <c r="H8" s="305"/>
      <c r="I8">
        <v>40.93</v>
      </c>
      <c r="J8" s="305"/>
      <c r="L8" s="305"/>
      <c r="M8">
        <v>22.8</v>
      </c>
      <c r="N8" s="305"/>
      <c r="O8" s="274">
        <f>SUM(E8:F8)-SUM(G8:N8)</f>
        <v>-2.7999999999999972</v>
      </c>
      <c r="P8" s="274" t="str">
        <f t="shared" si="0"/>
        <v>Luna</v>
      </c>
      <c r="Q8" s="282">
        <f t="shared" si="1"/>
        <v>2.7999999999999972</v>
      </c>
    </row>
    <row r="9" spans="1:20" ht="15" customHeight="1">
      <c r="B9" s="734"/>
      <c r="C9" s="734"/>
      <c r="D9" s="13" t="s">
        <v>1079</v>
      </c>
      <c r="E9" s="365">
        <v>0</v>
      </c>
      <c r="F9" s="365">
        <f>40-21.52</f>
        <v>18.48</v>
      </c>
      <c r="H9" s="305">
        <f>6.48</f>
        <v>6.48</v>
      </c>
      <c r="J9" s="305">
        <f>12</f>
        <v>12</v>
      </c>
      <c r="L9" s="305"/>
      <c r="N9" s="305"/>
      <c r="O9" s="274">
        <f>SUM(E9:F9)-SUM(G9:N9)</f>
        <v>0</v>
      </c>
      <c r="P9" s="274" t="str">
        <f t="shared" si="0"/>
        <v>Creamy</v>
      </c>
      <c r="Q9" s="282">
        <f t="shared" si="1"/>
        <v>0</v>
      </c>
    </row>
    <row r="10" spans="1:20" ht="15" customHeight="1" outlineLevel="1">
      <c r="B10" s="734"/>
      <c r="C10" s="734"/>
      <c r="D10" s="201" t="s">
        <v>595</v>
      </c>
      <c r="E10" s="365">
        <v>0</v>
      </c>
      <c r="F10" s="365">
        <f>452.64</f>
        <v>452.64</v>
      </c>
      <c r="H10" s="304"/>
      <c r="J10" s="305"/>
      <c r="L10" s="305"/>
      <c r="M10">
        <v>452.64</v>
      </c>
      <c r="N10" s="305"/>
      <c r="O10" s="274">
        <f t="shared" ref="O10:O15" si="2">SUM(E10:F10)-SUM(G10:N10)</f>
        <v>0</v>
      </c>
      <c r="P10" s="274" t="str">
        <f t="shared" si="0"/>
        <v>Mortgage</v>
      </c>
      <c r="Q10" s="282">
        <f t="shared" si="1"/>
        <v>0</v>
      </c>
      <c r="R10" s="243"/>
    </row>
    <row r="11" spans="1:20" ht="15" customHeight="1" outlineLevel="1">
      <c r="B11" s="734"/>
      <c r="C11" s="734"/>
      <c r="D11" s="201" t="s">
        <v>596</v>
      </c>
      <c r="E11" s="365">
        <v>0</v>
      </c>
      <c r="F11" s="365">
        <v>142.06</v>
      </c>
      <c r="H11" s="305"/>
      <c r="J11" s="305"/>
      <c r="L11" s="305"/>
      <c r="M11">
        <v>142.06</v>
      </c>
      <c r="N11" s="305"/>
      <c r="O11" s="274">
        <f t="shared" si="2"/>
        <v>0</v>
      </c>
      <c r="P11" s="274" t="str">
        <f t="shared" si="0"/>
        <v>Council tax</v>
      </c>
      <c r="Q11" s="282">
        <f t="shared" si="1"/>
        <v>0</v>
      </c>
    </row>
    <row r="12" spans="1:20" ht="15" customHeight="1" outlineLevel="1">
      <c r="B12" s="734"/>
      <c r="C12" s="734"/>
      <c r="D12" s="201" t="s">
        <v>1002</v>
      </c>
      <c r="E12" s="365">
        <v>0</v>
      </c>
      <c r="F12" s="365">
        <f>24+132.56+1</f>
        <v>157.56</v>
      </c>
      <c r="H12" s="305"/>
      <c r="I12">
        <f>1+132.56</f>
        <v>133.56</v>
      </c>
      <c r="J12" s="305"/>
      <c r="L12" s="305"/>
      <c r="M12">
        <v>24</v>
      </c>
      <c r="N12" s="305"/>
      <c r="O12" s="274">
        <f>SUM(E12:F12)-SUM(G12:N12)</f>
        <v>0</v>
      </c>
      <c r="P12" s="274" t="str">
        <f t="shared" si="0"/>
        <v>Utilities (G,W,E,HTB)</v>
      </c>
      <c r="Q12" s="282">
        <f t="shared" si="1"/>
        <v>0</v>
      </c>
    </row>
    <row r="13" spans="1:20" ht="15" customHeight="1" outlineLevel="1">
      <c r="B13" s="734"/>
      <c r="C13" s="734"/>
      <c r="D13" s="201" t="s">
        <v>996</v>
      </c>
      <c r="E13" s="365">
        <v>0</v>
      </c>
      <c r="F13" s="365">
        <v>13.99</v>
      </c>
      <c r="H13" s="305"/>
      <c r="I13">
        <f>14</f>
        <v>14</v>
      </c>
      <c r="J13" s="305"/>
      <c r="L13" s="305"/>
      <c r="N13" s="305"/>
      <c r="O13" s="274">
        <f>SUM(E13:F13)-SUM(G13:N13)</f>
        <v>-9.9999999999997868E-3</v>
      </c>
      <c r="P13" s="274" t="str">
        <f t="shared" si="0"/>
        <v>Home Insurance</v>
      </c>
      <c r="Q13" s="282">
        <f t="shared" si="1"/>
        <v>9.9999999999997868E-3</v>
      </c>
    </row>
    <row r="14" spans="1:20" ht="15" customHeight="1" outlineLevel="1">
      <c r="B14" s="734"/>
      <c r="C14" s="734"/>
      <c r="D14" s="201" t="s">
        <v>1056</v>
      </c>
      <c r="E14" s="365">
        <v>0</v>
      </c>
      <c r="F14" s="365">
        <f>8+35.92+17.99</f>
        <v>61.91</v>
      </c>
      <c r="H14" s="305"/>
      <c r="I14">
        <f>17.99</f>
        <v>17.989999999999998</v>
      </c>
      <c r="J14" s="305"/>
      <c r="L14" s="305"/>
      <c r="M14">
        <f>8+35.92</f>
        <v>43.92</v>
      </c>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4.52+15.97+30.8</f>
        <v>51.290000000000006</v>
      </c>
      <c r="H15" s="305"/>
      <c r="I15" s="11">
        <f>20.49+30.8</f>
        <v>51.29</v>
      </c>
      <c r="J15" s="305"/>
      <c r="L15" s="305"/>
      <c r="N15" s="305"/>
      <c r="O15" s="274">
        <f t="shared" si="2"/>
        <v>0</v>
      </c>
      <c r="P15" s="274" t="str">
        <f t="shared" si="0"/>
        <v>Life / Income Insurance</v>
      </c>
      <c r="Q15" s="282">
        <f t="shared" si="1"/>
        <v>0</v>
      </c>
    </row>
    <row r="16" spans="1:20" ht="15" customHeight="1" outlineLevel="1">
      <c r="B16" s="734"/>
      <c r="C16" s="734"/>
      <c r="D16" s="201" t="s">
        <v>602</v>
      </c>
      <c r="E16" s="365">
        <v>0</v>
      </c>
      <c r="F16" s="365">
        <v>25</v>
      </c>
      <c r="H16" s="305"/>
      <c r="J16" s="305"/>
      <c r="K16">
        <v>25</v>
      </c>
      <c r="L16" s="305"/>
      <c r="N16" s="305"/>
      <c r="O16" s="274">
        <f t="shared" ref="O16:O21" si="3">SUM(E16:F16)-SUM(G16:N16)</f>
        <v>0</v>
      </c>
      <c r="P16" s="274" t="str">
        <f t="shared" si="0"/>
        <v>Broadband / TV</v>
      </c>
      <c r="Q16" s="282">
        <f t="shared" si="1"/>
        <v>0</v>
      </c>
    </row>
    <row r="17" spans="2:19" ht="15" customHeight="1" outlineLevel="1">
      <c r="B17" s="734"/>
      <c r="C17" s="734"/>
      <c r="D17" s="201" t="s">
        <v>582</v>
      </c>
      <c r="E17" s="365">
        <v>0</v>
      </c>
      <c r="F17" s="365">
        <v>7.99</v>
      </c>
      <c r="H17" s="305"/>
      <c r="I17">
        <f>7.99</f>
        <v>7.99</v>
      </c>
      <c r="J17" s="305"/>
      <c r="L17" s="305"/>
      <c r="N17" s="305"/>
      <c r="O17" s="274">
        <f t="shared" si="3"/>
        <v>0</v>
      </c>
      <c r="P17" s="274" t="str">
        <f t="shared" si="0"/>
        <v>Onedrive (6th)</v>
      </c>
      <c r="Q17" s="282">
        <f t="shared" si="1"/>
        <v>0</v>
      </c>
    </row>
    <row r="18" spans="2:19" ht="15" customHeight="1" outlineLevel="1">
      <c r="B18" s="734"/>
      <c r="C18" s="734"/>
      <c r="D18" s="201" t="s">
        <v>788</v>
      </c>
      <c r="E18" s="365">
        <v>0</v>
      </c>
      <c r="F18" s="365">
        <f>11.55</f>
        <v>11.55</v>
      </c>
      <c r="G18">
        <v>11.55</v>
      </c>
      <c r="H18" s="305"/>
      <c r="J18" s="305"/>
      <c r="L18" s="305"/>
      <c r="N18" s="305"/>
      <c r="O18" s="274">
        <f t="shared" si="3"/>
        <v>0</v>
      </c>
      <c r="P18" s="274" t="str">
        <f t="shared" si="0"/>
        <v>Matt Phone</v>
      </c>
      <c r="Q18" s="282">
        <f t="shared" si="1"/>
        <v>0</v>
      </c>
    </row>
    <row r="19" spans="2:19" ht="15" customHeight="1" outlineLevel="1">
      <c r="B19" s="734"/>
      <c r="C19" s="734"/>
      <c r="D19" s="201" t="s">
        <v>690</v>
      </c>
      <c r="E19" s="365">
        <v>0</v>
      </c>
      <c r="F19" s="365">
        <f>11.81+32.71+47.69+14.43+468.84</f>
        <v>575.48</v>
      </c>
      <c r="H19" s="305"/>
      <c r="I19">
        <f>11.81+14.43+32.71+468.84+47.69</f>
        <v>575.48</v>
      </c>
      <c r="J19" s="305"/>
      <c r="L19" s="305"/>
      <c r="N19" s="305"/>
      <c r="O19" s="274">
        <f t="shared" si="3"/>
        <v>0</v>
      </c>
      <c r="P19" s="274" t="str">
        <f t="shared" si="0"/>
        <v>Cars</v>
      </c>
      <c r="Q19" s="282">
        <f t="shared" si="1"/>
        <v>0</v>
      </c>
    </row>
    <row r="20" spans="2:19" ht="15" customHeight="1" outlineLevel="1">
      <c r="B20" s="734"/>
      <c r="C20" s="734"/>
      <c r="D20" s="201" t="s">
        <v>944</v>
      </c>
      <c r="E20" s="365">
        <v>0</v>
      </c>
      <c r="F20" s="365">
        <v>15</v>
      </c>
      <c r="H20" s="305"/>
      <c r="I20">
        <f>15</f>
        <v>15</v>
      </c>
      <c r="J20" s="305"/>
      <c r="L20" s="305"/>
      <c r="N20" s="305"/>
      <c r="O20" s="274">
        <f t="shared" si="3"/>
        <v>0</v>
      </c>
      <c r="P20" s="274" t="str">
        <f t="shared" si="0"/>
        <v>Windows</v>
      </c>
      <c r="Q20" s="282">
        <f t="shared" si="1"/>
        <v>0</v>
      </c>
    </row>
    <row r="21" spans="2:19" ht="15" customHeight="1" outlineLevel="1">
      <c r="B21" s="7"/>
      <c r="C21" s="7"/>
      <c r="D21" s="201" t="s">
        <v>814</v>
      </c>
      <c r="E21" s="365">
        <f>1308.13-1.55</f>
        <v>1306.5800000000002</v>
      </c>
      <c r="F21" s="365">
        <v>0</v>
      </c>
      <c r="G21">
        <v>1306.58</v>
      </c>
      <c r="H21" s="305"/>
      <c r="J21" s="305"/>
      <c r="L21" s="305"/>
      <c r="N21" s="305"/>
      <c r="O21" s="274">
        <f t="shared" si="3"/>
        <v>0</v>
      </c>
      <c r="P21" s="274" t="str">
        <f t="shared" si="0"/>
        <v>CC</v>
      </c>
      <c r="Q21" s="282">
        <f t="shared" si="1"/>
        <v>0</v>
      </c>
    </row>
    <row r="22" spans="2:19" ht="15" customHeight="1">
      <c r="B22" s="118"/>
      <c r="C22" s="118"/>
      <c r="D22" s="188"/>
      <c r="E22" s="365"/>
      <c r="F22" s="365"/>
      <c r="H22" s="305"/>
      <c r="J22" s="305"/>
      <c r="L22" s="305"/>
      <c r="N22" s="305"/>
      <c r="O22" s="273"/>
      <c r="P22" s="273"/>
      <c r="Q22" s="282"/>
    </row>
    <row r="23" spans="2:19" ht="15" customHeight="1">
      <c r="B23" s="736" t="str">
        <f>_xlfn.CONCAT("Savings - 20 - ",G33*0.2," / Actual = ",D24," (",ROUND((D24/G33)*100,2),")")</f>
        <v>Savings - 20 - 815.98 / Actual = 2194.28 (53.78)</v>
      </c>
      <c r="C23" s="736"/>
      <c r="D23" s="736"/>
      <c r="E23" s="736"/>
      <c r="F23" s="320"/>
      <c r="H23" s="305"/>
      <c r="J23" s="305"/>
      <c r="L23" s="305"/>
      <c r="N23" s="305"/>
      <c r="O23" s="274"/>
      <c r="P23" s="274"/>
      <c r="Q23" s="282"/>
    </row>
    <row r="24" spans="2:19" ht="15" customHeight="1">
      <c r="B24" s="727" t="str">
        <f>IF(ISNUMBER((SEARCH("Over",C$5))),"Operating under budget","Operating over budget")</f>
        <v>Operating over budget</v>
      </c>
      <c r="C24" s="727"/>
      <c r="D24" s="759">
        <f>SUM(F25:F25)</f>
        <v>2194.2800000000002</v>
      </c>
      <c r="E24" s="759"/>
      <c r="F24" s="319"/>
      <c r="H24" s="305"/>
      <c r="J24" s="305"/>
      <c r="L24" s="305"/>
      <c r="N24" s="305"/>
      <c r="O24" s="285">
        <f>SUMIF(O25:O25,"&gt;0")</f>
        <v>41.570000000000654</v>
      </c>
      <c r="P24" s="285" t="s">
        <v>895</v>
      </c>
      <c r="Q24" s="282">
        <f>SUM(Q25:Q25)</f>
        <v>0</v>
      </c>
    </row>
    <row r="25" spans="2:19" ht="15" customHeight="1" outlineLevel="1">
      <c r="B25" s="7" t="str">
        <f>"20% : " &amp; E$33*0.2</f>
        <v>20% : 1332.118</v>
      </c>
      <c r="C25" s="7" t="str">
        <f>"20% : " &amp; E$33*0.2</f>
        <v>20% : 1332.118</v>
      </c>
      <c r="D25" s="300" t="s">
        <v>183</v>
      </c>
      <c r="E25" s="365">
        <v>282.55</v>
      </c>
      <c r="F25" s="365">
        <f>1133.67+43.29+43.29+50.5+22+45+40+100+100+18.38+21.52+491.63+75+10</f>
        <v>2194.2800000000002</v>
      </c>
      <c r="G25">
        <f>650+213.78+280</f>
        <v>1143.78</v>
      </c>
      <c r="H25" s="305">
        <f>298.44</f>
        <v>298.44</v>
      </c>
      <c r="J25" s="305"/>
      <c r="K25">
        <f>557.31</f>
        <v>557.30999999999995</v>
      </c>
      <c r="L25" s="315">
        <v>204.59</v>
      </c>
      <c r="M25">
        <f>84+38.68+60</f>
        <v>182.68</v>
      </c>
      <c r="N25" s="305">
        <v>43.5</v>
      </c>
      <c r="O25" s="274">
        <f>SUM(E25:F25)-SUM(G25:N25)-Q33</f>
        <v>41.570000000000654</v>
      </c>
      <c r="P25" s="274" t="str">
        <f t="shared" ref="P25" si="4">D25</f>
        <v>Savings</v>
      </c>
      <c r="Q25" s="282">
        <v>0</v>
      </c>
    </row>
    <row r="26" spans="2:19" ht="15" customHeight="1">
      <c r="B26" s="118"/>
      <c r="C26" s="118"/>
      <c r="E26" s="365"/>
      <c r="F26" s="365"/>
      <c r="H26" s="305"/>
      <c r="J26" s="305"/>
      <c r="L26" s="305"/>
      <c r="N26" s="305"/>
      <c r="O26" s="273"/>
      <c r="P26" s="273"/>
      <c r="Q26" s="282"/>
    </row>
    <row r="27" spans="2:19" ht="15" customHeight="1">
      <c r="B27" s="727" t="str">
        <f>_xlfn.CONCAT("Wants - 30 - ",G33*0.3," / Actual = ",D28," (",ROUND((D28/G33)*100,2),")")</f>
        <v>Wants - 30 - 1223.97 / Actual = 801.06 (19.63)</v>
      </c>
      <c r="C27" s="727"/>
      <c r="D27" s="727"/>
      <c r="E27" s="727"/>
      <c r="F27" s="318"/>
      <c r="H27" s="305"/>
      <c r="J27" s="305"/>
      <c r="L27" s="305"/>
      <c r="N27" s="305"/>
      <c r="O27" s="273"/>
      <c r="P27" s="273"/>
      <c r="Q27" s="282"/>
    </row>
    <row r="28" spans="2:19" ht="15" customHeight="1">
      <c r="B28" s="727" t="str">
        <f>IF(ISNUMBER((SEARCH("Over",B$5))),"Operating under budget","Operating over budget")</f>
        <v>Operating over budget</v>
      </c>
      <c r="C28" s="727"/>
      <c r="D28" s="759">
        <f>(E$33-D5-D24-E32)</f>
        <v>801.06</v>
      </c>
      <c r="E28" s="727"/>
      <c r="F28" s="319">
        <f>SUM(F29:F30)</f>
        <v>417.12999999999994</v>
      </c>
      <c r="H28" s="305"/>
      <c r="J28" s="305"/>
      <c r="L28" s="305"/>
      <c r="N28" s="305"/>
      <c r="O28" s="285">
        <f>SUMIF(O29:O29,"&gt;0")</f>
        <v>0</v>
      </c>
      <c r="P28" s="285" t="s">
        <v>899</v>
      </c>
      <c r="Q28" s="282">
        <f>SUM(Q29:Q30)</f>
        <v>0</v>
      </c>
    </row>
    <row r="29" spans="2:19" ht="15.75" customHeight="1" outlineLevel="1">
      <c r="B29" s="734"/>
      <c r="C29" s="760"/>
      <c r="D29" s="13" t="s">
        <v>781</v>
      </c>
      <c r="E29" s="365">
        <v>0</v>
      </c>
      <c r="F29" s="365">
        <f>13+6.99+10.99+0.99</f>
        <v>31.970000000000002</v>
      </c>
      <c r="G29" s="11">
        <f>13</f>
        <v>13</v>
      </c>
      <c r="H29" s="305"/>
      <c r="I29">
        <f>10.99+0.99</f>
        <v>11.98</v>
      </c>
      <c r="J29" s="305"/>
      <c r="K29">
        <f>6.99</f>
        <v>6.99</v>
      </c>
      <c r="L29" s="305"/>
      <c r="N29" s="305"/>
      <c r="O29" s="274">
        <f t="shared" ref="O29:O31" si="5">SUM(E29:F29)-SUM(G29:N29)</f>
        <v>0</v>
      </c>
      <c r="P29" s="274" t="str">
        <f t="shared" ref="P29:P31" si="6">D29</f>
        <v>Subscriptions</v>
      </c>
      <c r="Q29" s="282">
        <f>IF(O29&lt;0,O29*-1,0)</f>
        <v>0</v>
      </c>
      <c r="S29" s="349"/>
    </row>
    <row r="30" spans="2:19" ht="18" outlineLevel="1">
      <c r="B30" s="734"/>
      <c r="C30" s="760"/>
      <c r="D30" s="13" t="s">
        <v>922</v>
      </c>
      <c r="E30" s="365">
        <v>1.55</v>
      </c>
      <c r="F30" s="365">
        <f>(D28-SUM(F29:F29))-F31</f>
        <v>385.15999999999991</v>
      </c>
      <c r="G30" s="11">
        <f>28.85+20</f>
        <v>48.85</v>
      </c>
      <c r="H30" s="305">
        <f>3.65+2.8+8.9+4.3+10+33.1+3.3</f>
        <v>66.05</v>
      </c>
      <c r="I30">
        <f>16+23.4+134.73+7.99</f>
        <v>182.12</v>
      </c>
      <c r="J30" s="305">
        <f>24.99+10+11.98</f>
        <v>46.97</v>
      </c>
      <c r="K30">
        <v>25</v>
      </c>
      <c r="L30" s="305">
        <f>1.25</f>
        <v>1.25</v>
      </c>
      <c r="N30" s="305">
        <f>8.28+4.6</f>
        <v>12.879999999999999</v>
      </c>
      <c r="O30" s="274">
        <f>SUM(E30:F30)-SUM(G30:N30)</f>
        <v>3.5899999999999181</v>
      </c>
      <c r="P30" s="274" t="str">
        <f t="shared" si="6"/>
        <v>Matt Fun</v>
      </c>
      <c r="Q30" s="282">
        <f>IF(SUM(E30:F30)-SUM(G30:N30)&lt;=0,(SUM(E30:F30)-SUM(G30:N30))*-1,0)</f>
        <v>0</v>
      </c>
    </row>
    <row r="31" spans="2:19" ht="18" outlineLevel="1">
      <c r="B31" s="7"/>
      <c r="C31" s="284"/>
      <c r="D31" s="13" t="s">
        <v>152</v>
      </c>
      <c r="E31" s="365">
        <v>0</v>
      </c>
      <c r="F31" s="365">
        <f>45.05+63+63+50+12+150.88</f>
        <v>383.93</v>
      </c>
      <c r="G31" s="11"/>
      <c r="H31" s="305">
        <f>45.05</f>
        <v>45.05</v>
      </c>
      <c r="I31">
        <f>62.3+65+42.14</f>
        <v>169.44</v>
      </c>
      <c r="J31" s="305">
        <f>166.75+8.74</f>
        <v>175.49</v>
      </c>
      <c r="L31" s="305"/>
      <c r="N31" s="305"/>
      <c r="O31" s="274">
        <f t="shared" si="5"/>
        <v>-6.0500000000000114</v>
      </c>
      <c r="P31" s="274" t="str">
        <f t="shared" si="6"/>
        <v>Kris</v>
      </c>
      <c r="Q31" s="271">
        <f>IF(F31-SUM(G31:N31)&lt;=0,(F31-SUM(G31:N31))*-1,0)</f>
        <v>6.0500000000000114</v>
      </c>
    </row>
    <row r="32" spans="2:19">
      <c r="B32" s="118"/>
      <c r="C32" s="118"/>
      <c r="E32" s="365">
        <f>SUM(E29:E31)+E25+SUM(E6:E21)</f>
        <v>1590.6800000000003</v>
      </c>
      <c r="F32" s="365"/>
      <c r="G32" s="349"/>
      <c r="J32" s="7"/>
      <c r="L32" s="7"/>
      <c r="N32" s="7"/>
      <c r="O32" s="273"/>
      <c r="P32" s="273"/>
      <c r="Q32" s="282"/>
    </row>
    <row r="33" spans="2:18" ht="18">
      <c r="B33" s="728" t="s">
        <v>817</v>
      </c>
      <c r="C33" s="728"/>
      <c r="D33" s="728"/>
      <c r="E33" s="375">
        <f>G33+I33+K33+M33+N33+E32</f>
        <v>6660.59</v>
      </c>
      <c r="F33" s="379"/>
      <c r="G33" s="271">
        <f>3073.18+855+43.29+2.14+43.29+63</f>
        <v>4079.8999999999996</v>
      </c>
      <c r="H33" s="282"/>
      <c r="I33" s="271">
        <f>25+63+50+12+50.5+150.88</f>
        <v>351.38</v>
      </c>
      <c r="J33" s="271"/>
      <c r="K33" s="271">
        <f>40+22+491.63</f>
        <v>553.63</v>
      </c>
      <c r="L33" s="271"/>
      <c r="M33" s="271">
        <f>75+10</f>
        <v>85</v>
      </c>
      <c r="N33" s="271"/>
      <c r="O33" s="314" t="str">
        <f>"£" &amp; ROUND(O5+O24+O28+IF(O30&lt;0,0,O30)+O31+O4,2) &amp; " / " &amp; "£" &amp; E33</f>
        <v>£1388.95 / £6660.59</v>
      </c>
      <c r="P33" s="274"/>
      <c r="Q33" s="282">
        <f>SUM(Q28,Q24,Q5)</f>
        <v>4.9600000000000026</v>
      </c>
    </row>
    <row r="34" spans="2:18">
      <c r="B34" s="118"/>
      <c r="C34" s="7"/>
      <c r="E34" s="365"/>
      <c r="F34" s="365"/>
      <c r="G34" s="365"/>
      <c r="H34" s="365"/>
    </row>
    <row r="35" spans="2:18" ht="14.4">
      <c r="B35" s="729"/>
      <c r="C35" s="729"/>
      <c r="D35" s="729"/>
      <c r="E35" s="729"/>
      <c r="F35" s="729"/>
      <c r="G35" s="729"/>
      <c r="H35" s="297"/>
      <c r="K35" s="729"/>
      <c r="L35" s="729"/>
      <c r="M35" s="729"/>
      <c r="N35" s="729"/>
      <c r="O35" s="729"/>
      <c r="P35" s="297"/>
    </row>
    <row r="36" spans="2:18" ht="15" customHeight="1">
      <c r="B36" s="726" t="s">
        <v>955</v>
      </c>
      <c r="C36" s="726"/>
      <c r="D36" s="726"/>
      <c r="E36" s="726"/>
      <c r="F36" s="348"/>
      <c r="K36" s="212"/>
      <c r="L36" s="212"/>
      <c r="N36" s="118" t="s">
        <v>1348</v>
      </c>
      <c r="O36" s="316">
        <v>45033</v>
      </c>
      <c r="P36" s="7">
        <f ca="1">DATEDIF(O36,NOW(),"d")</f>
        <v>1218</v>
      </c>
      <c r="Q36">
        <v>75</v>
      </c>
      <c r="R36" t="s">
        <v>1349</v>
      </c>
    </row>
    <row r="37" spans="2:18">
      <c r="B37" s="365"/>
      <c r="C37" s="38"/>
      <c r="D37" s="212"/>
      <c r="E37" s="310" t="s">
        <v>1307</v>
      </c>
      <c r="F37" s="11"/>
      <c r="G37" s="367"/>
      <c r="H37" s="243"/>
      <c r="I37" s="243"/>
      <c r="K37" s="11"/>
      <c r="N37" s="322" t="s">
        <v>1350</v>
      </c>
      <c r="O37" s="42">
        <v>45033</v>
      </c>
      <c r="P37" s="7">
        <f ca="1">DATEDIF(O37,NOW(),"d")</f>
        <v>1218</v>
      </c>
      <c r="Q37">
        <v>43</v>
      </c>
      <c r="R37" t="s">
        <v>1233</v>
      </c>
    </row>
    <row r="38" spans="2:18">
      <c r="D38" s="358" t="s">
        <v>662</v>
      </c>
      <c r="E38" s="424">
        <v>100</v>
      </c>
      <c r="F38" s="365"/>
      <c r="G38" s="11"/>
      <c r="H38" s="243"/>
      <c r="I38" s="243"/>
      <c r="J38" s="243"/>
      <c r="K38" s="243"/>
      <c r="L38" s="243"/>
      <c r="O38"/>
      <c r="P38"/>
    </row>
    <row r="39" spans="2:18" ht="16.2" customHeight="1">
      <c r="D39" s="358" t="s">
        <v>1308</v>
      </c>
      <c r="E39" s="415">
        <v>50</v>
      </c>
      <c r="F39" s="278"/>
      <c r="G39" s="213"/>
      <c r="H39" s="373"/>
      <c r="I39" s="213"/>
      <c r="J39" s="213"/>
      <c r="K39" s="213"/>
      <c r="L39" s="243"/>
      <c r="O39" s="292"/>
      <c r="P39" s="212"/>
    </row>
    <row r="40" spans="2:18">
      <c r="B40" s="378"/>
      <c r="D40" s="358" t="s">
        <v>1347</v>
      </c>
      <c r="E40" s="424">
        <v>100</v>
      </c>
      <c r="F40" s="361"/>
      <c r="G40" s="407"/>
      <c r="L40" s="243"/>
      <c r="P40" s="56"/>
    </row>
    <row r="41" spans="2:18" ht="14.4">
      <c r="D41" s="358" t="s">
        <v>1311</v>
      </c>
      <c r="E41" s="424">
        <v>35</v>
      </c>
      <c r="F41" s="361"/>
      <c r="H41" s="11"/>
      <c r="P41"/>
    </row>
    <row r="42" spans="2:18" ht="14.4">
      <c r="D42" s="358" t="s">
        <v>1312</v>
      </c>
      <c r="E42" s="423">
        <v>35</v>
      </c>
      <c r="F42" s="361"/>
      <c r="J42" s="243"/>
      <c r="P42" s="212"/>
      <c r="Q42" s="212"/>
    </row>
    <row r="43" spans="2:18" ht="15" customHeight="1">
      <c r="D43" s="358" t="s">
        <v>1313</v>
      </c>
      <c r="E43" s="423">
        <v>15</v>
      </c>
      <c r="F43" s="361"/>
      <c r="G43" s="407"/>
      <c r="H43" t="s">
        <v>37</v>
      </c>
      <c r="I43" t="s">
        <v>53</v>
      </c>
      <c r="J43" t="s">
        <v>59</v>
      </c>
      <c r="K43" t="s">
        <v>69</v>
      </c>
      <c r="M43" s="243"/>
      <c r="P43" s="56"/>
      <c r="Q43" s="38"/>
    </row>
    <row r="44" spans="2:18" ht="14.4">
      <c r="D44" s="358" t="s">
        <v>970</v>
      </c>
      <c r="E44" s="423">
        <v>15</v>
      </c>
      <c r="F44" s="360"/>
      <c r="G44" t="s">
        <v>1352</v>
      </c>
      <c r="H44">
        <v>1402.95</v>
      </c>
      <c r="M44" s="243"/>
      <c r="O44"/>
      <c r="P44"/>
    </row>
    <row r="45" spans="2:18" ht="15" customHeight="1">
      <c r="D45" s="358" t="s">
        <v>1315</v>
      </c>
      <c r="E45" s="423">
        <v>90</v>
      </c>
      <c r="F45" s="360"/>
      <c r="G45" t="s">
        <v>1351</v>
      </c>
      <c r="H45">
        <v>1373.4</v>
      </c>
      <c r="O45"/>
      <c r="P45"/>
    </row>
    <row r="46" spans="2:18">
      <c r="D46" t="s">
        <v>978</v>
      </c>
      <c r="E46" s="405">
        <v>80</v>
      </c>
      <c r="F46" s="384"/>
      <c r="O46"/>
      <c r="P46"/>
    </row>
    <row r="47" spans="2:18">
      <c r="B47" s="11"/>
      <c r="D47" t="s">
        <v>1321</v>
      </c>
      <c r="E47" s="405">
        <v>100</v>
      </c>
      <c r="F47" s="384"/>
      <c r="O47"/>
      <c r="P47"/>
    </row>
    <row r="48" spans="2:18" ht="14.4">
      <c r="B48" s="11"/>
      <c r="D48" s="358" t="s">
        <v>1311</v>
      </c>
      <c r="E48" s="425">
        <v>0</v>
      </c>
      <c r="F48" s="79"/>
      <c r="G48" s="407"/>
      <c r="O48"/>
      <c r="P48"/>
    </row>
    <row r="49" spans="2:16" ht="14.4">
      <c r="D49" t="s">
        <v>1309</v>
      </c>
      <c r="E49" s="405">
        <v>15</v>
      </c>
      <c r="F49" s="79"/>
      <c r="O49"/>
      <c r="P49"/>
    </row>
    <row r="50" spans="2:16" ht="14.4">
      <c r="B50" s="212"/>
      <c r="C50" s="212"/>
      <c r="D50" t="s">
        <v>1314</v>
      </c>
      <c r="E50" s="413">
        <v>40</v>
      </c>
      <c r="F50" s="7"/>
      <c r="O50"/>
      <c r="P50"/>
    </row>
    <row r="51" spans="2:16">
      <c r="C51" s="56"/>
      <c r="D51" t="s">
        <v>19</v>
      </c>
      <c r="E51" s="429">
        <v>110</v>
      </c>
      <c r="F51"/>
      <c r="O51"/>
      <c r="P51"/>
    </row>
    <row r="52" spans="2:16" ht="15.75" customHeight="1">
      <c r="C52" s="56"/>
      <c r="E52" s="243">
        <f>SUM(E46:E51)+O25</f>
        <v>386.57000000000068</v>
      </c>
      <c r="F52"/>
      <c r="O52"/>
      <c r="P52"/>
    </row>
    <row r="53" spans="2:16" ht="14.4">
      <c r="C53" s="56"/>
      <c r="E53"/>
      <c r="F53"/>
      <c r="O53"/>
      <c r="P53" s="771"/>
    </row>
    <row r="54" spans="2:16" ht="14.4">
      <c r="C54" s="56"/>
      <c r="E54"/>
      <c r="F54"/>
      <c r="O54"/>
      <c r="P54" s="771"/>
    </row>
    <row r="55" spans="2:16" ht="14.4">
      <c r="C55" s="56"/>
      <c r="E55" s="243"/>
      <c r="F55"/>
      <c r="K55" s="243"/>
      <c r="O55"/>
      <c r="P55" s="771"/>
    </row>
    <row r="56" spans="2:16" ht="14.4">
      <c r="C56" s="56"/>
      <c r="D56" s="243"/>
      <c r="E56"/>
      <c r="F56"/>
      <c r="O56"/>
      <c r="P56" s="771"/>
    </row>
    <row r="57" spans="2:16" ht="14.4">
      <c r="C57" s="56"/>
      <c r="E57"/>
      <c r="F57"/>
      <c r="O57"/>
      <c r="P57"/>
    </row>
    <row r="58" spans="2:16" ht="14.4">
      <c r="C58" s="56"/>
      <c r="E58" s="347"/>
      <c r="F58"/>
      <c r="G58" s="771"/>
      <c r="H58" s="771"/>
      <c r="I58" s="771"/>
      <c r="J58" s="771"/>
      <c r="K58" s="771"/>
      <c r="L58" s="771"/>
      <c r="M58" s="771"/>
      <c r="N58" s="771"/>
      <c r="O58" s="771"/>
      <c r="P58" s="771"/>
    </row>
    <row r="59" spans="2:16" ht="14.4">
      <c r="C59" s="56"/>
      <c r="E59" s="332"/>
      <c r="F59" s="332"/>
      <c r="O59"/>
      <c r="P59" s="771"/>
    </row>
    <row r="60" spans="2:16" ht="14.4">
      <c r="C60" s="56"/>
      <c r="E60"/>
      <c r="F60"/>
      <c r="O60"/>
      <c r="P60" s="771"/>
    </row>
    <row r="61" spans="2:16" ht="14.4">
      <c r="C61" s="56"/>
      <c r="E61"/>
      <c r="F61"/>
      <c r="O61"/>
      <c r="P61" s="771"/>
    </row>
    <row r="62" spans="2:16">
      <c r="E62" s="365"/>
      <c r="F62" s="365"/>
      <c r="O62"/>
      <c r="P62" s="771"/>
    </row>
    <row r="63" spans="2:16" ht="14.4">
      <c r="B63" s="212"/>
      <c r="C63" s="294"/>
      <c r="D63" s="212"/>
      <c r="E63" s="212"/>
      <c r="F63" s="212"/>
      <c r="O63"/>
      <c r="P63"/>
    </row>
    <row r="64" spans="2:16" ht="14.4">
      <c r="C64" s="56"/>
      <c r="D64" s="56"/>
      <c r="E64" s="56"/>
      <c r="F64" s="56"/>
      <c r="G64" s="771"/>
      <c r="H64" s="771"/>
      <c r="I64" s="771"/>
      <c r="J64" s="771"/>
      <c r="K64" s="771"/>
      <c r="L64" s="771"/>
      <c r="M64" s="771"/>
      <c r="N64" s="771"/>
      <c r="O64" s="771"/>
      <c r="P64"/>
    </row>
    <row r="65" spans="3:16" ht="14.4">
      <c r="C65" s="56"/>
      <c r="D65" s="56"/>
      <c r="E65" s="56"/>
      <c r="F65" s="56"/>
      <c r="O65"/>
      <c r="P65" s="771"/>
    </row>
    <row r="66" spans="3:16" ht="14.4">
      <c r="C66" s="56"/>
      <c r="D66" s="56"/>
      <c r="E66" s="56"/>
      <c r="F66" s="56"/>
      <c r="O66"/>
      <c r="P66" s="771"/>
    </row>
    <row r="67" spans="3:16" ht="14.4">
      <c r="C67" s="56"/>
      <c r="D67" s="56"/>
      <c r="E67" s="56"/>
      <c r="F67" s="56"/>
      <c r="O67"/>
      <c r="P67" s="771"/>
    </row>
    <row r="68" spans="3:16" ht="14.4">
      <c r="C68" s="56"/>
      <c r="D68" s="56"/>
      <c r="E68" s="56"/>
      <c r="F68" s="56"/>
      <c r="O68"/>
      <c r="P68" s="771"/>
    </row>
    <row r="69" spans="3:16" ht="14.4">
      <c r="C69" s="56"/>
      <c r="E69" s="56"/>
      <c r="F69" s="56"/>
      <c r="O69"/>
      <c r="P69"/>
    </row>
    <row r="70" spans="3:16">
      <c r="O70"/>
      <c r="P70"/>
    </row>
    <row r="71" spans="3:16" ht="14.4">
      <c r="E71" s="212"/>
      <c r="F71" s="212"/>
      <c r="O71"/>
      <c r="P71" s="771"/>
    </row>
    <row r="72" spans="3:16" ht="14.4">
      <c r="E72" s="56"/>
      <c r="F72" s="56"/>
      <c r="O72"/>
      <c r="P72" s="771"/>
    </row>
    <row r="73" spans="3:16" ht="14.4">
      <c r="E73" s="56"/>
      <c r="F73" s="56"/>
      <c r="O73"/>
      <c r="P73" s="771"/>
    </row>
    <row r="74" spans="3:16" ht="14.4">
      <c r="E74" s="56"/>
      <c r="F74" s="56"/>
      <c r="O74"/>
      <c r="P74" s="771"/>
    </row>
    <row r="75" spans="3:16" ht="14.4">
      <c r="E75" s="56"/>
      <c r="F75" s="56"/>
      <c r="O75"/>
      <c r="P75"/>
    </row>
    <row r="76" spans="3:16" ht="14.4">
      <c r="E76" s="56"/>
      <c r="F76" s="56"/>
      <c r="O76"/>
      <c r="P76"/>
    </row>
    <row r="77" spans="3:16" ht="14.4">
      <c r="E77" s="56"/>
      <c r="F77" s="56"/>
      <c r="O77"/>
      <c r="P77" s="771"/>
    </row>
    <row r="78" spans="3:16">
      <c r="O78"/>
      <c r="P78" s="771"/>
    </row>
    <row r="79" spans="3:16" ht="14.4">
      <c r="E79" s="212"/>
      <c r="F79" s="212"/>
      <c r="O79"/>
      <c r="P79" s="771"/>
    </row>
    <row r="80" spans="3:16" ht="14.4">
      <c r="E80" s="56"/>
      <c r="F80" s="56"/>
      <c r="O80"/>
      <c r="P80" s="771"/>
    </row>
    <row r="81" spans="5:16" ht="14.4">
      <c r="E81" s="56"/>
      <c r="F81" s="56"/>
      <c r="O81"/>
      <c r="P81"/>
    </row>
    <row r="82" spans="5:16" ht="14.4">
      <c r="E82" s="56"/>
      <c r="F82" s="56"/>
      <c r="O82"/>
      <c r="P82"/>
    </row>
    <row r="83" spans="5:16" ht="14.4">
      <c r="E83" s="56"/>
      <c r="F83" s="56"/>
      <c r="O83"/>
      <c r="P83" s="771"/>
    </row>
    <row r="84" spans="5:16" ht="14.4">
      <c r="E84" s="56"/>
      <c r="F84" s="56"/>
      <c r="O84"/>
      <c r="P84" s="771"/>
    </row>
    <row r="85" spans="5:16" ht="14.4">
      <c r="E85" s="56"/>
      <c r="F85" s="56"/>
      <c r="O85"/>
      <c r="P85" s="771"/>
    </row>
    <row r="86" spans="5:16">
      <c r="E86" s="365"/>
      <c r="F86" s="365"/>
      <c r="O86"/>
      <c r="P86" s="771"/>
    </row>
    <row r="87" spans="5:16">
      <c r="O87"/>
      <c r="P87"/>
    </row>
    <row r="88" spans="5:16">
      <c r="O88"/>
      <c r="P88"/>
    </row>
  </sheetData>
  <mergeCells count="31">
    <mergeCell ref="P83:P86"/>
    <mergeCell ref="B35:G35"/>
    <mergeCell ref="K35:O35"/>
    <mergeCell ref="B36:C36"/>
    <mergeCell ref="D36:E36"/>
    <mergeCell ref="P53:P56"/>
    <mergeCell ref="G58:P58"/>
    <mergeCell ref="P59:P62"/>
    <mergeCell ref="G64:O64"/>
    <mergeCell ref="P65:P68"/>
    <mergeCell ref="P71:P74"/>
    <mergeCell ref="P77:P80"/>
    <mergeCell ref="B33:D33"/>
    <mergeCell ref="B5:C5"/>
    <mergeCell ref="D5:E5"/>
    <mergeCell ref="B6:B20"/>
    <mergeCell ref="C6:C20"/>
    <mergeCell ref="B23:E23"/>
    <mergeCell ref="B24:C24"/>
    <mergeCell ref="D24:E24"/>
    <mergeCell ref="B27:E27"/>
    <mergeCell ref="B28:C28"/>
    <mergeCell ref="D28:E28"/>
    <mergeCell ref="B29:B30"/>
    <mergeCell ref="C29:C30"/>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32FF-FB2A-4280-88EF-F56B5A877D9D}">
  <dimension ref="A1:T88"/>
  <sheetViews>
    <sheetView topLeftCell="D6" zoomScale="80" zoomScaleNormal="80" workbookViewId="0">
      <selection activeCell="G39" sqref="G39"/>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MAR-APR 2023</v>
      </c>
      <c r="B1" s="730" t="str">
        <f ca="1">MID(CELL("filename",B1),FIND("]",CELL("filename",B1))+1,255)</f>
        <v>APR-MAY 2023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814</v>
      </c>
      <c r="I2" s="79" t="s">
        <v>799</v>
      </c>
      <c r="J2" s="307" t="s">
        <v>814</v>
      </c>
      <c r="K2" s="79" t="s">
        <v>800</v>
      </c>
      <c r="L2" s="307" t="s">
        <v>814</v>
      </c>
      <c r="M2" s="79" t="s">
        <v>801</v>
      </c>
      <c r="N2" s="307" t="s">
        <v>814</v>
      </c>
      <c r="O2" s="273" t="s">
        <v>10</v>
      </c>
      <c r="P2" s="273"/>
      <c r="Q2" s="283" t="s">
        <v>803</v>
      </c>
    </row>
    <row r="3" spans="1:20">
      <c r="B3" s="118"/>
      <c r="C3" s="118"/>
      <c r="D3" s="290" t="str">
        <f>"£" &amp; ROUND(O5+O28+O24+IF(O30&lt;0,0,O30)+O31+O4,2) &amp; " / " &amp; "£" &amp; E33</f>
        <v>£277.76 / £5554.63</v>
      </c>
      <c r="E3" s="365">
        <f>2802.81-2787.81</f>
        <v>15</v>
      </c>
      <c r="F3" s="365"/>
      <c r="G3" s="732">
        <v>45041</v>
      </c>
      <c r="H3" s="732"/>
      <c r="I3" s="732">
        <f>G3+7</f>
        <v>45048</v>
      </c>
      <c r="J3" s="732"/>
      <c r="K3" s="732">
        <f>I3+7</f>
        <v>45055</v>
      </c>
      <c r="L3" s="732"/>
      <c r="M3" s="732">
        <f>K3+7</f>
        <v>45062</v>
      </c>
      <c r="N3" s="732"/>
      <c r="O3" s="308">
        <v>0</v>
      </c>
      <c r="P3" s="325" t="s">
        <v>1224</v>
      </c>
      <c r="Q3" s="282"/>
    </row>
    <row r="4" spans="1:20" ht="15" customHeight="1">
      <c r="B4" s="727" t="str">
        <f>_xlfn.CONCAT("Expenses - 50 - ",G33*0.5," / Actual = ",ROUND(D5,2)," (",ROUND((D5/G33)*100,2),")")</f>
        <v>Expenses - 50 - 2082.84 / Actual = 1982.26 (47.59)</v>
      </c>
      <c r="C4" s="727"/>
      <c r="D4" s="727"/>
      <c r="E4" s="727"/>
      <c r="F4" s="318" t="s">
        <v>19</v>
      </c>
      <c r="H4" s="304">
        <f>SUM(H5:H31)</f>
        <v>0</v>
      </c>
      <c r="J4" s="304">
        <f>SUM(J5:J31)</f>
        <v>0</v>
      </c>
      <c r="L4" s="304">
        <f>SUM(L5:L31)</f>
        <v>0</v>
      </c>
      <c r="N4" s="304">
        <f>SUM(N5:N31)</f>
        <v>0</v>
      </c>
      <c r="O4" s="308">
        <f>IF(H32&lt;&gt;"PAID",H4,0)+IF(J32&lt;&gt;"PAID",J4,0)+IF(L32&lt;&gt;"PAID",L4,0)+IF(N32&lt;&gt;"PAID",N4,0)</f>
        <v>0</v>
      </c>
      <c r="P4" s="309" t="s">
        <v>973</v>
      </c>
      <c r="Q4" s="408">
        <f>O4+402.34</f>
        <v>402.34</v>
      </c>
      <c r="R4" s="243"/>
      <c r="S4" s="243"/>
    </row>
    <row r="5" spans="1:20" ht="15" customHeight="1">
      <c r="B5" s="733" t="str">
        <f>IF(D5&gt;E$33*0.5,ROUND(D5-E$33*0.5,2) &amp; " Over",ROUND(E$33*0.5-D5,2) &amp; " Under")</f>
        <v>795.06 Under</v>
      </c>
      <c r="C5" s="733"/>
      <c r="D5" s="761">
        <f>ROUND(SUM(F6:F21),2)</f>
        <v>1982.26</v>
      </c>
      <c r="E5" s="761"/>
      <c r="F5" s="321"/>
      <c r="G5" s="284"/>
      <c r="H5" s="306"/>
      <c r="I5" s="79"/>
      <c r="J5" s="306"/>
      <c r="K5" s="79"/>
      <c r="L5" s="306"/>
      <c r="M5" s="79"/>
      <c r="N5" s="305"/>
      <c r="O5" s="285">
        <f>SUMIF(O6:O21,"&gt;0")</f>
        <v>277.75999999999976</v>
      </c>
      <c r="P5" s="285" t="s">
        <v>892</v>
      </c>
      <c r="Q5" s="282">
        <f>SUM(Q6:Q20)</f>
        <v>1.9799999999999986</v>
      </c>
      <c r="R5" s="243"/>
    </row>
    <row r="6" spans="1:20" ht="15" customHeight="1">
      <c r="B6" s="734" t="str">
        <f>"50%: " &amp; E$33*0.5</f>
        <v>50%: 2777.315</v>
      </c>
      <c r="C6" s="734" t="str">
        <f>ROUND((D5/E$33)*100,2) &amp; "%: " &amp;D5</f>
        <v>35.69%: 1982.26</v>
      </c>
      <c r="D6" s="13" t="s">
        <v>805</v>
      </c>
      <c r="E6" s="365">
        <v>0</v>
      </c>
      <c r="F6" s="374">
        <v>0</v>
      </c>
      <c r="H6" s="304"/>
      <c r="J6" s="305"/>
      <c r="L6" s="305"/>
      <c r="N6" s="305"/>
      <c r="O6" s="274">
        <f t="shared" ref="O6:O21" si="0">SUM(E6:F6)-SUM(G6:N6)</f>
        <v>0</v>
      </c>
      <c r="P6" s="274" t="str">
        <f t="shared" ref="P6:P21" si="1">D6</f>
        <v>Car Petrol / commuting</v>
      </c>
      <c r="Q6" s="282">
        <f t="shared" ref="Q6:Q21" si="2">IF(O6&lt;0,O6*-1,0)</f>
        <v>0</v>
      </c>
      <c r="R6" s="243"/>
    </row>
    <row r="7" spans="1:20" ht="15" customHeight="1">
      <c r="B7" s="734"/>
      <c r="C7" s="734"/>
      <c r="D7" s="13" t="s">
        <v>169</v>
      </c>
      <c r="E7" s="365">
        <v>0</v>
      </c>
      <c r="F7" s="365">
        <v>0</v>
      </c>
      <c r="H7" s="304"/>
      <c r="J7" s="305"/>
      <c r="L7" s="305"/>
      <c r="N7" s="305"/>
      <c r="O7" s="274">
        <f t="shared" si="0"/>
        <v>0</v>
      </c>
      <c r="P7" s="274" t="str">
        <f t="shared" si="1"/>
        <v>Food</v>
      </c>
      <c r="Q7" s="282">
        <f t="shared" si="2"/>
        <v>0</v>
      </c>
      <c r="R7" s="243"/>
    </row>
    <row r="8" spans="1:20" ht="15" customHeight="1">
      <c r="B8" s="734"/>
      <c r="C8" s="734"/>
      <c r="D8" s="13" t="s">
        <v>153</v>
      </c>
      <c r="E8" s="365">
        <v>0</v>
      </c>
      <c r="F8" s="365">
        <v>0</v>
      </c>
      <c r="H8" s="305"/>
      <c r="J8" s="305"/>
      <c r="L8" s="305"/>
      <c r="N8" s="305"/>
      <c r="O8" s="274">
        <f t="shared" si="0"/>
        <v>0</v>
      </c>
      <c r="P8" s="274" t="str">
        <f t="shared" si="1"/>
        <v>Luna</v>
      </c>
      <c r="Q8" s="282">
        <f t="shared" si="2"/>
        <v>0</v>
      </c>
    </row>
    <row r="9" spans="1:20" ht="15" customHeight="1">
      <c r="B9" s="734"/>
      <c r="C9" s="734"/>
      <c r="D9" s="13" t="s">
        <v>1079</v>
      </c>
      <c r="E9" s="365">
        <v>0</v>
      </c>
      <c r="F9" s="365">
        <f>130</f>
        <v>130</v>
      </c>
      <c r="G9">
        <v>130</v>
      </c>
      <c r="H9" s="305"/>
      <c r="J9" s="305"/>
      <c r="L9" s="305"/>
      <c r="N9" s="305"/>
      <c r="O9" s="274">
        <f t="shared" si="0"/>
        <v>0</v>
      </c>
      <c r="P9" s="274" t="str">
        <f t="shared" si="1"/>
        <v>Creamy</v>
      </c>
      <c r="Q9" s="282">
        <f t="shared" si="2"/>
        <v>0</v>
      </c>
    </row>
    <row r="10" spans="1:20" ht="15" customHeight="1" outlineLevel="1">
      <c r="B10" s="734"/>
      <c r="C10" s="734"/>
      <c r="D10" s="201" t="s">
        <v>595</v>
      </c>
      <c r="E10" s="365">
        <v>0</v>
      </c>
      <c r="F10" s="365">
        <f>452.64</f>
        <v>452.64</v>
      </c>
      <c r="H10" s="304"/>
      <c r="J10" s="305"/>
      <c r="L10" s="305"/>
      <c r="M10">
        <v>452.64</v>
      </c>
      <c r="N10" s="305"/>
      <c r="O10" s="274">
        <f t="shared" si="0"/>
        <v>0</v>
      </c>
      <c r="P10" s="274" t="str">
        <f t="shared" si="1"/>
        <v>Mortgage</v>
      </c>
      <c r="Q10" s="282">
        <f t="shared" si="2"/>
        <v>0</v>
      </c>
      <c r="R10" s="243"/>
    </row>
    <row r="11" spans="1:20" ht="15" customHeight="1" outlineLevel="1">
      <c r="B11" s="734"/>
      <c r="C11" s="734"/>
      <c r="D11" s="201" t="s">
        <v>596</v>
      </c>
      <c r="E11" s="365">
        <v>0</v>
      </c>
      <c r="F11" s="365">
        <v>147</v>
      </c>
      <c r="G11">
        <v>147</v>
      </c>
      <c r="H11" s="305"/>
      <c r="J11" s="305"/>
      <c r="L11" s="305"/>
      <c r="N11" s="305"/>
      <c r="O11" s="274">
        <f t="shared" si="0"/>
        <v>0</v>
      </c>
      <c r="P11" s="274" t="str">
        <f t="shared" si="1"/>
        <v>Council tax</v>
      </c>
      <c r="Q11" s="282">
        <f t="shared" si="2"/>
        <v>0</v>
      </c>
    </row>
    <row r="12" spans="1:20" ht="15" customHeight="1" outlineLevel="1">
      <c r="B12" s="734"/>
      <c r="C12" s="734"/>
      <c r="D12" s="201" t="s">
        <v>1002</v>
      </c>
      <c r="E12" s="365">
        <v>0</v>
      </c>
      <c r="F12" s="365">
        <f>24+132.56+1</f>
        <v>157.56</v>
      </c>
      <c r="G12">
        <f>1+132.56</f>
        <v>133.56</v>
      </c>
      <c r="H12" s="305"/>
      <c r="J12" s="305"/>
      <c r="L12" s="305"/>
      <c r="M12">
        <v>24</v>
      </c>
      <c r="N12" s="305"/>
      <c r="O12" s="274">
        <f t="shared" si="0"/>
        <v>0</v>
      </c>
      <c r="P12" s="274" t="str">
        <f t="shared" si="1"/>
        <v>Utilities (G,W,E,HTB)</v>
      </c>
      <c r="Q12" s="282">
        <f t="shared" si="2"/>
        <v>0</v>
      </c>
    </row>
    <row r="13" spans="1:20" ht="15" customHeight="1" outlineLevel="1">
      <c r="B13" s="734"/>
      <c r="C13" s="734"/>
      <c r="D13" s="201" t="s">
        <v>996</v>
      </c>
      <c r="E13" s="365">
        <v>0</v>
      </c>
      <c r="F13" s="365">
        <v>13.99</v>
      </c>
      <c r="G13">
        <v>14</v>
      </c>
      <c r="H13" s="305"/>
      <c r="J13" s="305"/>
      <c r="L13" s="305"/>
      <c r="N13" s="305"/>
      <c r="O13" s="274">
        <f t="shared" si="0"/>
        <v>-9.9999999999997868E-3</v>
      </c>
      <c r="P13" s="274" t="str">
        <f t="shared" si="1"/>
        <v>Home Insurance</v>
      </c>
      <c r="Q13" s="282">
        <f t="shared" si="2"/>
        <v>9.9999999999997868E-3</v>
      </c>
    </row>
    <row r="14" spans="1:20" ht="15" customHeight="1" outlineLevel="1">
      <c r="B14" s="734"/>
      <c r="C14" s="734"/>
      <c r="D14" s="201" t="s">
        <v>1056</v>
      </c>
      <c r="E14" s="365">
        <v>0</v>
      </c>
      <c r="F14" s="365">
        <f>8+16.88+17.99</f>
        <v>42.87</v>
      </c>
      <c r="G14">
        <f>17.99+17.2+8</f>
        <v>43.19</v>
      </c>
      <c r="H14" s="305"/>
      <c r="J14" s="305"/>
      <c r="L14" s="305"/>
      <c r="N14" s="305"/>
      <c r="O14" s="274">
        <f t="shared" si="0"/>
        <v>-0.32000000000000028</v>
      </c>
      <c r="P14" s="274" t="str">
        <f t="shared" si="1"/>
        <v>Pet Health / Insurance</v>
      </c>
      <c r="Q14" s="282">
        <f t="shared" si="2"/>
        <v>0.32000000000000028</v>
      </c>
    </row>
    <row r="15" spans="1:20" ht="15" customHeight="1" outlineLevel="1">
      <c r="B15" s="734"/>
      <c r="C15" s="734"/>
      <c r="D15" s="201" t="s">
        <v>1057</v>
      </c>
      <c r="E15" s="365">
        <v>0</v>
      </c>
      <c r="F15" s="365">
        <f>4.52+15.97+30.8</f>
        <v>51.290000000000006</v>
      </c>
      <c r="G15">
        <f>20.49+30.8</f>
        <v>51.29</v>
      </c>
      <c r="H15" s="305"/>
      <c r="I15" s="11"/>
      <c r="J15" s="305"/>
      <c r="L15" s="305"/>
      <c r="N15" s="305"/>
      <c r="O15" s="274">
        <f t="shared" si="0"/>
        <v>0</v>
      </c>
      <c r="P15" s="274" t="str">
        <f t="shared" si="1"/>
        <v>Life / Income Insurance</v>
      </c>
      <c r="Q15" s="282">
        <f t="shared" si="2"/>
        <v>0</v>
      </c>
    </row>
    <row r="16" spans="1:20" ht="15" customHeight="1" outlineLevel="1">
      <c r="B16" s="734"/>
      <c r="C16" s="734"/>
      <c r="D16" s="201" t="s">
        <v>602</v>
      </c>
      <c r="E16" s="365">
        <v>0</v>
      </c>
      <c r="F16" s="365">
        <v>28.6</v>
      </c>
      <c r="G16">
        <v>28.6</v>
      </c>
      <c r="H16" s="305"/>
      <c r="J16" s="305"/>
      <c r="L16" s="305"/>
      <c r="N16" s="305"/>
      <c r="O16" s="274">
        <f t="shared" si="0"/>
        <v>0</v>
      </c>
      <c r="P16" s="274" t="str">
        <f t="shared" si="1"/>
        <v>Broadband / TV</v>
      </c>
      <c r="Q16" s="282">
        <f t="shared" si="2"/>
        <v>0</v>
      </c>
      <c r="S16">
        <f>956-623</f>
        <v>333</v>
      </c>
    </row>
    <row r="17" spans="2:19" ht="15" customHeight="1" outlineLevel="1">
      <c r="B17" s="734"/>
      <c r="C17" s="734"/>
      <c r="D17" s="201" t="s">
        <v>582</v>
      </c>
      <c r="E17" s="365">
        <v>0</v>
      </c>
      <c r="F17" s="365">
        <v>7.99</v>
      </c>
      <c r="G17">
        <v>7.99</v>
      </c>
      <c r="H17" s="305"/>
      <c r="J17" s="305"/>
      <c r="L17" s="305"/>
      <c r="N17" s="305"/>
      <c r="O17" s="274">
        <f t="shared" si="0"/>
        <v>0</v>
      </c>
      <c r="P17" s="274" t="str">
        <f t="shared" si="1"/>
        <v>Onedrive (6th)</v>
      </c>
      <c r="Q17" s="282">
        <f t="shared" si="2"/>
        <v>0</v>
      </c>
    </row>
    <row r="18" spans="2:19" ht="15" customHeight="1" outlineLevel="1">
      <c r="B18" s="734"/>
      <c r="C18" s="734"/>
      <c r="D18" s="201" t="s">
        <v>788</v>
      </c>
      <c r="E18" s="365">
        <v>0</v>
      </c>
      <c r="F18" s="365">
        <f>11.55</f>
        <v>11.55</v>
      </c>
      <c r="G18">
        <v>13.2</v>
      </c>
      <c r="H18" s="305"/>
      <c r="J18" s="305"/>
      <c r="L18" s="305"/>
      <c r="N18" s="305"/>
      <c r="O18" s="274">
        <f t="shared" si="0"/>
        <v>-1.6499999999999986</v>
      </c>
      <c r="P18" s="274" t="str">
        <f t="shared" si="1"/>
        <v>Matt Phone</v>
      </c>
      <c r="Q18" s="282">
        <f t="shared" si="2"/>
        <v>1.6499999999999986</v>
      </c>
    </row>
    <row r="19" spans="2:19" ht="15" customHeight="1" outlineLevel="1">
      <c r="B19" s="734"/>
      <c r="C19" s="734"/>
      <c r="D19" s="201" t="s">
        <v>690</v>
      </c>
      <c r="E19" s="365">
        <v>0</v>
      </c>
      <c r="F19" s="365">
        <f>11.81+32.71+47.69+14.43+468.84</f>
        <v>575.48</v>
      </c>
      <c r="G19">
        <f>11.81+14.43+32.71+468.84+47.69</f>
        <v>575.48</v>
      </c>
      <c r="H19" s="305"/>
      <c r="J19" s="305"/>
      <c r="L19" s="305"/>
      <c r="N19" s="305"/>
      <c r="O19" s="274">
        <f t="shared" si="0"/>
        <v>0</v>
      </c>
      <c r="P19" s="274" t="str">
        <f t="shared" si="1"/>
        <v>Cars</v>
      </c>
      <c r="Q19" s="282">
        <f t="shared" si="2"/>
        <v>0</v>
      </c>
    </row>
    <row r="20" spans="2:19" ht="15" customHeight="1" outlineLevel="1">
      <c r="B20" s="734"/>
      <c r="C20" s="734"/>
      <c r="D20" s="201" t="s">
        <v>944</v>
      </c>
      <c r="E20" s="365">
        <v>0</v>
      </c>
      <c r="F20" s="365">
        <v>15</v>
      </c>
      <c r="G20">
        <v>15</v>
      </c>
      <c r="H20" s="305"/>
      <c r="J20" s="305"/>
      <c r="L20" s="305"/>
      <c r="N20" s="305"/>
      <c r="O20" s="274">
        <f t="shared" si="0"/>
        <v>0</v>
      </c>
      <c r="P20" s="274" t="str">
        <f t="shared" si="1"/>
        <v>Windows</v>
      </c>
      <c r="Q20" s="282">
        <f t="shared" si="2"/>
        <v>0</v>
      </c>
    </row>
    <row r="21" spans="2:19" ht="15" customHeight="1" outlineLevel="1">
      <c r="B21" s="7"/>
      <c r="C21" s="7"/>
      <c r="D21" s="201" t="s">
        <v>814</v>
      </c>
      <c r="E21" s="365">
        <f>1279.79+70.05</f>
        <v>1349.84</v>
      </c>
      <c r="F21" s="365">
        <f>(75+200+70-140)+15.25+110+17.71+0.33</f>
        <v>348.28999999999996</v>
      </c>
      <c r="G21">
        <f>1373.4+41.32</f>
        <v>1414.72</v>
      </c>
      <c r="H21" s="305"/>
      <c r="J21" s="305"/>
      <c r="L21" s="305"/>
      <c r="M21">
        <v>5.65</v>
      </c>
      <c r="N21" s="305"/>
      <c r="O21" s="274">
        <f t="shared" si="0"/>
        <v>277.75999999999976</v>
      </c>
      <c r="P21" s="274" t="str">
        <f t="shared" si="1"/>
        <v>CC</v>
      </c>
      <c r="Q21" s="282">
        <f t="shared" si="2"/>
        <v>0</v>
      </c>
    </row>
    <row r="22" spans="2:19" ht="15" customHeight="1">
      <c r="B22" s="118"/>
      <c r="C22" s="118"/>
      <c r="D22" s="188"/>
      <c r="E22" s="365"/>
      <c r="F22" s="365"/>
      <c r="H22" s="305"/>
      <c r="J22" s="305"/>
      <c r="L22" s="305"/>
      <c r="N22" s="305"/>
      <c r="O22" s="273"/>
      <c r="P22" s="273"/>
      <c r="Q22" s="282"/>
    </row>
    <row r="23" spans="2:19" ht="15" customHeight="1">
      <c r="B23" s="736" t="str">
        <f>_xlfn.CONCAT("Savings - 20 - ",G33*0.2," / Actual = ",D24," (",ROUND((D24/G33)*100,2),")")</f>
        <v>Savings - 20 - 833.136 / Actual = 2020.7 (48.51)</v>
      </c>
      <c r="C23" s="736"/>
      <c r="D23" s="736"/>
      <c r="E23" s="736"/>
      <c r="F23" s="320"/>
      <c r="H23" s="305"/>
      <c r="J23" s="305"/>
      <c r="L23" s="305"/>
      <c r="N23" s="305"/>
      <c r="O23" s="274"/>
      <c r="P23" s="274"/>
      <c r="Q23" s="282"/>
    </row>
    <row r="24" spans="2:19" ht="15" customHeight="1">
      <c r="B24" s="727" t="str">
        <f>IF(ISNUMBER((SEARCH("Over",C$5))),"Operating under budget","Operating over budget")</f>
        <v>Operating over budget</v>
      </c>
      <c r="C24" s="727"/>
      <c r="D24" s="759">
        <f>SUM(F25:F25)</f>
        <v>2020.7</v>
      </c>
      <c r="E24" s="759"/>
      <c r="F24" s="319"/>
      <c r="H24" s="305"/>
      <c r="J24" s="305"/>
      <c r="L24" s="305"/>
      <c r="N24" s="305"/>
      <c r="O24" s="285">
        <f>SUMIF(O25:O25,"&gt;0")</f>
        <v>0</v>
      </c>
      <c r="P24" s="285" t="s">
        <v>895</v>
      </c>
      <c r="Q24" s="282">
        <f>SUM(Q25:Q25)</f>
        <v>0</v>
      </c>
    </row>
    <row r="25" spans="2:19" ht="15" customHeight="1" outlineLevel="1">
      <c r="B25" s="7" t="str">
        <f>"20% : " &amp; E$33*0.2</f>
        <v>20% : 1110.926</v>
      </c>
      <c r="C25" s="7" t="str">
        <f>"20% : " &amp; E$33*0.2</f>
        <v>20% : 1110.926</v>
      </c>
      <c r="D25" s="300" t="s">
        <v>183</v>
      </c>
      <c r="E25" s="365">
        <f>41.57-6.05</f>
        <v>35.520000000000003</v>
      </c>
      <c r="F25" s="365">
        <f>2038.41-17.71</f>
        <v>2020.7</v>
      </c>
      <c r="G25">
        <f>305.34+1499.22+250</f>
        <v>2054.56</v>
      </c>
      <c r="H25" s="305"/>
      <c r="J25" s="305"/>
      <c r="L25" s="315"/>
      <c r="N25" s="305"/>
      <c r="O25" s="274">
        <f>SUM(E25:F25)-SUM(G25:N25)-Q33</f>
        <v>-0.31999999999968942</v>
      </c>
      <c r="P25" s="274" t="str">
        <f>D25</f>
        <v>Savings</v>
      </c>
      <c r="Q25" s="282">
        <v>0</v>
      </c>
    </row>
    <row r="26" spans="2:19" ht="15" customHeight="1">
      <c r="B26" s="118"/>
      <c r="C26" s="118"/>
      <c r="E26" s="365"/>
      <c r="F26" s="365"/>
      <c r="H26" s="305"/>
      <c r="J26" s="305"/>
      <c r="L26" s="305"/>
      <c r="N26" s="305"/>
      <c r="O26" s="273"/>
      <c r="P26" s="273"/>
      <c r="Q26" s="282"/>
    </row>
    <row r="27" spans="2:19" ht="15" customHeight="1">
      <c r="B27" s="727" t="str">
        <f>_xlfn.CONCAT("Wants - 30 - ",G33*0.3," / Actual = ",D28," (",ROUND((D28/G33)*100,2),")")</f>
        <v>Wants - 30 - 1249.704 / Actual = 162.72 (3.91)</v>
      </c>
      <c r="C27" s="727"/>
      <c r="D27" s="727"/>
      <c r="E27" s="727"/>
      <c r="F27" s="318"/>
      <c r="H27" s="305"/>
      <c r="J27" s="305"/>
      <c r="L27" s="305"/>
      <c r="N27" s="305"/>
      <c r="O27" s="273"/>
      <c r="P27" s="273"/>
      <c r="Q27" s="282"/>
    </row>
    <row r="28" spans="2:19" ht="15" customHeight="1">
      <c r="B28" s="727" t="str">
        <f>IF(ISNUMBER((SEARCH("Over",B$5))),"Operating under budget","Operating over budget")</f>
        <v>Operating over budget</v>
      </c>
      <c r="C28" s="727"/>
      <c r="D28" s="759">
        <f>(E$33-D5-D24-E32)</f>
        <v>162.72000000000003</v>
      </c>
      <c r="E28" s="727"/>
      <c r="F28" s="319">
        <f>SUM(F29:F30)</f>
        <v>89.720000000000027</v>
      </c>
      <c r="H28" s="305"/>
      <c r="J28" s="305"/>
      <c r="L28" s="305"/>
      <c r="N28" s="305"/>
      <c r="O28" s="285">
        <f>SUMIF(O29:O29,"&gt;0")</f>
        <v>0</v>
      </c>
      <c r="P28" s="285" t="s">
        <v>899</v>
      </c>
      <c r="Q28" s="282">
        <f>SUM(Q29:Q30)</f>
        <v>0</v>
      </c>
    </row>
    <row r="29" spans="2:19" ht="15.75" customHeight="1" outlineLevel="1">
      <c r="B29" s="734"/>
      <c r="C29" s="760"/>
      <c r="D29" s="13" t="s">
        <v>781</v>
      </c>
      <c r="E29" s="365">
        <v>0</v>
      </c>
      <c r="F29" s="365">
        <f>13+6.99+10.99+0.99+7.99</f>
        <v>39.96</v>
      </c>
      <c r="G29" s="11">
        <f>13+10.99+7.99+6.99+0.99</f>
        <v>39.960000000000008</v>
      </c>
      <c r="H29" s="305"/>
      <c r="J29" s="305"/>
      <c r="L29" s="305"/>
      <c r="N29" s="305"/>
      <c r="O29" s="274">
        <f>SUM(E29:F29)-SUM(G29:N29)</f>
        <v>0</v>
      </c>
      <c r="P29" s="274" t="str">
        <f t="shared" ref="P29:P31" si="3">D29</f>
        <v>Subscriptions</v>
      </c>
      <c r="Q29" s="282">
        <f>IF(O29&lt;0,O29*-1,0)</f>
        <v>0</v>
      </c>
      <c r="S29" s="349"/>
    </row>
    <row r="30" spans="2:19" ht="18" outlineLevel="1">
      <c r="B30" s="734"/>
      <c r="C30" s="760"/>
      <c r="D30" s="13" t="s">
        <v>922</v>
      </c>
      <c r="E30" s="365">
        <v>3.59</v>
      </c>
      <c r="F30" s="365">
        <f>(D28-SUM(F29:F29))-F31</f>
        <v>49.760000000000019</v>
      </c>
      <c r="G30" s="11">
        <v>53.35</v>
      </c>
      <c r="J30" s="305"/>
      <c r="L30" s="305"/>
      <c r="N30" s="305"/>
      <c r="O30" s="274">
        <f>SUM(E30:F30)-SUM(G30:N30)</f>
        <v>0</v>
      </c>
      <c r="P30" s="274" t="str">
        <f t="shared" si="3"/>
        <v>Matt Fun</v>
      </c>
      <c r="Q30" s="282">
        <f>IF(SUM(E30:F30)-SUM(G30:N30)&lt;=0,(SUM(E30:F30)-SUM(G30:N30))*-1,0)</f>
        <v>0</v>
      </c>
    </row>
    <row r="31" spans="2:19" ht="18" outlineLevel="1">
      <c r="B31" s="7"/>
      <c r="C31" s="284"/>
      <c r="D31" s="13" t="s">
        <v>152</v>
      </c>
      <c r="E31" s="365">
        <v>0</v>
      </c>
      <c r="F31" s="365">
        <v>73</v>
      </c>
      <c r="G31" s="11">
        <v>73</v>
      </c>
      <c r="H31" s="306"/>
      <c r="J31" s="305"/>
      <c r="L31" s="305"/>
      <c r="N31" s="305"/>
      <c r="O31" s="274">
        <f>SUM(E31:F31)-SUM(G31:N31)</f>
        <v>0</v>
      </c>
      <c r="P31" s="274" t="str">
        <f t="shared" si="3"/>
        <v>Kris</v>
      </c>
      <c r="Q31" s="271">
        <f>IF(F31-SUM(G31:N31)&lt;=0,(F31-SUM(G31:N31))*-1,0)</f>
        <v>0</v>
      </c>
    </row>
    <row r="32" spans="2:19">
      <c r="B32" s="118"/>
      <c r="C32" s="118"/>
      <c r="E32" s="365">
        <f>SUM(E29:E31)+SUM(E25:E25)+SUM(E6:E21)</f>
        <v>1388.9499999999998</v>
      </c>
      <c r="F32" s="365"/>
      <c r="G32" s="349"/>
      <c r="J32" s="7"/>
      <c r="L32" s="7"/>
      <c r="N32" s="7"/>
      <c r="O32" s="273"/>
      <c r="P32" s="273"/>
      <c r="Q32" s="282"/>
    </row>
    <row r="33" spans="2:18" ht="18">
      <c r="B33" s="728" t="s">
        <v>817</v>
      </c>
      <c r="C33" s="728"/>
      <c r="D33" s="728"/>
      <c r="E33" s="375">
        <f>G33+I33+K33+M33+N33+E32</f>
        <v>5554.63</v>
      </c>
      <c r="F33" s="379"/>
      <c r="G33" s="271">
        <f>2959.99+(830-50)+200+19+20+1.69+185</f>
        <v>4165.68</v>
      </c>
      <c r="H33" s="282"/>
      <c r="I33" s="271"/>
      <c r="J33" s="271"/>
      <c r="K33" s="271"/>
      <c r="L33" s="271"/>
      <c r="M33" s="271"/>
      <c r="N33" s="271"/>
      <c r="O33" s="314" t="str">
        <f>"£" &amp; ROUND(O5+O28+O24+IF(O30&lt;0,0,O30)+O31+O4,2) &amp; " / " &amp; "£" &amp; E33</f>
        <v>£277.76 / £5554.63</v>
      </c>
      <c r="P33" s="274"/>
      <c r="Q33" s="282">
        <f>SUM(Q28,Q24,Q5)</f>
        <v>1.9799999999999986</v>
      </c>
    </row>
    <row r="34" spans="2:18">
      <c r="B34" s="118"/>
      <c r="C34" s="7"/>
      <c r="E34" s="365"/>
      <c r="F34" s="365"/>
      <c r="G34" s="365"/>
      <c r="H34" s="365"/>
    </row>
    <row r="35" spans="2:18" ht="14.4">
      <c r="B35" s="729"/>
      <c r="C35" s="729"/>
      <c r="D35" s="729"/>
      <c r="E35" s="729"/>
      <c r="F35" s="729"/>
      <c r="G35" s="729"/>
      <c r="H35" s="297"/>
      <c r="K35" s="729"/>
      <c r="L35" s="729"/>
      <c r="M35" s="729"/>
      <c r="N35" s="729"/>
      <c r="O35" s="729"/>
      <c r="P35" s="297"/>
    </row>
    <row r="36" spans="2:18" ht="15" customHeight="1">
      <c r="B36" s="726" t="s">
        <v>955</v>
      </c>
      <c r="C36" s="726"/>
      <c r="D36" s="726"/>
      <c r="E36" s="726"/>
      <c r="F36" s="348"/>
      <c r="K36" s="212"/>
      <c r="L36" s="212"/>
      <c r="N36" s="118" t="s">
        <v>1355</v>
      </c>
      <c r="O36" s="316">
        <v>45060</v>
      </c>
      <c r="P36" s="7">
        <f ca="1">DATEDIF(O36,NOW(),"d")</f>
        <v>1191</v>
      </c>
      <c r="Q36">
        <v>65</v>
      </c>
      <c r="R36" t="s">
        <v>1356</v>
      </c>
    </row>
    <row r="37" spans="2:18">
      <c r="B37" s="365"/>
      <c r="C37" s="38"/>
      <c r="D37" s="212"/>
      <c r="E37" s="310" t="s">
        <v>1307</v>
      </c>
      <c r="F37" s="11"/>
      <c r="G37" s="367"/>
      <c r="H37" s="343"/>
      <c r="I37" s="243"/>
      <c r="K37" s="11"/>
      <c r="N37" s="322" t="s">
        <v>1320</v>
      </c>
      <c r="O37" s="42">
        <v>44988</v>
      </c>
      <c r="P37" s="7">
        <f ca="1">DATEDIF(O37,NOW(),"d")</f>
        <v>1263</v>
      </c>
      <c r="Q37">
        <v>78</v>
      </c>
      <c r="R37" t="s">
        <v>1105</v>
      </c>
    </row>
    <row r="38" spans="2:18">
      <c r="D38" s="358" t="s">
        <v>662</v>
      </c>
      <c r="E38" s="424">
        <v>100</v>
      </c>
      <c r="F38" s="365"/>
      <c r="G38" s="367"/>
      <c r="H38" s="343">
        <v>1700</v>
      </c>
      <c r="I38" s="243"/>
      <c r="K38" s="11"/>
      <c r="O38"/>
      <c r="P38"/>
    </row>
    <row r="39" spans="2:18" ht="16.2" customHeight="1">
      <c r="D39" t="s">
        <v>1308</v>
      </c>
      <c r="E39" s="188">
        <v>50</v>
      </c>
      <c r="F39" s="278"/>
      <c r="G39" s="11">
        <v>1597.41</v>
      </c>
      <c r="H39" s="390"/>
      <c r="I39" s="243" t="s">
        <v>1363</v>
      </c>
      <c r="J39">
        <v>1079.1599999999999</v>
      </c>
      <c r="L39" s="243"/>
      <c r="O39" s="292"/>
      <c r="P39" s="212"/>
    </row>
    <row r="40" spans="2:18">
      <c r="B40" s="378"/>
      <c r="D40" t="s">
        <v>1309</v>
      </c>
      <c r="E40" s="409">
        <f>100+15</f>
        <v>115</v>
      </c>
      <c r="F40" s="361"/>
      <c r="G40" s="213">
        <v>976.56999999999994</v>
      </c>
      <c r="H40" s="430">
        <v>620.84000000000015</v>
      </c>
      <c r="I40" s="213"/>
      <c r="J40" s="213">
        <v>0</v>
      </c>
      <c r="K40" s="213"/>
      <c r="L40" s="243">
        <v>2511.41</v>
      </c>
      <c r="P40" s="56"/>
    </row>
    <row r="41" spans="2:18" ht="14.4">
      <c r="D41" t="s">
        <v>1311</v>
      </c>
      <c r="E41" s="409">
        <v>35</v>
      </c>
      <c r="F41" s="361"/>
      <c r="G41" s="407">
        <v>652.16999999999996</v>
      </c>
      <c r="H41" s="79">
        <v>324.39999999999998</v>
      </c>
      <c r="L41" s="243"/>
      <c r="P41"/>
    </row>
    <row r="42" spans="2:18" ht="14.4">
      <c r="D42" t="s">
        <v>1312</v>
      </c>
      <c r="E42" s="412">
        <v>35</v>
      </c>
      <c r="F42" s="361"/>
      <c r="G42" s="407">
        <v>652.16999999999996</v>
      </c>
      <c r="H42" s="79">
        <v>0</v>
      </c>
      <c r="J42">
        <v>1755.1599999999999</v>
      </c>
      <c r="P42" s="212"/>
      <c r="Q42" s="212"/>
    </row>
    <row r="43" spans="2:18" ht="15" customHeight="1">
      <c r="D43" t="s">
        <v>1313</v>
      </c>
      <c r="E43" s="412">
        <v>15</v>
      </c>
      <c r="F43" s="361"/>
      <c r="G43" s="407">
        <v>652.16999999999996</v>
      </c>
      <c r="H43" s="390">
        <v>0</v>
      </c>
      <c r="J43">
        <v>1500</v>
      </c>
      <c r="P43" s="56"/>
      <c r="Q43" s="38"/>
    </row>
    <row r="44" spans="2:18" ht="14.4">
      <c r="D44" t="s">
        <v>970</v>
      </c>
      <c r="E44" s="412">
        <v>15</v>
      </c>
      <c r="F44" s="360"/>
      <c r="G44" s="407">
        <v>146.50999999999993</v>
      </c>
      <c r="H44">
        <v>505.66</v>
      </c>
      <c r="J44">
        <v>110</v>
      </c>
      <c r="O44"/>
      <c r="P44"/>
    </row>
    <row r="45" spans="2:18" ht="15" customHeight="1">
      <c r="D45" t="s">
        <v>1314</v>
      </c>
      <c r="E45" s="413">
        <v>40</v>
      </c>
      <c r="F45" s="360"/>
      <c r="H45" s="407"/>
      <c r="J45">
        <v>6089</v>
      </c>
      <c r="O45"/>
      <c r="P45"/>
    </row>
    <row r="46" spans="2:18">
      <c r="D46" s="358" t="s">
        <v>1315</v>
      </c>
      <c r="E46" s="423">
        <v>90</v>
      </c>
      <c r="F46" s="384"/>
      <c r="G46">
        <v>21</v>
      </c>
      <c r="H46" t="s">
        <v>1358</v>
      </c>
      <c r="O46"/>
      <c r="P46"/>
    </row>
    <row r="47" spans="2:18">
      <c r="B47" s="11"/>
      <c r="D47" t="s">
        <v>978</v>
      </c>
      <c r="E47" s="405">
        <v>100</v>
      </c>
      <c r="F47" s="384"/>
      <c r="G47">
        <v>25</v>
      </c>
      <c r="H47" t="s">
        <v>1357</v>
      </c>
      <c r="O47"/>
      <c r="P47"/>
    </row>
    <row r="48" spans="2:18" ht="14.4">
      <c r="B48" s="11"/>
      <c r="D48" t="s">
        <v>1321</v>
      </c>
      <c r="E48" s="405">
        <v>100</v>
      </c>
      <c r="F48" s="79"/>
      <c r="G48" s="407">
        <v>35</v>
      </c>
      <c r="H48" t="s">
        <v>1359</v>
      </c>
      <c r="O48"/>
      <c r="P48"/>
    </row>
    <row r="49" spans="2:16" ht="14.4">
      <c r="E49" s="405"/>
      <c r="F49" s="79"/>
      <c r="G49">
        <v>250</v>
      </c>
      <c r="H49" t="s">
        <v>1360</v>
      </c>
      <c r="O49"/>
      <c r="P49"/>
    </row>
    <row r="50" spans="2:16" ht="14.4">
      <c r="B50" s="212"/>
      <c r="C50" s="212"/>
      <c r="E50" s="405"/>
      <c r="F50" s="7"/>
      <c r="G50">
        <v>50</v>
      </c>
      <c r="H50" t="s">
        <v>1361</v>
      </c>
      <c r="I50" s="243"/>
      <c r="O50"/>
      <c r="P50"/>
    </row>
    <row r="51" spans="2:16" ht="14.4">
      <c r="C51" s="56"/>
      <c r="D51" s="243"/>
      <c r="E51"/>
      <c r="F51"/>
      <c r="I51" s="243"/>
      <c r="O51"/>
      <c r="P51"/>
    </row>
    <row r="52" spans="2:16" ht="15.75" customHeight="1">
      <c r="C52" s="56"/>
      <c r="E52"/>
      <c r="F52"/>
      <c r="G52">
        <v>90</v>
      </c>
      <c r="H52" t="s">
        <v>1317</v>
      </c>
      <c r="O52"/>
      <c r="P52"/>
    </row>
    <row r="53" spans="2:16" ht="14.4">
      <c r="C53" s="56"/>
      <c r="E53"/>
      <c r="F53"/>
      <c r="O53"/>
      <c r="P53" s="771"/>
    </row>
    <row r="54" spans="2:16" ht="14.4">
      <c r="C54" s="56"/>
      <c r="E54"/>
      <c r="F54"/>
      <c r="O54"/>
      <c r="P54" s="771"/>
    </row>
    <row r="55" spans="2:16" ht="14.4">
      <c r="C55" s="56"/>
      <c r="E55" s="243"/>
      <c r="F55"/>
      <c r="K55" s="243"/>
      <c r="O55"/>
      <c r="P55" s="771"/>
    </row>
    <row r="56" spans="2:16" ht="14.4">
      <c r="C56" s="56"/>
      <c r="D56" s="243"/>
      <c r="E56"/>
      <c r="F56"/>
      <c r="O56"/>
      <c r="P56" s="771"/>
    </row>
    <row r="57" spans="2:16" ht="14.4">
      <c r="C57" s="56"/>
      <c r="E57"/>
      <c r="F57"/>
      <c r="O57"/>
      <c r="P57"/>
    </row>
    <row r="58" spans="2:16" ht="14.4">
      <c r="C58" s="56"/>
      <c r="E58" s="347"/>
      <c r="F58"/>
      <c r="G58" s="771"/>
      <c r="H58" s="771"/>
      <c r="I58" s="771"/>
      <c r="J58" s="771"/>
      <c r="K58" s="771"/>
      <c r="L58" s="771"/>
      <c r="M58" s="771"/>
      <c r="N58" s="771"/>
      <c r="O58" s="771"/>
      <c r="P58" s="771"/>
    </row>
    <row r="59" spans="2:16" ht="14.4">
      <c r="C59" s="56"/>
      <c r="E59" s="332"/>
      <c r="F59" s="332"/>
      <c r="O59"/>
      <c r="P59" s="771"/>
    </row>
    <row r="60" spans="2:16" ht="14.4">
      <c r="C60" s="56"/>
      <c r="E60"/>
      <c r="F60"/>
      <c r="O60"/>
      <c r="P60" s="771"/>
    </row>
    <row r="61" spans="2:16" ht="14.4">
      <c r="C61" s="56"/>
      <c r="E61"/>
      <c r="F61"/>
      <c r="O61"/>
      <c r="P61" s="771"/>
    </row>
    <row r="62" spans="2:16">
      <c r="E62" s="365"/>
      <c r="F62" s="365"/>
      <c r="O62"/>
      <c r="P62" s="771"/>
    </row>
    <row r="63" spans="2:16" ht="14.4">
      <c r="B63" s="212"/>
      <c r="C63" s="294"/>
      <c r="D63" s="212"/>
      <c r="E63" s="212"/>
      <c r="F63" s="212"/>
      <c r="O63"/>
      <c r="P63"/>
    </row>
    <row r="64" spans="2:16" ht="14.4">
      <c r="C64" s="56"/>
      <c r="D64" s="56"/>
      <c r="E64" s="56"/>
      <c r="F64" s="56"/>
      <c r="G64" s="771"/>
      <c r="H64" s="771"/>
      <c r="I64" s="771"/>
      <c r="J64" s="771"/>
      <c r="K64" s="771"/>
      <c r="L64" s="771"/>
      <c r="M64" s="771"/>
      <c r="N64" s="771"/>
      <c r="O64" s="771"/>
      <c r="P64"/>
    </row>
    <row r="65" spans="3:16" ht="14.4">
      <c r="C65" s="56"/>
      <c r="D65" s="56"/>
      <c r="E65" s="56"/>
      <c r="F65" s="56"/>
      <c r="O65"/>
      <c r="P65" s="771"/>
    </row>
    <row r="66" spans="3:16" ht="14.4">
      <c r="C66" s="56"/>
      <c r="D66" s="56"/>
      <c r="E66" s="56"/>
      <c r="F66" s="56"/>
      <c r="O66"/>
      <c r="P66" s="771"/>
    </row>
    <row r="67" spans="3:16" ht="14.4">
      <c r="C67" s="56"/>
      <c r="D67" s="56"/>
      <c r="E67" s="56"/>
      <c r="F67" s="56"/>
      <c r="O67"/>
      <c r="P67" s="771"/>
    </row>
    <row r="68" spans="3:16" ht="14.4">
      <c r="C68" s="56"/>
      <c r="D68" s="56"/>
      <c r="E68" s="56"/>
      <c r="F68" s="56"/>
      <c r="O68"/>
      <c r="P68" s="771"/>
    </row>
    <row r="69" spans="3:16" ht="14.4">
      <c r="C69" s="56"/>
      <c r="E69" s="56"/>
      <c r="F69" s="56"/>
      <c r="O69"/>
      <c r="P69"/>
    </row>
    <row r="70" spans="3:16">
      <c r="O70"/>
      <c r="P70"/>
    </row>
    <row r="71" spans="3:16" ht="14.4">
      <c r="E71" s="212"/>
      <c r="F71" s="212"/>
      <c r="O71"/>
      <c r="P71" s="771"/>
    </row>
    <row r="72" spans="3:16" ht="14.4">
      <c r="E72" s="56"/>
      <c r="F72" s="56"/>
      <c r="O72"/>
      <c r="P72" s="771"/>
    </row>
    <row r="73" spans="3:16" ht="14.4">
      <c r="E73" s="56"/>
      <c r="F73" s="56"/>
      <c r="O73"/>
      <c r="P73" s="771"/>
    </row>
    <row r="74" spans="3:16" ht="14.4">
      <c r="E74" s="56"/>
      <c r="F74" s="56"/>
      <c r="O74"/>
      <c r="P74" s="771"/>
    </row>
    <row r="75" spans="3:16" ht="14.4">
      <c r="E75" s="56"/>
      <c r="F75" s="56"/>
      <c r="O75"/>
      <c r="P75"/>
    </row>
    <row r="76" spans="3:16" ht="14.4">
      <c r="E76" s="56"/>
      <c r="F76" s="56"/>
      <c r="O76"/>
      <c r="P76"/>
    </row>
    <row r="77" spans="3:16" ht="14.4">
      <c r="E77" s="56"/>
      <c r="F77" s="56"/>
      <c r="O77"/>
      <c r="P77" s="771"/>
    </row>
    <row r="78" spans="3:16">
      <c r="O78"/>
      <c r="P78" s="771"/>
    </row>
    <row r="79" spans="3:16" ht="14.4">
      <c r="E79" s="212"/>
      <c r="F79" s="212"/>
      <c r="O79"/>
      <c r="P79" s="771"/>
    </row>
    <row r="80" spans="3:16" ht="14.4">
      <c r="E80" s="56"/>
      <c r="F80" s="56"/>
      <c r="O80"/>
      <c r="P80" s="771"/>
    </row>
    <row r="81" spans="5:16" ht="14.4">
      <c r="E81" s="56"/>
      <c r="F81" s="56"/>
      <c r="O81"/>
      <c r="P81"/>
    </row>
    <row r="82" spans="5:16" ht="14.4">
      <c r="E82" s="56"/>
      <c r="F82" s="56"/>
      <c r="O82"/>
      <c r="P82"/>
    </row>
    <row r="83" spans="5:16" ht="14.4">
      <c r="E83" s="56"/>
      <c r="F83" s="56"/>
      <c r="O83"/>
      <c r="P83" s="771"/>
    </row>
    <row r="84" spans="5:16" ht="14.4">
      <c r="E84" s="56"/>
      <c r="F84" s="56"/>
      <c r="O84"/>
      <c r="P84" s="771"/>
    </row>
    <row r="85" spans="5:16" ht="14.4">
      <c r="E85" s="56"/>
      <c r="F85" s="56"/>
      <c r="O85"/>
      <c r="P85" s="771"/>
    </row>
    <row r="86" spans="5:16">
      <c r="E86" s="365"/>
      <c r="F86" s="365"/>
      <c r="O86"/>
      <c r="P86" s="771"/>
    </row>
    <row r="87" spans="5:16">
      <c r="O87"/>
      <c r="P87"/>
    </row>
    <row r="88" spans="5:16">
      <c r="O88"/>
      <c r="P88"/>
    </row>
  </sheetData>
  <mergeCells count="31">
    <mergeCell ref="B4:E4"/>
    <mergeCell ref="B1:O1"/>
    <mergeCell ref="G3:H3"/>
    <mergeCell ref="I3:J3"/>
    <mergeCell ref="K3:L3"/>
    <mergeCell ref="M3:N3"/>
    <mergeCell ref="B33:D33"/>
    <mergeCell ref="B5:C5"/>
    <mergeCell ref="D5:E5"/>
    <mergeCell ref="B6:B20"/>
    <mergeCell ref="C6:C20"/>
    <mergeCell ref="B23:E23"/>
    <mergeCell ref="B24:C24"/>
    <mergeCell ref="D24:E24"/>
    <mergeCell ref="B27:E27"/>
    <mergeCell ref="B28:C28"/>
    <mergeCell ref="D28:E28"/>
    <mergeCell ref="B29:B30"/>
    <mergeCell ref="C29:C30"/>
    <mergeCell ref="P83:P86"/>
    <mergeCell ref="B35:G35"/>
    <mergeCell ref="K35:O35"/>
    <mergeCell ref="B36:C36"/>
    <mergeCell ref="D36:E36"/>
    <mergeCell ref="P53:P56"/>
    <mergeCell ref="G58:P58"/>
    <mergeCell ref="P59:P62"/>
    <mergeCell ref="G64:O64"/>
    <mergeCell ref="P65:P68"/>
    <mergeCell ref="P71:P74"/>
    <mergeCell ref="P77:P80"/>
  </mergeCells>
  <pageMargins left="0.7" right="0.7" top="0.75" bottom="0.75" header="0.3" footer="0.3"/>
  <pageSetup orientation="portrait" r:id="rId1"/>
  <legacyDrawing r:id="rId2"/>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F8D56-DC0E-4636-B845-CEBE2C62167C}">
  <dimension ref="A1:T95"/>
  <sheetViews>
    <sheetView topLeftCell="D3" zoomScale="80" zoomScaleNormal="80" workbookViewId="0">
      <selection activeCell="F10" sqref="F10"/>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APR-MAY 2023</v>
      </c>
      <c r="B1" s="730" t="str">
        <f ca="1">MID(CELL("filename",B1),FIND("]",CELL("filename",B1))+1,255)</f>
        <v>MAY-JUN 2023</v>
      </c>
      <c r="C1" s="731"/>
      <c r="D1" s="731"/>
      <c r="E1" s="731"/>
      <c r="F1" s="731"/>
      <c r="G1" s="731"/>
      <c r="H1" s="731"/>
      <c r="I1" s="731"/>
      <c r="J1" s="731"/>
      <c r="K1" s="731"/>
      <c r="L1" s="731"/>
      <c r="M1" s="731"/>
      <c r="N1" s="731"/>
      <c r="O1" s="731"/>
      <c r="P1" s="298"/>
      <c r="Q1" s="281"/>
      <c r="R1" s="272"/>
      <c r="S1" s="272"/>
      <c r="T1" s="272"/>
    </row>
    <row r="2" spans="1:20">
      <c r="B2" s="118"/>
      <c r="C2" s="118"/>
      <c r="E2" s="365"/>
      <c r="F2" s="365">
        <f>H4+1597.41</f>
        <v>4559.41</v>
      </c>
      <c r="G2" s="79" t="s">
        <v>798</v>
      </c>
      <c r="H2" s="307" t="s">
        <v>887</v>
      </c>
      <c r="I2" s="79" t="s">
        <v>799</v>
      </c>
      <c r="J2" s="307" t="s">
        <v>1374</v>
      </c>
      <c r="K2" s="79" t="s">
        <v>800</v>
      </c>
      <c r="L2" s="307" t="s">
        <v>887</v>
      </c>
      <c r="M2" s="79" t="s">
        <v>801</v>
      </c>
      <c r="N2" s="307" t="s">
        <v>1374</v>
      </c>
      <c r="O2" s="273" t="s">
        <v>10</v>
      </c>
      <c r="P2" s="273"/>
      <c r="Q2" s="283" t="s">
        <v>803</v>
      </c>
    </row>
    <row r="3" spans="1:20">
      <c r="B3" s="118"/>
      <c r="C3" s="118"/>
      <c r="D3" s="290" t="str">
        <f>"£" &amp; ROUND(O5+O35+O24+IF(O37&lt;0,0,O37)+O38+O4,2) &amp; " / " &amp; "£" &amp; E40</f>
        <v>£332.48 / £23838.89</v>
      </c>
      <c r="E3" s="365">
        <f>2802.81-2787.81</f>
        <v>15</v>
      </c>
      <c r="F3" s="365">
        <f>F2-2723.07</f>
        <v>1836.3399999999997</v>
      </c>
      <c r="G3" s="732">
        <v>45071</v>
      </c>
      <c r="H3" s="732"/>
      <c r="I3" s="732">
        <f>G3+7</f>
        <v>45078</v>
      </c>
      <c r="J3" s="732"/>
      <c r="K3" s="732">
        <f>I3+7</f>
        <v>45085</v>
      </c>
      <c r="L3" s="732"/>
      <c r="M3" s="732">
        <f>K3+7</f>
        <v>45092</v>
      </c>
      <c r="N3" s="732"/>
      <c r="O3" s="308">
        <v>0</v>
      </c>
      <c r="P3" s="325" t="s">
        <v>1224</v>
      </c>
      <c r="Q3" s="282"/>
    </row>
    <row r="4" spans="1:20" ht="15" customHeight="1">
      <c r="B4" s="727" t="str">
        <f>_xlfn.CONCAT("Expenses - 50 - ",G40*0.5," / Actual = ",ROUND(D5,2)," (",ROUND((D5/G40)*100,2),")")</f>
        <v>Expenses - 50 - 11637.03 / Actual = 2463.08 (10.58)</v>
      </c>
      <c r="C4" s="727"/>
      <c r="D4" s="727"/>
      <c r="E4" s="727"/>
      <c r="F4" s="318"/>
      <c r="H4" s="304">
        <f>SUM(H5:H38)</f>
        <v>2962</v>
      </c>
      <c r="J4" s="304">
        <f>SUM(J5:J38)</f>
        <v>2475.9600000000005</v>
      </c>
      <c r="L4" s="304">
        <f>SUM(L5:L38)</f>
        <v>320.87</v>
      </c>
      <c r="N4" s="304">
        <f>SUM(N5:N38)</f>
        <v>1060.1400000000001</v>
      </c>
      <c r="O4" s="308">
        <f>IF(H39&lt;&gt;"PAID",H4,0)+IF(J39&lt;&gt;"PAID",J4,0)+IF(L39&lt;&gt;"PAID",L4,0)+IF(N39&lt;&gt;"PAID",N4,0)</f>
        <v>1381.0100000000002</v>
      </c>
      <c r="P4" s="309" t="s">
        <v>973</v>
      </c>
      <c r="Q4" s="408">
        <f>O4+402.34</f>
        <v>1783.3500000000001</v>
      </c>
      <c r="R4" s="243"/>
      <c r="S4" s="243">
        <f>340.92-L4</f>
        <v>20.050000000000011</v>
      </c>
    </row>
    <row r="5" spans="1:20" ht="15" customHeight="1">
      <c r="B5" s="733" t="str">
        <f>IF(D5&gt;E$40*0.5,ROUND(D5-E$40*0.5,2) &amp; " Over",ROUND(E$40*0.5-D5,2) &amp; " Under")</f>
        <v>9456.37 Under</v>
      </c>
      <c r="C5" s="733"/>
      <c r="D5" s="761">
        <f>ROUND(SUM(F6:F21),2)</f>
        <v>2463.08</v>
      </c>
      <c r="E5" s="761"/>
      <c r="F5" s="321"/>
      <c r="G5" s="284"/>
      <c r="H5" s="306"/>
      <c r="I5" s="79"/>
      <c r="J5" s="306"/>
      <c r="K5" s="79"/>
      <c r="L5" s="306"/>
      <c r="M5" s="79"/>
      <c r="N5" s="305"/>
      <c r="O5" s="285">
        <f>SUMIF(O6:O21,"&gt;0")</f>
        <v>69.559999999999931</v>
      </c>
      <c r="P5" s="285" t="s">
        <v>892</v>
      </c>
      <c r="Q5" s="282">
        <f>SUM(Q6:Q20)</f>
        <v>2.6499999999999915</v>
      </c>
      <c r="R5" s="243"/>
      <c r="S5">
        <v>9</v>
      </c>
    </row>
    <row r="6" spans="1:20" ht="15" customHeight="1">
      <c r="B6" s="734" t="str">
        <f>"50%: " &amp; E$40*0.5</f>
        <v>50%: 11919.445</v>
      </c>
      <c r="C6" s="734" t="str">
        <f>ROUND((D5/E$40)*100,2) &amp; "%: " &amp;D5</f>
        <v>10.33%: 2463.08</v>
      </c>
      <c r="D6" s="13" t="s">
        <v>805</v>
      </c>
      <c r="E6" s="365">
        <v>0</v>
      </c>
      <c r="F6" s="377">
        <v>160</v>
      </c>
      <c r="G6">
        <v>25</v>
      </c>
      <c r="H6" s="304">
        <f>67.34+20.19+20.02</f>
        <v>107.55</v>
      </c>
      <c r="J6" s="305"/>
      <c r="L6" s="305"/>
      <c r="N6" s="305"/>
      <c r="O6" s="274">
        <f t="shared" ref="O6:O21" si="0">SUM(E6:F6)-SUM(G6:N6)</f>
        <v>27.449999999999989</v>
      </c>
      <c r="P6" s="274" t="str">
        <f t="shared" ref="P6:P21" si="1">D6</f>
        <v>Car Petrol / commuting</v>
      </c>
      <c r="Q6" s="282">
        <f t="shared" ref="Q6:Q21" si="2">IF(O6&lt;0,O6*-1,0)</f>
        <v>0</v>
      </c>
      <c r="R6" s="243"/>
    </row>
    <row r="7" spans="1:20" ht="15" customHeight="1">
      <c r="B7" s="734"/>
      <c r="C7" s="734"/>
      <c r="D7" s="13" t="s">
        <v>169</v>
      </c>
      <c r="E7" s="365">
        <v>0</v>
      </c>
      <c r="F7" s="365">
        <v>400</v>
      </c>
      <c r="H7" s="304">
        <f>34.47+67.99+34.79+64.44+5.6+45.2+58.33</f>
        <v>310.82</v>
      </c>
      <c r="J7" s="305">
        <v>5</v>
      </c>
      <c r="L7" s="305">
        <f>31.1+15.45+12.93</f>
        <v>59.48</v>
      </c>
      <c r="N7" s="305"/>
      <c r="O7" s="274">
        <f t="shared" si="0"/>
        <v>24.699999999999989</v>
      </c>
      <c r="P7" s="274" t="str">
        <f t="shared" si="1"/>
        <v>Food</v>
      </c>
      <c r="Q7" s="282">
        <f t="shared" si="2"/>
        <v>0</v>
      </c>
      <c r="R7" s="243"/>
    </row>
    <row r="8" spans="1:20" ht="15" customHeight="1">
      <c r="B8" s="734"/>
      <c r="C8" s="734"/>
      <c r="D8" s="13" t="s">
        <v>153</v>
      </c>
      <c r="E8" s="365">
        <v>0</v>
      </c>
      <c r="F8" s="365">
        <v>100</v>
      </c>
      <c r="H8" s="305">
        <f>26.2</f>
        <v>26.2</v>
      </c>
      <c r="J8" s="305">
        <f>28.56+29.72</f>
        <v>58.28</v>
      </c>
      <c r="L8" s="305"/>
      <c r="N8" s="305"/>
      <c r="O8" s="274">
        <f t="shared" si="0"/>
        <v>15.519999999999996</v>
      </c>
      <c r="P8" s="274" t="str">
        <f t="shared" si="1"/>
        <v>Luna</v>
      </c>
      <c r="Q8" s="282">
        <f t="shared" si="2"/>
        <v>0</v>
      </c>
    </row>
    <row r="9" spans="1:20" ht="15" customHeight="1">
      <c r="B9" s="734"/>
      <c r="C9" s="734"/>
      <c r="D9" s="13" t="s">
        <v>1079</v>
      </c>
      <c r="E9" s="365">
        <v>0</v>
      </c>
      <c r="F9" s="365">
        <v>40</v>
      </c>
      <c r="H9" s="305">
        <f>13.79</f>
        <v>13.79</v>
      </c>
      <c r="J9" s="305">
        <f>5.19+19.99</f>
        <v>25.18</v>
      </c>
      <c r="L9" s="305"/>
      <c r="N9" s="305"/>
      <c r="O9" s="274">
        <f t="shared" si="0"/>
        <v>1.0300000000000011</v>
      </c>
      <c r="P9" s="274" t="str">
        <f t="shared" si="1"/>
        <v>Creamy</v>
      </c>
      <c r="Q9" s="282">
        <f t="shared" si="2"/>
        <v>0</v>
      </c>
    </row>
    <row r="10" spans="1:20" ht="15" customHeight="1" outlineLevel="1">
      <c r="B10" s="734"/>
      <c r="C10" s="734"/>
      <c r="D10" s="201" t="s">
        <v>595</v>
      </c>
      <c r="E10" s="365">
        <v>0</v>
      </c>
      <c r="F10" s="365">
        <f>452.64</f>
        <v>452.64</v>
      </c>
      <c r="H10" s="304"/>
      <c r="J10" s="305"/>
      <c r="K10">
        <v>452.64</v>
      </c>
      <c r="L10" s="305"/>
      <c r="N10" s="305"/>
      <c r="O10" s="274">
        <f t="shared" si="0"/>
        <v>0</v>
      </c>
      <c r="P10" s="274" t="str">
        <f t="shared" si="1"/>
        <v>Mortgage</v>
      </c>
      <c r="Q10" s="282">
        <f t="shared" si="2"/>
        <v>0</v>
      </c>
      <c r="R10" s="243"/>
    </row>
    <row r="11" spans="1:20" ht="15" customHeight="1" outlineLevel="1">
      <c r="B11" s="734"/>
      <c r="C11" s="734"/>
      <c r="D11" s="201" t="s">
        <v>596</v>
      </c>
      <c r="E11" s="365">
        <v>0</v>
      </c>
      <c r="F11" s="365">
        <v>147</v>
      </c>
      <c r="H11" s="305"/>
      <c r="J11" s="305"/>
      <c r="K11">
        <v>147</v>
      </c>
      <c r="L11" s="305"/>
      <c r="N11" s="305"/>
      <c r="O11" s="274">
        <f t="shared" si="0"/>
        <v>0</v>
      </c>
      <c r="P11" s="274" t="str">
        <f t="shared" si="1"/>
        <v>Council tax</v>
      </c>
      <c r="Q11" s="282">
        <f t="shared" si="2"/>
        <v>0</v>
      </c>
    </row>
    <row r="12" spans="1:20" ht="15" customHeight="1" outlineLevel="1">
      <c r="B12" s="734"/>
      <c r="C12" s="734"/>
      <c r="D12" s="201" t="s">
        <v>1002</v>
      </c>
      <c r="E12" s="365">
        <v>0</v>
      </c>
      <c r="F12" s="365">
        <f>24+132.56</f>
        <v>156.56</v>
      </c>
      <c r="G12">
        <v>132.56</v>
      </c>
      <c r="H12" s="305"/>
      <c r="J12" s="305"/>
      <c r="K12">
        <v>24</v>
      </c>
      <c r="L12" s="305"/>
      <c r="N12" s="305"/>
      <c r="O12" s="274">
        <f t="shared" si="0"/>
        <v>0</v>
      </c>
      <c r="P12" s="274" t="str">
        <f t="shared" si="1"/>
        <v>Utilities (G,W,E,HTB)</v>
      </c>
      <c r="Q12" s="282">
        <f t="shared" si="2"/>
        <v>0</v>
      </c>
    </row>
    <row r="13" spans="1:20" ht="15" customHeight="1" outlineLevel="1">
      <c r="B13" s="734"/>
      <c r="C13" s="734"/>
      <c r="D13" s="201" t="s">
        <v>996</v>
      </c>
      <c r="E13" s="365">
        <v>0</v>
      </c>
      <c r="F13" s="365">
        <v>14</v>
      </c>
      <c r="G13">
        <v>14</v>
      </c>
      <c r="H13" s="305"/>
      <c r="J13" s="305"/>
      <c r="L13" s="305"/>
      <c r="N13" s="305"/>
      <c r="O13" s="274">
        <f t="shared" si="0"/>
        <v>0</v>
      </c>
      <c r="P13" s="274" t="str">
        <f t="shared" si="1"/>
        <v>Home Insurance</v>
      </c>
      <c r="Q13" s="282">
        <f t="shared" si="2"/>
        <v>0</v>
      </c>
    </row>
    <row r="14" spans="1:20" ht="15" customHeight="1" outlineLevel="1">
      <c r="B14" s="734"/>
      <c r="C14" s="734"/>
      <c r="D14" s="201" t="s">
        <v>1056</v>
      </c>
      <c r="E14" s="365">
        <v>0</v>
      </c>
      <c r="F14" s="365">
        <f>8+17.2+17.99</f>
        <v>43.19</v>
      </c>
      <c r="G14">
        <f>17.2+17.99</f>
        <v>35.19</v>
      </c>
      <c r="H14" s="305"/>
      <c r="J14" s="305"/>
      <c r="K14">
        <v>8</v>
      </c>
      <c r="L14" s="305"/>
      <c r="N14" s="305"/>
      <c r="O14" s="274">
        <f t="shared" si="0"/>
        <v>0</v>
      </c>
      <c r="P14" s="274" t="str">
        <f t="shared" si="1"/>
        <v>Pet Health / Insurance</v>
      </c>
      <c r="Q14" s="282">
        <f t="shared" si="2"/>
        <v>0</v>
      </c>
    </row>
    <row r="15" spans="1:20" ht="15" customHeight="1" outlineLevel="1">
      <c r="B15" s="734"/>
      <c r="C15" s="734"/>
      <c r="D15" s="201" t="s">
        <v>1057</v>
      </c>
      <c r="E15" s="365">
        <v>0</v>
      </c>
      <c r="F15" s="365">
        <f>4.52+15.97+30.8</f>
        <v>51.290000000000006</v>
      </c>
      <c r="G15">
        <f>21.49+30.8</f>
        <v>52.29</v>
      </c>
      <c r="H15" s="305"/>
      <c r="I15" s="11"/>
      <c r="J15" s="305"/>
      <c r="L15" s="305"/>
      <c r="N15" s="305"/>
      <c r="O15" s="274">
        <f t="shared" si="0"/>
        <v>-0.99999999999999289</v>
      </c>
      <c r="P15" s="274" t="str">
        <f t="shared" si="1"/>
        <v>Life / Income Insurance</v>
      </c>
      <c r="Q15" s="282">
        <f t="shared" si="2"/>
        <v>0.99999999999999289</v>
      </c>
    </row>
    <row r="16" spans="1:20" ht="15" customHeight="1" outlineLevel="1">
      <c r="B16" s="734"/>
      <c r="C16" s="734"/>
      <c r="D16" s="201" t="s">
        <v>602</v>
      </c>
      <c r="E16" s="365">
        <v>0</v>
      </c>
      <c r="F16" s="365">
        <v>28.6</v>
      </c>
      <c r="H16" s="305"/>
      <c r="I16">
        <v>28.6</v>
      </c>
      <c r="J16" s="305"/>
      <c r="L16" s="305"/>
      <c r="N16" s="305"/>
      <c r="O16" s="274">
        <f t="shared" si="0"/>
        <v>0</v>
      </c>
      <c r="P16" s="274" t="str">
        <f t="shared" si="1"/>
        <v>Broadband / TV</v>
      </c>
      <c r="Q16" s="282">
        <f t="shared" si="2"/>
        <v>0</v>
      </c>
    </row>
    <row r="17" spans="2:19" ht="15" customHeight="1" outlineLevel="1">
      <c r="B17" s="734"/>
      <c r="C17" s="734"/>
      <c r="D17" s="201" t="s">
        <v>582</v>
      </c>
      <c r="E17" s="365">
        <v>0</v>
      </c>
      <c r="F17" s="365">
        <v>7.99</v>
      </c>
      <c r="G17">
        <v>7.99</v>
      </c>
      <c r="H17" s="305"/>
      <c r="J17" s="305"/>
      <c r="L17" s="305"/>
      <c r="N17" s="305"/>
      <c r="O17" s="274">
        <f t="shared" si="0"/>
        <v>0</v>
      </c>
      <c r="P17" s="274" t="str">
        <f t="shared" si="1"/>
        <v>Onedrive (6th)</v>
      </c>
      <c r="Q17" s="282">
        <f t="shared" si="2"/>
        <v>0</v>
      </c>
    </row>
    <row r="18" spans="2:19" ht="15" customHeight="1" outlineLevel="1">
      <c r="B18" s="734"/>
      <c r="C18" s="734"/>
      <c r="D18" s="201" t="s">
        <v>788</v>
      </c>
      <c r="E18" s="365">
        <v>0</v>
      </c>
      <c r="F18" s="365">
        <f>11.55</f>
        <v>11.55</v>
      </c>
      <c r="G18">
        <v>13.2</v>
      </c>
      <c r="H18" s="305"/>
      <c r="J18" s="305"/>
      <c r="L18" s="305"/>
      <c r="N18" s="305"/>
      <c r="O18" s="274">
        <f t="shared" si="0"/>
        <v>-1.6499999999999986</v>
      </c>
      <c r="P18" s="274" t="str">
        <f t="shared" si="1"/>
        <v>Matt Phone</v>
      </c>
      <c r="Q18" s="282">
        <f t="shared" si="2"/>
        <v>1.6499999999999986</v>
      </c>
    </row>
    <row r="19" spans="2:19" ht="15" customHeight="1" outlineLevel="1">
      <c r="B19" s="734"/>
      <c r="C19" s="734"/>
      <c r="D19" s="201" t="s">
        <v>690</v>
      </c>
      <c r="E19" s="365">
        <v>0</v>
      </c>
      <c r="F19" s="365">
        <f>11.81+32.71+36.5+14.43+468.84+270.97</f>
        <v>835.26</v>
      </c>
      <c r="G19">
        <f>11.81+14.43+32.71+468.84+36.5</f>
        <v>564.29</v>
      </c>
      <c r="H19" s="305"/>
      <c r="J19" s="305"/>
      <c r="K19">
        <v>270.97000000000003</v>
      </c>
      <c r="L19" s="305"/>
      <c r="N19" s="305"/>
      <c r="O19" s="274">
        <f t="shared" si="0"/>
        <v>0</v>
      </c>
      <c r="P19" s="274" t="str">
        <f t="shared" si="1"/>
        <v>Cars</v>
      </c>
      <c r="Q19" s="282">
        <f t="shared" si="2"/>
        <v>0</v>
      </c>
    </row>
    <row r="20" spans="2:19" ht="15" customHeight="1" outlineLevel="1">
      <c r="B20" s="734"/>
      <c r="C20" s="734"/>
      <c r="D20" s="201" t="s">
        <v>944</v>
      </c>
      <c r="E20" s="365">
        <v>0</v>
      </c>
      <c r="F20" s="365">
        <v>15</v>
      </c>
      <c r="G20">
        <v>15</v>
      </c>
      <c r="H20" s="305"/>
      <c r="J20" s="305"/>
      <c r="L20" s="305"/>
      <c r="N20" s="305"/>
      <c r="O20" s="274">
        <f t="shared" si="0"/>
        <v>0</v>
      </c>
      <c r="P20" s="274" t="str">
        <f t="shared" si="1"/>
        <v>Windows</v>
      </c>
      <c r="Q20" s="282">
        <f t="shared" si="2"/>
        <v>0</v>
      </c>
    </row>
    <row r="21" spans="2:19" ht="15" customHeight="1" outlineLevel="1">
      <c r="B21" s="7"/>
      <c r="C21" s="7"/>
      <c r="D21" s="201" t="s">
        <v>814</v>
      </c>
      <c r="E21" s="365">
        <v>277.76</v>
      </c>
      <c r="F21" s="365">
        <v>0</v>
      </c>
      <c r="H21" s="305">
        <f>3+45.34+5.5+28.84+57.11+40.98+28.64+25+9.76+3.5+20.03+4.8+4.4</f>
        <v>276.90000000000003</v>
      </c>
      <c r="J21" s="305"/>
      <c r="L21" s="305"/>
      <c r="N21" s="305"/>
      <c r="O21" s="274">
        <f t="shared" si="0"/>
        <v>0.8599999999999568</v>
      </c>
      <c r="P21" s="274" t="str">
        <f t="shared" si="1"/>
        <v>CC</v>
      </c>
      <c r="Q21" s="282">
        <f t="shared" si="2"/>
        <v>0</v>
      </c>
    </row>
    <row r="22" spans="2:19" ht="15" customHeight="1">
      <c r="B22" s="118"/>
      <c r="C22" s="118"/>
      <c r="D22" s="188"/>
      <c r="E22" s="365"/>
      <c r="F22" s="365"/>
      <c r="H22" s="305"/>
      <c r="J22" s="305"/>
      <c r="L22" s="305"/>
      <c r="N22" s="305"/>
      <c r="O22" s="273"/>
      <c r="P22" s="273"/>
      <c r="Q22" s="282"/>
    </row>
    <row r="23" spans="2:19" ht="15" customHeight="1">
      <c r="B23" s="736" t="str">
        <f>_xlfn.CONCAT("Savings - 20 - ",G40*0.2," / Actual = ",D24," (",ROUND((D24/G40)*100,2),")")</f>
        <v>Savings - 20 - 4654.812 / Actual = 20213.49 (86.85)</v>
      </c>
      <c r="C23" s="736"/>
      <c r="D23" s="736"/>
      <c r="E23" s="736"/>
      <c r="F23" s="320"/>
      <c r="H23" s="305"/>
      <c r="J23" s="305"/>
      <c r="L23" s="305"/>
      <c r="N23" s="305"/>
      <c r="O23" s="274"/>
      <c r="P23" s="274"/>
      <c r="Q23" s="282"/>
      <c r="S23">
        <f>N25-345+115+100</f>
        <v>882.2</v>
      </c>
    </row>
    <row r="24" spans="2:19" ht="15" customHeight="1">
      <c r="B24" s="727" t="str">
        <f>IF(ISNUMBER((SEARCH("Over",C$5))),"Operating under budget","Operating over budget")</f>
        <v>Operating over budget</v>
      </c>
      <c r="C24" s="727"/>
      <c r="D24" s="759">
        <f>SUM(F25:F32)</f>
        <v>20213.489999999998</v>
      </c>
      <c r="E24" s="759"/>
      <c r="F24" s="319"/>
      <c r="H24" s="305"/>
      <c r="J24" s="305"/>
      <c r="L24" s="305"/>
      <c r="N24" s="305"/>
      <c r="O24" s="285">
        <f>SUMIF(O25:O32,"&gt;0")</f>
        <v>7186.91</v>
      </c>
      <c r="P24" s="285" t="s">
        <v>895</v>
      </c>
      <c r="Q24" s="282">
        <f>SUM(Q25:Q25)</f>
        <v>0</v>
      </c>
      <c r="R24" s="243"/>
      <c r="S24">
        <v>1381.01</v>
      </c>
    </row>
    <row r="25" spans="2:19" ht="15" customHeight="1" outlineLevel="1">
      <c r="B25" s="7" t="str">
        <f>"20% : " &amp; E$40*0.2</f>
        <v>20% : 4767.778</v>
      </c>
      <c r="C25" s="7" t="str">
        <f>"20% : " &amp; E$40*0.2</f>
        <v>20% : 4767.778</v>
      </c>
      <c r="D25" s="300" t="s">
        <v>183</v>
      </c>
      <c r="E25" s="365">
        <v>0</v>
      </c>
      <c r="F25" s="365">
        <v>3225</v>
      </c>
      <c r="G25">
        <v>160</v>
      </c>
      <c r="H25" s="305">
        <f>19.99+95+150.24+110</f>
        <v>375.23</v>
      </c>
      <c r="I25">
        <v>120</v>
      </c>
      <c r="J25" s="305"/>
      <c r="K25">
        <f>195+100</f>
        <v>295</v>
      </c>
      <c r="L25" s="315"/>
      <c r="M25">
        <f>20+95</f>
        <v>115</v>
      </c>
      <c r="N25" s="305">
        <f>224.3+11.84+5.58+7.47+25.66+9.87+55.96+11.19+6.03+37.88+2.88+26.63+25.91+345.42+37.88+5.18+29.1+4.82+88.46-64.5+70.76+17.69+1.52+2.29+9.64+12.74</f>
        <v>1012.2</v>
      </c>
      <c r="O25" s="274">
        <f>SUM(E25:F25)-SUM(G25:N25)-Q40</f>
        <v>1144.7899999999993</v>
      </c>
      <c r="P25" s="274" t="str">
        <f>D25</f>
        <v>Savings</v>
      </c>
      <c r="Q25" s="282">
        <v>0</v>
      </c>
      <c r="S25">
        <f>302.48</f>
        <v>302.48</v>
      </c>
    </row>
    <row r="26" spans="2:19" ht="15" customHeight="1" outlineLevel="1">
      <c r="B26" s="7"/>
      <c r="C26" s="7"/>
      <c r="D26" s="300" t="s">
        <v>1367</v>
      </c>
      <c r="E26" s="365">
        <v>0</v>
      </c>
      <c r="F26" s="365">
        <v>280</v>
      </c>
      <c r="G26">
        <v>280</v>
      </c>
      <c r="H26" s="305"/>
      <c r="J26" s="305"/>
      <c r="L26" s="315"/>
      <c r="N26" s="305"/>
      <c r="O26" s="274">
        <f>SUM(E26:F26)-SUM(G26:N26)-Q41</f>
        <v>0</v>
      </c>
      <c r="P26" s="274" t="str">
        <f>D26</f>
        <v>Su</v>
      </c>
      <c r="Q26" s="282">
        <v>0</v>
      </c>
      <c r="S26">
        <f>S24-S25</f>
        <v>1078.53</v>
      </c>
    </row>
    <row r="27" spans="2:19" ht="15" customHeight="1" outlineLevel="1">
      <c r="B27" s="7"/>
      <c r="C27" s="7"/>
      <c r="D27" s="300" t="s">
        <v>606</v>
      </c>
      <c r="E27" s="365">
        <v>0</v>
      </c>
      <c r="F27" s="365">
        <f>1133.67+3874.43+200</f>
        <v>5208.1000000000004</v>
      </c>
      <c r="H27" s="305"/>
      <c r="J27" s="305"/>
      <c r="L27" s="315"/>
      <c r="N27" s="305"/>
      <c r="O27" s="274">
        <f>SUM(E27:F27)-SUM(G27:N27)</f>
        <v>5208.1000000000004</v>
      </c>
      <c r="P27" s="274" t="str">
        <f t="shared" ref="P27:P32" si="3">D27</f>
        <v>Car</v>
      </c>
      <c r="Q27" s="282">
        <v>0</v>
      </c>
      <c r="S27" s="243"/>
    </row>
    <row r="28" spans="2:19" ht="15" customHeight="1" outlineLevel="1">
      <c r="B28" s="7"/>
      <c r="C28" s="7"/>
      <c r="D28" s="300" t="s">
        <v>797</v>
      </c>
      <c r="E28" s="365">
        <v>0</v>
      </c>
      <c r="F28" s="431">
        <v>2676.57</v>
      </c>
      <c r="G28">
        <v>1597.41</v>
      </c>
      <c r="H28" s="305"/>
      <c r="J28" s="305">
        <v>1079.1600000000001</v>
      </c>
      <c r="L28" s="315"/>
      <c r="N28" s="305"/>
      <c r="O28" s="274">
        <f>SUM(E28:F28)-SUM(G28:N28)</f>
        <v>0</v>
      </c>
      <c r="P28" s="274" t="str">
        <f t="shared" si="3"/>
        <v>Bali</v>
      </c>
      <c r="Q28" s="282">
        <v>0</v>
      </c>
      <c r="S28" s="243">
        <f>O25+345</f>
        <v>1489.7899999999993</v>
      </c>
    </row>
    <row r="29" spans="2:19" ht="15" customHeight="1" outlineLevel="1">
      <c r="B29" s="7"/>
      <c r="C29" s="7"/>
      <c r="D29" s="300" t="s">
        <v>1365</v>
      </c>
      <c r="E29" s="365">
        <v>0</v>
      </c>
      <c r="F29" s="431">
        <v>5023.82</v>
      </c>
      <c r="G29">
        <v>5023.82</v>
      </c>
      <c r="H29" s="305"/>
      <c r="J29" s="305"/>
      <c r="L29" s="315"/>
      <c r="N29" s="305"/>
      <c r="O29" s="274">
        <f>SUM(E29:F29)-SUM(G29:N29)</f>
        <v>0</v>
      </c>
      <c r="P29" s="274" t="str">
        <f t="shared" si="3"/>
        <v>Student Loan</v>
      </c>
      <c r="Q29" s="282">
        <v>0</v>
      </c>
      <c r="S29" s="243"/>
    </row>
    <row r="30" spans="2:19" ht="15" customHeight="1" outlineLevel="1">
      <c r="B30" s="7"/>
      <c r="C30" s="7"/>
      <c r="D30" s="300" t="s">
        <v>1364</v>
      </c>
      <c r="E30" s="365">
        <v>0</v>
      </c>
      <c r="F30" s="432">
        <v>1250</v>
      </c>
      <c r="G30">
        <v>60</v>
      </c>
      <c r="H30" s="305">
        <f>107.55+157.92+15.98+11.98+178.99+192.5+(85.5-43.99)+32.53+14.99+20.47+(-43.99)+85.5+32.53+14.99+20.47+104.26+23.76+38+20.95+21+25.93</f>
        <v>1117.8200000000002</v>
      </c>
      <c r="I30">
        <f>32.89+4</f>
        <v>36.89</v>
      </c>
      <c r="J30" s="305">
        <f>29.5</f>
        <v>29.5</v>
      </c>
      <c r="L30" s="315"/>
      <c r="N30" s="305"/>
      <c r="O30" s="274">
        <f>SUM(E30:F30)-SUM(G30:N30)</f>
        <v>5.7899999999997362</v>
      </c>
      <c r="P30" s="274" t="str">
        <f t="shared" si="3"/>
        <v>Renovation</v>
      </c>
      <c r="Q30" s="282">
        <v>0</v>
      </c>
    </row>
    <row r="31" spans="2:19" ht="15" customHeight="1" outlineLevel="1">
      <c r="B31" s="7"/>
      <c r="C31" s="7"/>
      <c r="D31" s="300" t="s">
        <v>881</v>
      </c>
      <c r="E31" s="365">
        <v>0</v>
      </c>
      <c r="F31" s="432">
        <f>500+50</f>
        <v>550</v>
      </c>
      <c r="G31">
        <v>60</v>
      </c>
      <c r="H31" s="305">
        <f>31+49+16+18+9.85+18</f>
        <v>141.85</v>
      </c>
      <c r="J31" s="305">
        <f>176.22+19.15+3.12+11.02+18.4+26.5+18.4+5.9-21.39+13.03+2.1+16.16+25.13+20.28</f>
        <v>334.02</v>
      </c>
      <c r="L31" s="315"/>
      <c r="N31" s="305"/>
      <c r="O31" s="274">
        <f t="shared" ref="O31:O32" si="4">SUM(E31:F31)-SUM(G31:N31)</f>
        <v>14.129999999999995</v>
      </c>
      <c r="P31" s="274" t="str">
        <f t="shared" si="3"/>
        <v>Garden</v>
      </c>
      <c r="Q31" s="282"/>
    </row>
    <row r="32" spans="2:19" ht="15" customHeight="1" outlineLevel="1">
      <c r="B32" s="7"/>
      <c r="C32" s="7"/>
      <c r="D32" s="300" t="s">
        <v>1366</v>
      </c>
      <c r="E32" s="365">
        <v>0</v>
      </c>
      <c r="F32" s="432">
        <v>2000</v>
      </c>
      <c r="G32">
        <f>1000-974+0.52</f>
        <v>26.52</v>
      </c>
      <c r="H32" s="305">
        <f>9.49+49.5</f>
        <v>58.99</v>
      </c>
      <c r="J32" s="305">
        <f>899</f>
        <v>899</v>
      </c>
      <c r="L32" s="315">
        <f>172.22+29.98-27+20+6.19</f>
        <v>201.39</v>
      </c>
      <c r="N32" s="305"/>
      <c r="O32" s="274">
        <f t="shared" si="4"/>
        <v>814.09999999999991</v>
      </c>
      <c r="P32" s="274" t="str">
        <f t="shared" si="3"/>
        <v>Bedroom</v>
      </c>
      <c r="Q32" s="282"/>
    </row>
    <row r="33" spans="2:19" ht="15" customHeight="1">
      <c r="B33" s="118"/>
      <c r="C33" s="118"/>
      <c r="E33" s="365"/>
      <c r="F33" s="365"/>
      <c r="H33" s="305"/>
      <c r="J33" s="305"/>
      <c r="L33" s="305"/>
      <c r="N33" s="305"/>
      <c r="O33" s="274"/>
      <c r="P33" s="273"/>
      <c r="Q33" s="282"/>
    </row>
    <row r="34" spans="2:19" ht="15" customHeight="1">
      <c r="B34" s="727" t="str">
        <f>_xlfn.CONCAT("Wants - 30 - ",G40*0.3," / Actual = ",D35," (",ROUND((D35/G40)*100,2),")")</f>
        <v>Wants - 30 - 6982.218 / Actual = 884.56 (3.8)</v>
      </c>
      <c r="C34" s="727"/>
      <c r="D34" s="727"/>
      <c r="E34" s="727"/>
      <c r="F34" s="318"/>
      <c r="H34" s="305"/>
      <c r="J34" s="305"/>
      <c r="L34" s="305"/>
      <c r="N34" s="305"/>
      <c r="O34" s="273"/>
      <c r="P34" s="273"/>
      <c r="Q34" s="282"/>
    </row>
    <row r="35" spans="2:19" ht="15" customHeight="1">
      <c r="B35" s="727" t="str">
        <f>IF(ISNUMBER((SEARCH("Over",B$5))),"Operating under budget","Operating over budget")</f>
        <v>Operating over budget</v>
      </c>
      <c r="C35" s="727"/>
      <c r="D35" s="759">
        <f>(E$40-D5-D24-E39)</f>
        <v>884.55999999999972</v>
      </c>
      <c r="E35" s="727"/>
      <c r="F35" s="319">
        <f>SUM(F36:F37)</f>
        <v>732.55999999999972</v>
      </c>
      <c r="H35" s="305"/>
      <c r="J35" s="305"/>
      <c r="L35" s="305"/>
      <c r="N35" s="305"/>
      <c r="O35" s="285">
        <f>SUMIF(O36:O36,"&gt;0")</f>
        <v>0</v>
      </c>
      <c r="P35" s="285" t="s">
        <v>899</v>
      </c>
      <c r="Q35" s="282">
        <f>SUM(Q36:Q37)</f>
        <v>0.13000000000033651</v>
      </c>
    </row>
    <row r="36" spans="2:19" ht="15.75" customHeight="1" outlineLevel="1">
      <c r="B36" s="734"/>
      <c r="C36" s="760"/>
      <c r="D36" s="13" t="s">
        <v>781</v>
      </c>
      <c r="E36" s="365">
        <v>0</v>
      </c>
      <c r="F36" s="365">
        <f>13+6.99+10.99+0.99+7.99</f>
        <v>39.96</v>
      </c>
      <c r="G36" s="11">
        <f>13+10.99+0.99+7.99</f>
        <v>32.97</v>
      </c>
      <c r="H36" s="305"/>
      <c r="I36">
        <v>6.99</v>
      </c>
      <c r="J36" s="305"/>
      <c r="L36" s="305"/>
      <c r="N36" s="305"/>
      <c r="O36" s="274">
        <f>SUM(E36:F36)-SUM(G36:N36)</f>
        <v>0</v>
      </c>
      <c r="P36" s="274" t="str">
        <f t="shared" ref="P36:P38" si="5">D36</f>
        <v>Subscriptions</v>
      </c>
      <c r="Q36" s="282">
        <f>IF(O36&lt;0,O36*-1,0)</f>
        <v>0</v>
      </c>
      <c r="S36" s="349"/>
    </row>
    <row r="37" spans="2:19" ht="18" outlineLevel="1">
      <c r="B37" s="734"/>
      <c r="C37" s="760"/>
      <c r="D37" s="13" t="s">
        <v>922</v>
      </c>
      <c r="E37" s="365">
        <v>0</v>
      </c>
      <c r="F37" s="365">
        <f>(D35-SUM(F36:F36))-F38</f>
        <v>692.59999999999968</v>
      </c>
      <c r="G37" s="11">
        <f>40+20+25</f>
        <v>85</v>
      </c>
      <c r="H37">
        <f>13.97+3.35+22.68+6.99+13.07+7+39+92+18.28+1.35+5.75+7.3+23.5+4.25+9.7+127.6-16.37+50+12.2+11.75+4+2.85+20.39+3.34+8.99+6.65-14-63.1+11+12.99</f>
        <v>446.4799999999999</v>
      </c>
      <c r="I37">
        <v>20</v>
      </c>
      <c r="J37" s="305">
        <f>0.5+2.99+5.35+2.99+7.3+6.6+2.08+1.3+16.71</f>
        <v>45.819999999999993</v>
      </c>
      <c r="K37">
        <f>30+17.49</f>
        <v>47.489999999999995</v>
      </c>
      <c r="L37" s="305"/>
      <c r="N37" s="305">
        <f>16+2+5.95+5.99+18</f>
        <v>47.94</v>
      </c>
      <c r="O37" s="274">
        <f>SUM(E37:F37)-SUM(G37:N37)</f>
        <v>-0.13000000000033651</v>
      </c>
      <c r="P37" s="274" t="str">
        <f t="shared" si="5"/>
        <v>Matt Fun</v>
      </c>
      <c r="Q37" s="282">
        <f>IF(SUM(E37:F37)-SUM(G37:N37)&lt;=0,(SUM(E37:F37)-SUM(G37:N37))*-1,0)</f>
        <v>0.13000000000033651</v>
      </c>
    </row>
    <row r="38" spans="2:19" ht="18" outlineLevel="1">
      <c r="B38" s="7"/>
      <c r="C38" s="284"/>
      <c r="D38" s="13" t="s">
        <v>152</v>
      </c>
      <c r="E38" s="365">
        <v>0</v>
      </c>
      <c r="F38" s="365">
        <f>28+28+12+24+60</f>
        <v>152</v>
      </c>
      <c r="G38" s="11">
        <f>16226-2676.57-J4-(H4-J28)-260-120-500</f>
        <v>8310.6299999999992</v>
      </c>
      <c r="H38" s="306">
        <f>28+28+18.38+11.99</f>
        <v>86.36999999999999</v>
      </c>
      <c r="J38" s="305"/>
      <c r="L38" s="305">
        <v>60</v>
      </c>
      <c r="N38" s="305"/>
      <c r="O38" s="274">
        <f>SUM(E38:F38)-SUM(G38:N38)</f>
        <v>-8305</v>
      </c>
      <c r="P38" s="274" t="str">
        <f t="shared" si="5"/>
        <v>Kris</v>
      </c>
      <c r="Q38" s="271">
        <f>IF(F38-SUM(G38:N38)&lt;=0,(F38-SUM(G38:N38))*-1,0)</f>
        <v>8305</v>
      </c>
    </row>
    <row r="39" spans="2:19">
      <c r="B39" s="118"/>
      <c r="C39" s="118"/>
      <c r="E39" s="365">
        <f>SUM(E36:E38)+SUM(E25:E25)+SUM(E6:E21)</f>
        <v>277.76</v>
      </c>
      <c r="F39" s="365"/>
      <c r="G39" s="349"/>
      <c r="H39" t="s">
        <v>986</v>
      </c>
      <c r="J39" s="7" t="s">
        <v>986</v>
      </c>
      <c r="L39" s="7"/>
      <c r="N39" s="7"/>
      <c r="O39" s="273"/>
      <c r="P39" s="274"/>
      <c r="Q39" s="282"/>
    </row>
    <row r="40" spans="2:19" ht="18">
      <c r="B40" s="440" t="s">
        <v>19</v>
      </c>
      <c r="C40" s="440"/>
      <c r="D40" s="433" t="s">
        <v>19</v>
      </c>
      <c r="E40" s="375">
        <f>G40+I40+K40+M40+N40+E39</f>
        <v>23838.889999999996</v>
      </c>
      <c r="F40" s="379"/>
      <c r="G40" s="271">
        <f>3341.06+850+19000+28+28+15+12</f>
        <v>23274.059999999998</v>
      </c>
      <c r="H40" s="282"/>
      <c r="I40" s="271">
        <f>200+2.09+0.46</f>
        <v>202.55</v>
      </c>
      <c r="J40" s="271"/>
      <c r="K40" s="271">
        <f>24+0.52</f>
        <v>24.52</v>
      </c>
      <c r="L40" s="271"/>
      <c r="M40" s="271">
        <v>60</v>
      </c>
      <c r="N40" s="271"/>
      <c r="O40" s="435">
        <f>ROUND(O5+O35+O24+IF(O37&lt;0,0,O37)+O38+O4,2)</f>
        <v>332.48</v>
      </c>
      <c r="P40" s="330" t="str">
        <f>D40</f>
        <v>Cash</v>
      </c>
      <c r="Q40" s="282">
        <f>SUM(Q35,Q24,Q5)</f>
        <v>2.780000000000328</v>
      </c>
    </row>
    <row r="41" spans="2:19" ht="18">
      <c r="B41" s="438"/>
      <c r="C41" s="7"/>
      <c r="D41" s="245" t="s">
        <v>887</v>
      </c>
      <c r="E41" s="365"/>
      <c r="F41" s="365"/>
      <c r="G41" s="365"/>
      <c r="H41" s="365"/>
      <c r="O41" s="436">
        <v>320.87</v>
      </c>
      <c r="P41" s="330" t="str">
        <f t="shared" ref="P41:P42" si="6">D41</f>
        <v>AMEX</v>
      </c>
    </row>
    <row r="42" spans="2:19" ht="18">
      <c r="B42" s="439" t="s">
        <v>1370</v>
      </c>
      <c r="C42" s="434"/>
      <c r="D42" s="245" t="s">
        <v>1370</v>
      </c>
      <c r="E42" s="434"/>
      <c r="F42" s="434"/>
      <c r="G42" s="434"/>
      <c r="H42" s="297"/>
      <c r="K42" s="434"/>
      <c r="L42" s="434"/>
      <c r="M42" s="434"/>
      <c r="N42" s="434"/>
      <c r="O42" s="437">
        <v>1060.1400000000001</v>
      </c>
      <c r="P42" s="330" t="str">
        <f t="shared" si="6"/>
        <v>Barclay</v>
      </c>
    </row>
    <row r="43" spans="2:19" ht="15" customHeight="1">
      <c r="B43" s="726" t="s">
        <v>955</v>
      </c>
      <c r="C43" s="726"/>
      <c r="E43"/>
      <c r="F43" s="348"/>
      <c r="K43" s="212"/>
      <c r="L43" s="212"/>
      <c r="N43" s="118" t="s">
        <v>1371</v>
      </c>
      <c r="O43" s="316">
        <v>45090</v>
      </c>
      <c r="P43" s="7">
        <f ca="1">DATEDIF(O43,NOW(),"d")</f>
        <v>1161</v>
      </c>
      <c r="Q43">
        <v>100</v>
      </c>
      <c r="R43" t="s">
        <v>1372</v>
      </c>
    </row>
    <row r="44" spans="2:19">
      <c r="B44" s="365"/>
      <c r="C44" s="38"/>
      <c r="D44" s="316"/>
      <c r="E44" s="310"/>
      <c r="F44" s="11"/>
      <c r="G44" s="243"/>
      <c r="H44" s="243"/>
      <c r="I44" s="243"/>
      <c r="K44" s="11"/>
      <c r="N44" s="322" t="s">
        <v>1369</v>
      </c>
      <c r="O44" s="42">
        <v>45083</v>
      </c>
      <c r="P44" s="7">
        <f ca="1">DATEDIF(O44,NOW(),"d")</f>
        <v>1168</v>
      </c>
      <c r="Q44">
        <v>127.6</v>
      </c>
      <c r="R44" t="s">
        <v>1368</v>
      </c>
    </row>
    <row r="45" spans="2:19">
      <c r="D45" s="42"/>
      <c r="E45" s="409"/>
      <c r="F45" s="365"/>
      <c r="H45" s="243"/>
      <c r="I45" s="243"/>
      <c r="J45" s="243"/>
      <c r="K45" s="243"/>
      <c r="L45" s="243"/>
      <c r="O45"/>
      <c r="P45"/>
    </row>
    <row r="46" spans="2:19" ht="16.2" customHeight="1">
      <c r="E46" s="188"/>
      <c r="F46" s="278"/>
      <c r="G46" s="213"/>
      <c r="H46" s="373"/>
      <c r="I46" s="213"/>
      <c r="J46" s="213"/>
      <c r="K46" s="213"/>
      <c r="L46" s="243"/>
      <c r="O46" s="292"/>
      <c r="P46" s="212"/>
    </row>
    <row r="47" spans="2:19">
      <c r="B47" s="378"/>
      <c r="E47" s="409"/>
      <c r="F47" s="361"/>
      <c r="G47" s="407"/>
      <c r="L47" s="243"/>
      <c r="M47">
        <v>507</v>
      </c>
      <c r="P47" s="56"/>
    </row>
    <row r="48" spans="2:19" ht="14.4">
      <c r="E48" s="409"/>
      <c r="F48" s="361"/>
      <c r="K48" s="369">
        <f>H4-2832.12</f>
        <v>129.88000000000011</v>
      </c>
      <c r="O48" s="343">
        <f>O24-N58</f>
        <v>-2003.7199999999993</v>
      </c>
      <c r="P48"/>
    </row>
    <row r="49" spans="2:17" ht="14.4">
      <c r="E49" s="412"/>
      <c r="F49" s="361"/>
      <c r="G49" s="407"/>
      <c r="P49" s="212"/>
      <c r="Q49" s="212"/>
    </row>
    <row r="50" spans="2:17" ht="15" customHeight="1">
      <c r="E50" s="412"/>
      <c r="F50" s="361"/>
      <c r="P50" s="56"/>
      <c r="Q50" s="38"/>
    </row>
    <row r="51" spans="2:17" ht="14.4">
      <c r="E51" s="412"/>
      <c r="F51" s="360"/>
      <c r="G51" s="407"/>
      <c r="K51" t="s">
        <v>1375</v>
      </c>
      <c r="O51"/>
      <c r="P51"/>
    </row>
    <row r="52" spans="2:17" ht="15" customHeight="1">
      <c r="E52" s="413"/>
      <c r="F52" s="360"/>
      <c r="G52" s="407"/>
      <c r="J52" t="s">
        <v>1373</v>
      </c>
      <c r="K52">
        <v>50</v>
      </c>
      <c r="M52">
        <f>1525.77-J28</f>
        <v>446.6099999999999</v>
      </c>
      <c r="O52" s="243">
        <f>SUM(H4:J4)-J28</f>
        <v>4358.8000000000011</v>
      </c>
      <c r="P52"/>
    </row>
    <row r="53" spans="2:17">
      <c r="E53" s="412"/>
      <c r="F53" s="384"/>
      <c r="I53">
        <v>8</v>
      </c>
      <c r="J53" t="s">
        <v>1379</v>
      </c>
      <c r="K53">
        <v>15</v>
      </c>
      <c r="O53"/>
      <c r="P53"/>
    </row>
    <row r="54" spans="2:17">
      <c r="B54" s="11"/>
      <c r="E54" s="405"/>
      <c r="F54" s="384"/>
      <c r="H54" t="s">
        <v>153</v>
      </c>
      <c r="I54">
        <f>I53*20</f>
        <v>160</v>
      </c>
      <c r="O54"/>
      <c r="P54"/>
    </row>
    <row r="55" spans="2:17" ht="14.4">
      <c r="B55" s="11"/>
      <c r="E55" s="405"/>
      <c r="F55" s="79"/>
      <c r="H55" t="s">
        <v>1079</v>
      </c>
      <c r="I55">
        <f>I53*10</f>
        <v>80</v>
      </c>
      <c r="L55">
        <v>1396.8</v>
      </c>
      <c r="O55">
        <f>13549.43-O52</f>
        <v>9190.6299999999992</v>
      </c>
      <c r="P55"/>
    </row>
    <row r="56" spans="2:17" ht="14.4">
      <c r="E56" s="405"/>
      <c r="F56" s="79"/>
      <c r="I56">
        <f>SUM(I54:I55)</f>
        <v>240</v>
      </c>
      <c r="O56"/>
      <c r="P56"/>
    </row>
    <row r="57" spans="2:17" ht="14.4">
      <c r="B57" s="212"/>
      <c r="C57" s="212"/>
      <c r="E57" s="405"/>
      <c r="F57" s="7"/>
      <c r="H57" t="s">
        <v>1362</v>
      </c>
      <c r="O57"/>
      <c r="P57"/>
    </row>
    <row r="58" spans="2:17" ht="14.4">
      <c r="C58" s="56"/>
      <c r="D58" s="243"/>
      <c r="E58"/>
      <c r="F58"/>
      <c r="H58">
        <f>19332+452</f>
        <v>19784</v>
      </c>
      <c r="M58" s="243">
        <f>13549.43-J4-H4</f>
        <v>8111.4699999999993</v>
      </c>
      <c r="N58" s="243">
        <f>M58+J28</f>
        <v>9190.6299999999992</v>
      </c>
      <c r="O58"/>
      <c r="P58"/>
    </row>
    <row r="59" spans="2:17" ht="15.75" customHeight="1">
      <c r="C59" s="56"/>
      <c r="E59"/>
      <c r="F59"/>
      <c r="H59">
        <f>H58-I59</f>
        <v>6656</v>
      </c>
      <c r="I59">
        <v>13128</v>
      </c>
      <c r="J59" t="s">
        <v>1233</v>
      </c>
      <c r="O59"/>
      <c r="P59"/>
    </row>
    <row r="60" spans="2:17" ht="14.4">
      <c r="C60" s="56"/>
      <c r="E60"/>
      <c r="F60"/>
      <c r="H60">
        <f>H59+I60</f>
        <v>11864</v>
      </c>
      <c r="I60">
        <v>5208</v>
      </c>
      <c r="J60" t="s">
        <v>1377</v>
      </c>
      <c r="O60"/>
      <c r="P60" s="771"/>
    </row>
    <row r="61" spans="2:17" ht="14.4">
      <c r="C61" s="56"/>
      <c r="E61"/>
      <c r="F61"/>
      <c r="H61">
        <f>H60+I61</f>
        <v>17864</v>
      </c>
      <c r="I61">
        <v>6000</v>
      </c>
      <c r="J61" t="s">
        <v>1378</v>
      </c>
      <c r="M61" s="243">
        <f>O24-O55</f>
        <v>-2003.7199999999993</v>
      </c>
      <c r="O61"/>
      <c r="P61" s="771"/>
    </row>
    <row r="62" spans="2:17" ht="14.4">
      <c r="C62" s="56"/>
      <c r="E62" s="243"/>
      <c r="F62"/>
      <c r="H62">
        <f>H61+I62</f>
        <v>18997.669999999998</v>
      </c>
      <c r="I62">
        <v>1133.67</v>
      </c>
      <c r="J62" t="s">
        <v>1376</v>
      </c>
      <c r="K62" s="243"/>
      <c r="M62" s="243">
        <f>M52+(M61*-1)</f>
        <v>2450.329999999999</v>
      </c>
      <c r="O62"/>
      <c r="P62" s="771"/>
    </row>
    <row r="63" spans="2:17" ht="14.4">
      <c r="C63" s="56"/>
      <c r="D63" s="243"/>
      <c r="E63"/>
      <c r="F63"/>
      <c r="O63"/>
      <c r="P63" s="771"/>
    </row>
    <row r="64" spans="2:17" ht="14.4">
      <c r="C64" s="56"/>
      <c r="E64"/>
      <c r="F64"/>
      <c r="I64">
        <f>I59-12713</f>
        <v>415</v>
      </c>
      <c r="O64"/>
      <c r="P64"/>
    </row>
    <row r="65" spans="2:16" ht="14.4">
      <c r="C65" s="56"/>
      <c r="E65" s="347"/>
      <c r="F65"/>
      <c r="O65"/>
      <c r="P65"/>
    </row>
    <row r="66" spans="2:16" ht="14.4">
      <c r="C66" s="56"/>
      <c r="E66" s="332"/>
      <c r="F66" s="332"/>
      <c r="O66"/>
      <c r="P66" s="771"/>
    </row>
    <row r="67" spans="2:16" ht="14.4">
      <c r="C67" s="56"/>
      <c r="E67"/>
      <c r="F67"/>
      <c r="O67"/>
      <c r="P67" s="771"/>
    </row>
    <row r="68" spans="2:16" ht="14.4">
      <c r="C68" s="56"/>
      <c r="E68"/>
      <c r="F68"/>
      <c r="O68"/>
      <c r="P68" s="771"/>
    </row>
    <row r="69" spans="2:16">
      <c r="E69" s="365"/>
      <c r="F69" s="365"/>
      <c r="O69"/>
      <c r="P69" s="771"/>
    </row>
    <row r="70" spans="2:16" ht="14.4">
      <c r="B70" s="212"/>
      <c r="C70" s="294"/>
      <c r="D70" s="212"/>
      <c r="E70" s="212"/>
      <c r="F70" s="212"/>
      <c r="O70"/>
      <c r="P70"/>
    </row>
    <row r="71" spans="2:16" ht="14.4">
      <c r="C71" s="56"/>
      <c r="D71" s="56"/>
      <c r="E71" s="56"/>
      <c r="F71" s="56"/>
      <c r="O71"/>
      <c r="P71"/>
    </row>
    <row r="72" spans="2:16" ht="14.4">
      <c r="C72" s="56"/>
      <c r="D72" s="56"/>
      <c r="E72" s="56"/>
      <c r="F72" s="56"/>
      <c r="O72"/>
      <c r="P72" s="771"/>
    </row>
    <row r="73" spans="2:16" ht="14.4">
      <c r="C73" s="56"/>
      <c r="D73" s="56"/>
      <c r="E73" s="56"/>
      <c r="F73" s="56"/>
      <c r="O73"/>
      <c r="P73" s="771"/>
    </row>
    <row r="74" spans="2:16" ht="14.4">
      <c r="C74" s="56"/>
      <c r="D74" s="56"/>
      <c r="E74" s="56"/>
      <c r="F74" s="56"/>
      <c r="O74"/>
      <c r="P74" s="771"/>
    </row>
    <row r="75" spans="2:16" ht="14.4">
      <c r="C75" s="56"/>
      <c r="D75" s="56"/>
      <c r="E75" s="56"/>
      <c r="F75" s="56"/>
      <c r="O75"/>
      <c r="P75" s="771"/>
    </row>
    <row r="76" spans="2:16" ht="14.4">
      <c r="C76" s="56"/>
      <c r="E76" s="56"/>
      <c r="F76" s="56"/>
      <c r="O76"/>
      <c r="P76"/>
    </row>
    <row r="77" spans="2:16">
      <c r="O77"/>
      <c r="P77"/>
    </row>
    <row r="78" spans="2:16" ht="14.4">
      <c r="E78" s="212"/>
      <c r="F78" s="212"/>
      <c r="O78"/>
      <c r="P78" s="771"/>
    </row>
    <row r="79" spans="2:16" ht="14.4">
      <c r="E79" s="56"/>
      <c r="F79" s="56"/>
      <c r="O79"/>
      <c r="P79" s="771"/>
    </row>
    <row r="80" spans="2:16" ht="14.4">
      <c r="E80" s="56"/>
      <c r="F80" s="56"/>
      <c r="O80"/>
      <c r="P80" s="771"/>
    </row>
    <row r="81" spans="5:16" ht="14.4">
      <c r="E81" s="56"/>
      <c r="F81" s="56"/>
      <c r="O81"/>
      <c r="P81" s="771"/>
    </row>
    <row r="82" spans="5:16" ht="14.4">
      <c r="E82" s="56"/>
      <c r="F82" s="56"/>
      <c r="O82"/>
      <c r="P82"/>
    </row>
    <row r="83" spans="5:16" ht="14.4">
      <c r="E83" s="56"/>
      <c r="F83" s="56"/>
      <c r="O83"/>
      <c r="P83"/>
    </row>
    <row r="84" spans="5:16" ht="14.4">
      <c r="E84" s="56"/>
      <c r="F84" s="56"/>
      <c r="O84"/>
      <c r="P84" s="771"/>
    </row>
    <row r="85" spans="5:16">
      <c r="O85"/>
      <c r="P85" s="771"/>
    </row>
    <row r="86" spans="5:16" ht="14.4">
      <c r="E86" s="212"/>
      <c r="F86" s="212"/>
      <c r="O86"/>
      <c r="P86" s="771"/>
    </row>
    <row r="87" spans="5:16" ht="14.4">
      <c r="E87" s="56"/>
      <c r="F87" s="56"/>
      <c r="O87"/>
      <c r="P87" s="771"/>
    </row>
    <row r="88" spans="5:16" ht="14.4">
      <c r="E88" s="56"/>
      <c r="F88" s="56"/>
      <c r="O88"/>
      <c r="P88"/>
    </row>
    <row r="89" spans="5:16" ht="14.4">
      <c r="E89" s="56"/>
      <c r="F89" s="56"/>
      <c r="O89"/>
      <c r="P89"/>
    </row>
    <row r="90" spans="5:16" ht="14.4">
      <c r="E90" s="56"/>
      <c r="F90" s="56"/>
      <c r="O90"/>
      <c r="P90" s="771"/>
    </row>
    <row r="91" spans="5:16" ht="14.4">
      <c r="E91" s="56"/>
      <c r="F91" s="56"/>
      <c r="O91"/>
      <c r="P91" s="771"/>
    </row>
    <row r="92" spans="5:16" ht="14.4">
      <c r="E92" s="56"/>
      <c r="F92" s="56"/>
      <c r="O92"/>
      <c r="P92" s="771"/>
    </row>
    <row r="93" spans="5:16">
      <c r="E93" s="365"/>
      <c r="F93" s="365"/>
      <c r="O93"/>
      <c r="P93" s="771"/>
    </row>
    <row r="94" spans="5:16">
      <c r="O94"/>
      <c r="P94"/>
    </row>
    <row r="95" spans="5:16">
      <c r="O95"/>
      <c r="P95"/>
    </row>
  </sheetData>
  <mergeCells count="25">
    <mergeCell ref="B4:E4"/>
    <mergeCell ref="B1:O1"/>
    <mergeCell ref="G3:H3"/>
    <mergeCell ref="I3:J3"/>
    <mergeCell ref="K3:L3"/>
    <mergeCell ref="M3:N3"/>
    <mergeCell ref="B5:C5"/>
    <mergeCell ref="D5:E5"/>
    <mergeCell ref="B6:B20"/>
    <mergeCell ref="C6:C20"/>
    <mergeCell ref="B23:E23"/>
    <mergeCell ref="B24:C24"/>
    <mergeCell ref="D24:E24"/>
    <mergeCell ref="B34:E34"/>
    <mergeCell ref="B35:C35"/>
    <mergeCell ref="D35:E35"/>
    <mergeCell ref="B36:B37"/>
    <mergeCell ref="C36:C37"/>
    <mergeCell ref="P90:P93"/>
    <mergeCell ref="B43:C43"/>
    <mergeCell ref="P60:P63"/>
    <mergeCell ref="P66:P69"/>
    <mergeCell ref="P72:P75"/>
    <mergeCell ref="P78:P81"/>
    <mergeCell ref="P84:P87"/>
  </mergeCells>
  <pageMargins left="0.7" right="0.7" top="0.75" bottom="0.75" header="0.3" footer="0.3"/>
  <pageSetup orientation="portrait" r:id="rId1"/>
  <legacyDrawing r:id="rId2"/>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C7610-E264-4C44-A2B9-04E5DDFAB71C}">
  <dimension ref="A1:T94"/>
  <sheetViews>
    <sheetView topLeftCell="E27" zoomScale="80" zoomScaleNormal="80" workbookViewId="0">
      <selection activeCell="R27" sqref="R27"/>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MAY-JUN 2023</v>
      </c>
      <c r="B1" s="730" t="str">
        <f ca="1">MID(CELL("filename",B1),FIND("]",CELL("filename",B1))+1,255)</f>
        <v>JUN-JUL 2023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887</v>
      </c>
      <c r="I2" s="79" t="s">
        <v>799</v>
      </c>
      <c r="J2" s="307" t="s">
        <v>1374</v>
      </c>
      <c r="K2" s="79" t="s">
        <v>800</v>
      </c>
      <c r="L2" s="307" t="s">
        <v>814</v>
      </c>
      <c r="M2" s="79" t="s">
        <v>801</v>
      </c>
      <c r="N2" s="307" t="s">
        <v>814</v>
      </c>
      <c r="O2" s="273" t="s">
        <v>10</v>
      </c>
      <c r="P2" s="273"/>
      <c r="Q2" s="283" t="s">
        <v>803</v>
      </c>
    </row>
    <row r="3" spans="1:20">
      <c r="B3" s="118"/>
      <c r="C3" s="118"/>
      <c r="D3" s="290" t="str">
        <f>"£" &amp; ROUND(O5+O34+O24+IF(O36&lt;0,0,O36)+O37+O4,2) &amp; " / " &amp; "£" &amp; E39</f>
        <v>£1425.75 / £23356.98</v>
      </c>
      <c r="E3" s="365">
        <f>2802.81-2787.81</f>
        <v>15</v>
      </c>
      <c r="F3" s="365"/>
      <c r="G3" s="732">
        <v>45010</v>
      </c>
      <c r="H3" s="732"/>
      <c r="I3" s="732">
        <f>G3+7</f>
        <v>45017</v>
      </c>
      <c r="J3" s="732"/>
      <c r="K3" s="732">
        <f>I3+7</f>
        <v>45024</v>
      </c>
      <c r="L3" s="732"/>
      <c r="M3" s="732">
        <f>K3+7</f>
        <v>45031</v>
      </c>
      <c r="N3" s="732"/>
      <c r="O3" s="308">
        <v>0</v>
      </c>
      <c r="P3" s="325" t="s">
        <v>1224</v>
      </c>
      <c r="Q3" s="282"/>
    </row>
    <row r="4" spans="1:20" ht="15" customHeight="1">
      <c r="B4" s="727" t="str">
        <f>_xlfn.CONCAT("Expenses - 50 - ",G39*0.5," / Actual = ",ROUND(D5,2)," (",ROUND((D5/G39)*100,2),")")</f>
        <v>Expenses - 50 - 11512.25 / Actual = 3902.45 (16.95)</v>
      </c>
      <c r="C4" s="727"/>
      <c r="D4" s="727"/>
      <c r="E4" s="727"/>
      <c r="F4" s="318"/>
      <c r="H4" s="304">
        <f>SUM(H5:H37)</f>
        <v>1194.45</v>
      </c>
      <c r="I4" s="243">
        <f>794.96-H4</f>
        <v>-399.49</v>
      </c>
      <c r="J4" s="304">
        <f>SUM(J5:J37)</f>
        <v>337.08000000000004</v>
      </c>
      <c r="K4" s="243">
        <f>1329.13-J4</f>
        <v>992.05000000000007</v>
      </c>
      <c r="L4" s="304">
        <f>SUM(L5:L37)</f>
        <v>0</v>
      </c>
      <c r="N4" s="304">
        <f>SUM(N5:N37)</f>
        <v>0</v>
      </c>
      <c r="O4" s="308">
        <f>IF(H38&lt;&gt;"PAID",H4,0)+IF(J38&lt;&gt;"PAID",J4,0)+IF(L38&lt;&gt;"PAID",L4,0)+IF(N38&lt;&gt;"PAID",N4,0)</f>
        <v>1531.5300000000002</v>
      </c>
      <c r="P4" s="309" t="s">
        <v>973</v>
      </c>
      <c r="Q4" s="408">
        <f>O4+402.34</f>
        <v>1933.8700000000001</v>
      </c>
      <c r="R4" s="243"/>
      <c r="S4" s="243"/>
    </row>
    <row r="5" spans="1:20" ht="15" customHeight="1">
      <c r="B5" s="733" t="str">
        <f>IF(D5&gt;E$39*0.5,ROUND(D5-E$39*0.5,2) &amp; " Over",ROUND(E$39*0.5-D5,2) &amp; " Under")</f>
        <v>7776.04 Under</v>
      </c>
      <c r="C5" s="733"/>
      <c r="D5" s="761">
        <f>ROUND(SUM(F6:F21),2)</f>
        <v>3902.45</v>
      </c>
      <c r="E5" s="761"/>
      <c r="F5" s="321"/>
      <c r="G5" s="284"/>
      <c r="H5" s="306"/>
      <c r="I5" s="79"/>
      <c r="J5" s="306"/>
      <c r="K5" s="79"/>
      <c r="L5" s="306"/>
      <c r="M5" s="79"/>
      <c r="N5" s="305"/>
      <c r="O5" s="285">
        <f>SUMIF(O6:O21,"&gt;0")</f>
        <v>136.07000000000002</v>
      </c>
      <c r="P5" s="285" t="s">
        <v>892</v>
      </c>
      <c r="Q5" s="282">
        <f>SUM(Q6:Q20)</f>
        <v>2.6499999999999915</v>
      </c>
      <c r="R5" s="243"/>
    </row>
    <row r="6" spans="1:20" ht="15" customHeight="1">
      <c r="B6" s="734" t="str">
        <f>"50%: " &amp; E$39*0.5</f>
        <v>50%: 11678.49</v>
      </c>
      <c r="C6" s="734" t="str">
        <f>ROUND((D5/E$39)*100,2) &amp; "%: " &amp;D5</f>
        <v>16.71%: 3902.45</v>
      </c>
      <c r="D6" s="13" t="s">
        <v>805</v>
      </c>
      <c r="E6" s="365">
        <v>0</v>
      </c>
      <c r="F6" s="374">
        <v>150</v>
      </c>
      <c r="H6" s="304">
        <f>20.05+20.13+20.01+20.13+21.18+20.13+20.36</f>
        <v>141.99</v>
      </c>
      <c r="J6" s="305"/>
      <c r="L6" s="305"/>
      <c r="N6" s="305"/>
      <c r="O6" s="274">
        <f>SUM(E6:F6)-SUM(G6:N6)</f>
        <v>8.0099999999999909</v>
      </c>
      <c r="P6" s="274" t="str">
        <f t="shared" ref="P6:P21" si="0">D6</f>
        <v>Car Petrol / commuting</v>
      </c>
      <c r="Q6" s="282">
        <f t="shared" ref="Q6:Q21" si="1">IF(O6&lt;0,O6*-1,0)</f>
        <v>0</v>
      </c>
      <c r="R6" s="243">
        <v>20.010000000000002</v>
      </c>
    </row>
    <row r="7" spans="1:20" ht="15" customHeight="1">
      <c r="B7" s="734"/>
      <c r="C7" s="734"/>
      <c r="D7" s="13" t="s">
        <v>169</v>
      </c>
      <c r="E7" s="365">
        <v>0</v>
      </c>
      <c r="F7" s="365">
        <f>400</f>
        <v>400</v>
      </c>
      <c r="H7" s="304">
        <f>11.36+13.29+33.5+16+28.24+34.84+5.3+14.54+9.32+25.73+23.13+38.75+15.5+7.8+32.46</f>
        <v>309.76</v>
      </c>
      <c r="J7" s="305"/>
      <c r="L7" s="305"/>
      <c r="N7" s="305"/>
      <c r="O7" s="274">
        <f>SUM(E7:F7)-SUM(G7:N7)</f>
        <v>90.240000000000009</v>
      </c>
      <c r="P7" s="274" t="str">
        <f t="shared" si="0"/>
        <v>Food</v>
      </c>
      <c r="Q7" s="282">
        <f t="shared" si="1"/>
        <v>0</v>
      </c>
      <c r="R7" s="243"/>
    </row>
    <row r="8" spans="1:20" ht="15" customHeight="1">
      <c r="B8" s="734"/>
      <c r="C8" s="734"/>
      <c r="D8" s="13" t="s">
        <v>153</v>
      </c>
      <c r="E8" s="365">
        <v>0</v>
      </c>
      <c r="F8" s="365">
        <f>100</f>
        <v>100</v>
      </c>
      <c r="H8" s="305">
        <f>26.36+(37.64-19.99)</f>
        <v>44.010000000000005</v>
      </c>
      <c r="J8" s="305">
        <v>25.98</v>
      </c>
      <c r="L8" s="305"/>
      <c r="N8" s="305"/>
      <c r="O8" s="274">
        <f>SUM(E8:F8)-SUM(G8:N8)</f>
        <v>30.009999999999991</v>
      </c>
      <c r="P8" s="274" t="str">
        <f t="shared" si="0"/>
        <v>Luna</v>
      </c>
      <c r="Q8" s="282">
        <f t="shared" si="1"/>
        <v>0</v>
      </c>
    </row>
    <row r="9" spans="1:20" ht="15" customHeight="1">
      <c r="B9" s="734"/>
      <c r="C9" s="734"/>
      <c r="D9" s="13" t="s">
        <v>1079</v>
      </c>
      <c r="E9" s="365">
        <v>0</v>
      </c>
      <c r="F9" s="365">
        <f>40</f>
        <v>40</v>
      </c>
      <c r="H9" s="305">
        <f>14.29+19.99</f>
        <v>34.28</v>
      </c>
      <c r="J9" s="305"/>
      <c r="L9" s="305"/>
      <c r="N9" s="305"/>
      <c r="O9" s="274">
        <f>SUM(E9:F9)-SUM(G9:N9)</f>
        <v>5.7199999999999989</v>
      </c>
      <c r="P9" s="274" t="str">
        <f t="shared" si="0"/>
        <v>Creamy</v>
      </c>
      <c r="Q9" s="282">
        <f t="shared" si="1"/>
        <v>0</v>
      </c>
      <c r="R9" s="243"/>
    </row>
    <row r="10" spans="1:20" ht="15" customHeight="1" outlineLevel="1">
      <c r="B10" s="734"/>
      <c r="C10" s="734"/>
      <c r="D10" s="201" t="s">
        <v>595</v>
      </c>
      <c r="E10" s="365">
        <v>0</v>
      </c>
      <c r="F10" s="365">
        <v>856.14</v>
      </c>
      <c r="G10">
        <v>856.14</v>
      </c>
      <c r="H10" s="304"/>
      <c r="J10" s="305"/>
      <c r="L10" s="305"/>
      <c r="N10" s="305"/>
      <c r="O10" s="274">
        <f t="shared" ref="O10:O15" si="2">SUM(E10:F10)-SUM(G10:N10)</f>
        <v>0</v>
      </c>
      <c r="P10" s="274" t="str">
        <f t="shared" si="0"/>
        <v>Mortgage</v>
      </c>
      <c r="Q10" s="282">
        <f t="shared" si="1"/>
        <v>0</v>
      </c>
      <c r="R10" s="243"/>
    </row>
    <row r="11" spans="1:20" ht="15" customHeight="1" outlineLevel="1">
      <c r="B11" s="734"/>
      <c r="C11" s="734"/>
      <c r="D11" s="201" t="s">
        <v>596</v>
      </c>
      <c r="E11" s="365">
        <v>0</v>
      </c>
      <c r="F11" s="365">
        <v>147</v>
      </c>
      <c r="G11">
        <v>147</v>
      </c>
      <c r="H11" s="305"/>
      <c r="J11" s="305"/>
      <c r="L11" s="305"/>
      <c r="N11" s="305"/>
      <c r="O11" s="274">
        <f t="shared" si="2"/>
        <v>0</v>
      </c>
      <c r="P11" s="274" t="str">
        <f t="shared" si="0"/>
        <v>Council tax</v>
      </c>
      <c r="Q11" s="282">
        <f t="shared" si="1"/>
        <v>0</v>
      </c>
    </row>
    <row r="12" spans="1:20" ht="15" customHeight="1" outlineLevel="1">
      <c r="B12" s="734"/>
      <c r="C12" s="734"/>
      <c r="D12" s="201" t="s">
        <v>1002</v>
      </c>
      <c r="E12" s="365">
        <v>0</v>
      </c>
      <c r="F12" s="365">
        <f>24+132.56</f>
        <v>156.56</v>
      </c>
      <c r="G12">
        <f>132.56+24</f>
        <v>156.56</v>
      </c>
      <c r="H12" s="305"/>
      <c r="J12" s="305"/>
      <c r="L12" s="305"/>
      <c r="N12" s="305"/>
      <c r="O12" s="274">
        <f>SUM(E12:F12)-SUM(G12:N12)</f>
        <v>0</v>
      </c>
      <c r="P12" s="274" t="str">
        <f t="shared" si="0"/>
        <v>Utilities (G,W,E,HTB)</v>
      </c>
      <c r="Q12" s="282">
        <f t="shared" si="1"/>
        <v>0</v>
      </c>
    </row>
    <row r="13" spans="1:20" ht="15" customHeight="1" outlineLevel="1">
      <c r="B13" s="734"/>
      <c r="C13" s="734"/>
      <c r="D13" s="201" t="s">
        <v>996</v>
      </c>
      <c r="E13" s="365">
        <v>0</v>
      </c>
      <c r="F13" s="365">
        <v>14</v>
      </c>
      <c r="G13">
        <v>14</v>
      </c>
      <c r="H13" s="305"/>
      <c r="J13" s="305"/>
      <c r="L13" s="305"/>
      <c r="N13" s="305"/>
      <c r="O13" s="274">
        <f>SUM(E13:F13)-SUM(G13:N13)</f>
        <v>0</v>
      </c>
      <c r="P13" s="274" t="str">
        <f t="shared" si="0"/>
        <v>Home Insurance</v>
      </c>
      <c r="Q13" s="282">
        <f t="shared" si="1"/>
        <v>0</v>
      </c>
    </row>
    <row r="14" spans="1:20" ht="15" customHeight="1" outlineLevel="1">
      <c r="B14" s="734"/>
      <c r="C14" s="734"/>
      <c r="D14" s="201" t="s">
        <v>1056</v>
      </c>
      <c r="E14" s="365">
        <v>0</v>
      </c>
      <c r="F14" s="365">
        <f>8+17.2+17.99</f>
        <v>43.19</v>
      </c>
      <c r="G14">
        <f>17.2+17.99+8</f>
        <v>43.19</v>
      </c>
      <c r="H14" s="305"/>
      <c r="J14" s="305"/>
      <c r="L14" s="305"/>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4.52+15.97+30.8</f>
        <v>51.290000000000006</v>
      </c>
      <c r="G15">
        <f>21.49+30.8</f>
        <v>52.29</v>
      </c>
      <c r="H15" s="305"/>
      <c r="I15" s="11"/>
      <c r="J15" s="305"/>
      <c r="L15" s="305"/>
      <c r="N15" s="305"/>
      <c r="O15" s="274">
        <f t="shared" si="2"/>
        <v>-0.99999999999999289</v>
      </c>
      <c r="P15" s="274" t="str">
        <f t="shared" si="0"/>
        <v>Life / Income Insurance</v>
      </c>
      <c r="Q15" s="282">
        <f t="shared" si="1"/>
        <v>0.99999999999999289</v>
      </c>
    </row>
    <row r="16" spans="1:20" ht="15" customHeight="1" outlineLevel="1">
      <c r="B16" s="734"/>
      <c r="C16" s="734"/>
      <c r="D16" s="201" t="s">
        <v>602</v>
      </c>
      <c r="E16" s="365">
        <v>0</v>
      </c>
      <c r="F16" s="365">
        <v>28.6</v>
      </c>
      <c r="G16">
        <v>28.6</v>
      </c>
      <c r="H16" s="305"/>
      <c r="J16" s="305"/>
      <c r="L16" s="305"/>
      <c r="N16" s="305"/>
      <c r="O16" s="274">
        <f t="shared" ref="O16:O21" si="3">SUM(E16:F16)-SUM(G16:N16)</f>
        <v>0</v>
      </c>
      <c r="P16" s="274" t="str">
        <f t="shared" si="0"/>
        <v>Broadband / TV</v>
      </c>
      <c r="Q16" s="282">
        <f t="shared" si="1"/>
        <v>0</v>
      </c>
    </row>
    <row r="17" spans="2:19" ht="15" customHeight="1" outlineLevel="1">
      <c r="B17" s="734"/>
      <c r="C17" s="734"/>
      <c r="D17" s="201" t="s">
        <v>582</v>
      </c>
      <c r="E17" s="365">
        <v>0</v>
      </c>
      <c r="F17" s="365">
        <v>7.99</v>
      </c>
      <c r="G17">
        <v>7.99</v>
      </c>
      <c r="H17" s="305"/>
      <c r="J17" s="305"/>
      <c r="L17" s="305"/>
      <c r="N17" s="305"/>
      <c r="O17" s="274">
        <f t="shared" si="3"/>
        <v>0</v>
      </c>
      <c r="P17" s="274" t="str">
        <f t="shared" si="0"/>
        <v>Onedrive (6th)</v>
      </c>
      <c r="Q17" s="282">
        <f t="shared" si="1"/>
        <v>0</v>
      </c>
    </row>
    <row r="18" spans="2:19" ht="15" customHeight="1" outlineLevel="1">
      <c r="B18" s="734"/>
      <c r="C18" s="734"/>
      <c r="D18" s="201" t="s">
        <v>788</v>
      </c>
      <c r="E18" s="365">
        <v>0</v>
      </c>
      <c r="F18" s="365">
        <f>11.55</f>
        <v>11.55</v>
      </c>
      <c r="G18">
        <v>13.2</v>
      </c>
      <c r="H18" s="305"/>
      <c r="J18" s="305"/>
      <c r="L18" s="305"/>
      <c r="N18" s="305"/>
      <c r="O18" s="274">
        <f t="shared" si="3"/>
        <v>-1.6499999999999986</v>
      </c>
      <c r="P18" s="274" t="str">
        <f t="shared" si="0"/>
        <v>Matt Phone</v>
      </c>
      <c r="Q18" s="282">
        <f t="shared" si="1"/>
        <v>1.6499999999999986</v>
      </c>
    </row>
    <row r="19" spans="2:19" ht="15" customHeight="1" outlineLevel="1">
      <c r="B19" s="734"/>
      <c r="C19" s="734"/>
      <c r="D19" s="201" t="s">
        <v>690</v>
      </c>
      <c r="E19" s="365">
        <v>0</v>
      </c>
      <c r="F19" s="365">
        <f>11.81+35+36.48+14.43+468.64+270.97</f>
        <v>837.33</v>
      </c>
      <c r="G19">
        <f>11.81+14.43+32.71+468.84+36.48+270.97</f>
        <v>835.24</v>
      </c>
      <c r="H19" s="305"/>
      <c r="J19" s="305"/>
      <c r="L19" s="305"/>
      <c r="N19" s="305"/>
      <c r="O19" s="274">
        <f t="shared" si="3"/>
        <v>2.0900000000000318</v>
      </c>
      <c r="P19" s="274" t="str">
        <f t="shared" si="0"/>
        <v>Cars</v>
      </c>
      <c r="Q19" s="282">
        <f t="shared" si="1"/>
        <v>0</v>
      </c>
    </row>
    <row r="20" spans="2:19" ht="15" customHeight="1" outlineLevel="1">
      <c r="B20" s="734"/>
      <c r="C20" s="734"/>
      <c r="D20" s="201" t="s">
        <v>944</v>
      </c>
      <c r="E20" s="365">
        <v>0</v>
      </c>
      <c r="F20" s="365">
        <v>15</v>
      </c>
      <c r="G20">
        <v>15</v>
      </c>
      <c r="H20" s="305"/>
      <c r="J20" s="305"/>
      <c r="L20" s="305"/>
      <c r="N20" s="305"/>
      <c r="O20" s="274">
        <f t="shared" si="3"/>
        <v>0</v>
      </c>
      <c r="P20" s="274" t="str">
        <f t="shared" si="0"/>
        <v>Windows</v>
      </c>
      <c r="Q20" s="282">
        <f t="shared" si="1"/>
        <v>0</v>
      </c>
    </row>
    <row r="21" spans="2:19" ht="15" customHeight="1" outlineLevel="1">
      <c r="B21" s="7"/>
      <c r="C21" s="7"/>
      <c r="D21" s="201" t="s">
        <v>814</v>
      </c>
      <c r="E21" s="365">
        <v>332.48</v>
      </c>
      <c r="F21" s="365">
        <v>1043.8</v>
      </c>
      <c r="G21">
        <f>320.87+1055.41</f>
        <v>1376.2800000000002</v>
      </c>
      <c r="H21" s="305"/>
      <c r="J21" s="305"/>
      <c r="L21" s="305"/>
      <c r="N21" s="305"/>
      <c r="O21" s="274">
        <f t="shared" si="3"/>
        <v>0</v>
      </c>
      <c r="P21" s="274" t="str">
        <f t="shared" si="0"/>
        <v>CC</v>
      </c>
      <c r="Q21" s="282">
        <f t="shared" si="1"/>
        <v>0</v>
      </c>
    </row>
    <row r="22" spans="2:19" ht="15" customHeight="1">
      <c r="B22" s="118"/>
      <c r="C22" s="118"/>
      <c r="D22" s="188"/>
      <c r="E22" s="365"/>
      <c r="F22" s="365"/>
      <c r="H22" s="305"/>
      <c r="J22" s="305"/>
      <c r="L22" s="305"/>
      <c r="N22" s="305"/>
      <c r="O22" s="273"/>
      <c r="P22" s="273"/>
      <c r="Q22" s="282"/>
    </row>
    <row r="23" spans="2:19" ht="15" customHeight="1">
      <c r="B23" s="736" t="str">
        <f>_xlfn.CONCAT("Savings - 20 - ",G39*0.2," / Actual = ",D24," (",ROUND((D24/G39)*100,2),")")</f>
        <v>Savings - 20 - 4604.9 / Actual = 18521.09 (80.44)</v>
      </c>
      <c r="C23" s="736"/>
      <c r="D23" s="736"/>
      <c r="E23" s="736"/>
      <c r="F23" s="320"/>
      <c r="H23" s="305"/>
      <c r="J23" s="305"/>
      <c r="L23" s="305"/>
      <c r="N23" s="305"/>
      <c r="O23" s="274"/>
      <c r="P23" s="274"/>
      <c r="Q23" s="282"/>
    </row>
    <row r="24" spans="2:19" ht="15" customHeight="1">
      <c r="B24" s="727" t="str">
        <f>IF(ISNUMBER((SEARCH("Over",C$5))),"Operating under budget","Operating over budget")</f>
        <v>Operating over budget</v>
      </c>
      <c r="C24" s="727"/>
      <c r="D24" s="759">
        <f>SUM(F25:F31)</f>
        <v>18521.089999999997</v>
      </c>
      <c r="E24" s="759"/>
      <c r="F24" s="319"/>
      <c r="H24" s="305"/>
      <c r="J24" s="305"/>
      <c r="L24" s="305"/>
      <c r="N24" s="305"/>
      <c r="O24" s="285">
        <f>SUMIF(O25:O31,"&gt;0")-SUM(E25:E31)</f>
        <v>-249.17000000000371</v>
      </c>
      <c r="P24" s="285" t="s">
        <v>895</v>
      </c>
      <c r="Q24" s="282">
        <f>SUM(Q25:Q25)</f>
        <v>0</v>
      </c>
    </row>
    <row r="25" spans="2:19" ht="15" customHeight="1" outlineLevel="1">
      <c r="B25" s="7" t="str">
        <f>"20% : " &amp; E$39*0.2</f>
        <v>20% : 4671.396</v>
      </c>
      <c r="C25" s="7" t="str">
        <f>"20% : " &amp; E$39*0.2</f>
        <v>20% : 4671.396</v>
      </c>
      <c r="D25" s="300" t="s">
        <v>183</v>
      </c>
      <c r="E25" s="365">
        <v>1144.7899999999993</v>
      </c>
      <c r="F25" s="365">
        <v>50</v>
      </c>
      <c r="G25">
        <f>33.78+52+10+51</f>
        <v>146.78</v>
      </c>
      <c r="H25" s="305">
        <f>(-368.27+25)+115.75+108.35-5.76</f>
        <v>-124.92999999999999</v>
      </c>
      <c r="I25">
        <v>320</v>
      </c>
      <c r="J25" s="305"/>
      <c r="L25" s="315"/>
      <c r="N25" s="305"/>
      <c r="O25" s="274">
        <f>SUM(E25:F25)-SUM(G25:N25)-Q39</f>
        <v>850.28999999999928</v>
      </c>
      <c r="P25" s="274" t="str">
        <f t="shared" ref="P25" si="4">D25</f>
        <v>Savings</v>
      </c>
      <c r="Q25" s="282">
        <v>0</v>
      </c>
    </row>
    <row r="26" spans="2:19" ht="15" customHeight="1" outlineLevel="1">
      <c r="B26" s="7"/>
      <c r="C26" s="7"/>
      <c r="D26" s="300" t="s">
        <v>1367</v>
      </c>
      <c r="E26" s="365">
        <v>79.92</v>
      </c>
      <c r="F26" s="365">
        <v>0</v>
      </c>
      <c r="H26" s="305"/>
      <c r="J26" s="305"/>
      <c r="L26" s="315"/>
      <c r="N26" s="305"/>
      <c r="O26" s="274">
        <f>SUM(E26:F26)-SUM(G26:N26)</f>
        <v>79.92</v>
      </c>
      <c r="P26" s="274" t="str">
        <f>D26</f>
        <v>Su</v>
      </c>
      <c r="Q26" s="282">
        <v>0</v>
      </c>
    </row>
    <row r="27" spans="2:19" ht="15" customHeight="1" outlineLevel="1">
      <c r="B27" s="7"/>
      <c r="C27" s="7"/>
      <c r="D27" s="300" t="s">
        <v>1015</v>
      </c>
      <c r="E27" s="365">
        <f>12713.75-6000</f>
        <v>6713.75</v>
      </c>
      <c r="F27" s="365">
        <v>453.42</v>
      </c>
      <c r="H27" s="305">
        <f>74.95+4.75</f>
        <v>79.7</v>
      </c>
      <c r="J27" s="305"/>
      <c r="L27" s="315"/>
      <c r="N27" s="305"/>
      <c r="O27" s="274">
        <f>SUM(E27:F27)-SUM(G27:N27)</f>
        <v>7087.47</v>
      </c>
      <c r="P27" s="274" t="str">
        <f>D27</f>
        <v>Tesco</v>
      </c>
      <c r="Q27" s="282">
        <v>0</v>
      </c>
    </row>
    <row r="28" spans="2:19" ht="15" customHeight="1" outlineLevel="1">
      <c r="B28" s="7"/>
      <c r="C28" s="7"/>
      <c r="D28" s="300" t="s">
        <v>606</v>
      </c>
      <c r="E28" s="365">
        <f>5208.1+6619.12+6000-17284</f>
        <v>543.22000000000116</v>
      </c>
      <c r="F28" s="365">
        <f>733.67+17284</f>
        <v>18017.669999999998</v>
      </c>
      <c r="G28">
        <f>500+17284+40</f>
        <v>17824</v>
      </c>
      <c r="H28" s="305">
        <f>61.77+121.67+9.49+72.83+8.3</f>
        <v>274.06</v>
      </c>
      <c r="J28" s="305"/>
      <c r="L28" s="315"/>
      <c r="N28" s="305"/>
      <c r="O28" s="274">
        <f>SUM(E28:F28)-SUM(G28:N28)</f>
        <v>462.82999999999811</v>
      </c>
      <c r="P28" s="274" t="str">
        <f t="shared" ref="P28:P31" si="5">D28</f>
        <v>Car</v>
      </c>
      <c r="Q28" s="282">
        <v>0</v>
      </c>
      <c r="S28" s="243"/>
    </row>
    <row r="29" spans="2:19" ht="15" customHeight="1" outlineLevel="1">
      <c r="B29" s="7"/>
      <c r="C29" s="7"/>
      <c r="D29" s="300" t="s">
        <v>1364</v>
      </c>
      <c r="E29" s="432">
        <f>5.78999999999974+14.13</f>
        <v>19.919999999999739</v>
      </c>
      <c r="F29" s="432">
        <v>0</v>
      </c>
      <c r="H29" s="305">
        <f>-14.99+5.18</f>
        <v>-9.81</v>
      </c>
      <c r="J29" s="305">
        <v>25.19</v>
      </c>
      <c r="L29" s="315"/>
      <c r="N29" s="305"/>
      <c r="O29" s="274">
        <f>SUM(E29:F29)-SUM(G29:N29)</f>
        <v>4.539999999999738</v>
      </c>
      <c r="P29" s="274" t="str">
        <f t="shared" si="5"/>
        <v>Renovation</v>
      </c>
      <c r="Q29" s="282">
        <v>0</v>
      </c>
    </row>
    <row r="30" spans="2:19" ht="15" customHeight="1" outlineLevel="1">
      <c r="B30" s="7"/>
      <c r="C30" s="7"/>
      <c r="D30" s="300" t="s">
        <v>881</v>
      </c>
      <c r="E30" s="432">
        <v>0</v>
      </c>
      <c r="F30" s="432">
        <v>0</v>
      </c>
      <c r="H30" s="305"/>
      <c r="J30" s="305"/>
      <c r="L30" s="315"/>
      <c r="N30" s="305"/>
      <c r="O30" s="274">
        <f t="shared" ref="O30:O31" si="6">SUM(E30:F30)-SUM(G30:N30)</f>
        <v>0</v>
      </c>
      <c r="P30" s="274" t="str">
        <f t="shared" si="5"/>
        <v>Garden</v>
      </c>
      <c r="Q30" s="282"/>
    </row>
    <row r="31" spans="2:19" ht="15" customHeight="1" outlineLevel="1">
      <c r="B31" s="7"/>
      <c r="C31" s="7"/>
      <c r="D31" s="300" t="s">
        <v>1366</v>
      </c>
      <c r="E31" s="432">
        <v>814.09999999999991</v>
      </c>
      <c r="F31" s="432">
        <v>0</v>
      </c>
      <c r="H31" s="305">
        <f>20.99+15.63</f>
        <v>36.619999999999997</v>
      </c>
      <c r="J31" s="305">
        <f>159+37</f>
        <v>196</v>
      </c>
      <c r="L31" s="315"/>
      <c r="N31" s="305"/>
      <c r="O31" s="274">
        <f t="shared" si="6"/>
        <v>581.4799999999999</v>
      </c>
      <c r="P31" s="274" t="str">
        <f t="shared" si="5"/>
        <v>Bedroom</v>
      </c>
      <c r="Q31" s="282"/>
    </row>
    <row r="32" spans="2:19" ht="15" customHeight="1">
      <c r="B32" s="118"/>
      <c r="C32" s="118"/>
      <c r="E32" s="365"/>
      <c r="F32" s="365"/>
      <c r="H32" s="305"/>
      <c r="J32" s="305"/>
      <c r="L32" s="305"/>
      <c r="N32" s="305"/>
      <c r="O32" s="273"/>
      <c r="P32" s="273"/>
      <c r="Q32" s="282"/>
    </row>
    <row r="33" spans="2:19" ht="15" customHeight="1">
      <c r="B33" s="727" t="str">
        <f>_xlfn.CONCAT("Wants - 30 - ",G39*0.3," / Actual = ",D34," (",ROUND((D34/G39)*100,2),")")</f>
        <v>Wants - 30 - 6907.35 / Actual = 600.960000000002 (2.61)</v>
      </c>
      <c r="C33" s="727"/>
      <c r="D33" s="727"/>
      <c r="E33" s="727"/>
      <c r="F33" s="318"/>
      <c r="H33" s="305"/>
      <c r="J33" s="305"/>
      <c r="L33" s="305"/>
      <c r="N33" s="305"/>
      <c r="O33" s="273"/>
      <c r="P33" s="273"/>
      <c r="Q33" s="282"/>
    </row>
    <row r="34" spans="2:19" ht="15" customHeight="1">
      <c r="B34" s="727" t="str">
        <f>IF(ISNUMBER((SEARCH("Over",B$5))),"Operating under budget","Operating over budget")</f>
        <v>Operating over budget</v>
      </c>
      <c r="C34" s="727"/>
      <c r="D34" s="759">
        <f>(E$39-D5-D24-E38)</f>
        <v>600.96000000000231</v>
      </c>
      <c r="E34" s="727"/>
      <c r="F34" s="319">
        <f>SUM(F35:F36)</f>
        <v>481.96000000000225</v>
      </c>
      <c r="H34" s="305"/>
      <c r="J34" s="305"/>
      <c r="L34" s="305"/>
      <c r="N34" s="305"/>
      <c r="O34" s="285">
        <f>SUMIF(O35:O35,"&gt;0")</f>
        <v>0</v>
      </c>
      <c r="P34" s="285" t="s">
        <v>899</v>
      </c>
      <c r="Q34" s="282">
        <f>SUM(Q35:Q36)</f>
        <v>0</v>
      </c>
    </row>
    <row r="35" spans="2:19" ht="15.75" customHeight="1" outlineLevel="1">
      <c r="B35" s="734"/>
      <c r="C35" s="760"/>
      <c r="D35" s="13" t="s">
        <v>781</v>
      </c>
      <c r="E35" s="365">
        <v>0</v>
      </c>
      <c r="F35" s="365">
        <f>13+6.99+10.99+0.99+7.99+8.99</f>
        <v>48.95</v>
      </c>
      <c r="G35" s="11">
        <f>13+10.99+0.99+7.99+6.99</f>
        <v>39.96</v>
      </c>
      <c r="H35" s="305">
        <v>8.99</v>
      </c>
      <c r="J35" s="305"/>
      <c r="L35" s="305"/>
      <c r="N35" s="305"/>
      <c r="O35" s="274">
        <f t="shared" ref="O35:O37" si="7">SUM(E35:F35)-SUM(G35:N35)</f>
        <v>0</v>
      </c>
      <c r="P35" s="274" t="str">
        <f t="shared" ref="P35:P37" si="8">D35</f>
        <v>Subscriptions</v>
      </c>
      <c r="Q35" s="282">
        <f>IF(O35&lt;0,O35*-1,0)</f>
        <v>0</v>
      </c>
      <c r="S35" s="349"/>
    </row>
    <row r="36" spans="2:19" ht="18" outlineLevel="1">
      <c r="B36" s="734"/>
      <c r="C36" s="760"/>
      <c r="D36" s="13" t="s">
        <v>922</v>
      </c>
      <c r="E36" s="365">
        <v>0</v>
      </c>
      <c r="F36" s="365">
        <f>(D34-SUM(F35:F35))-F37</f>
        <v>433.01000000000226</v>
      </c>
      <c r="G36" s="11">
        <f>30+25</f>
        <v>55</v>
      </c>
      <c r="H36">
        <f>6.99+17+5.85+5.55+8+7.99+19.23+10+8.89+5.1+4.81+3.75+11+62.83+66+2.15+9.49+3.5+6.42+11+5.25</f>
        <v>280.8</v>
      </c>
      <c r="J36" s="305">
        <f>7+21.95+2.5+1+75+7.27-24.81</f>
        <v>89.91</v>
      </c>
      <c r="L36" s="305"/>
      <c r="N36" s="305"/>
      <c r="O36" s="274">
        <f>SUM(E36:F36)-SUM(G36:N36)</f>
        <v>7.3000000000022283</v>
      </c>
      <c r="P36" s="274" t="str">
        <f t="shared" si="8"/>
        <v>Matt Fun</v>
      </c>
      <c r="Q36" s="282">
        <f>IF(SUM(E36:F36)-SUM(G36:N36)&lt;=0,(SUM(E36:F36)-SUM(G36:N36))*-1,0)</f>
        <v>0</v>
      </c>
    </row>
    <row r="37" spans="2:19" ht="18" outlineLevel="1">
      <c r="B37" s="7"/>
      <c r="C37" s="284"/>
      <c r="D37" s="13" t="s">
        <v>152</v>
      </c>
      <c r="E37" s="365">
        <v>0</v>
      </c>
      <c r="F37" s="365">
        <f>94+25</f>
        <v>119</v>
      </c>
      <c r="G37" s="11"/>
      <c r="H37" s="306">
        <f>120+83-60-49+24.98</f>
        <v>118.98</v>
      </c>
      <c r="J37" s="305"/>
      <c r="L37" s="305"/>
      <c r="N37" s="305"/>
      <c r="O37" s="274">
        <f t="shared" si="7"/>
        <v>1.9999999999996021E-2</v>
      </c>
      <c r="P37" s="274" t="str">
        <f t="shared" si="8"/>
        <v>Kris</v>
      </c>
      <c r="Q37" s="271">
        <f>IF(F37-SUM(G37:N37)&lt;=0,(F37-SUM(G37:N37))*-1,0)</f>
        <v>0</v>
      </c>
    </row>
    <row r="38" spans="2:19">
      <c r="B38" s="118"/>
      <c r="C38" s="118"/>
      <c r="E38" s="365">
        <f>SUM(E35:E37)+SUM(E6:E21)</f>
        <v>332.48</v>
      </c>
      <c r="F38" s="365"/>
      <c r="G38" s="349"/>
      <c r="J38" s="7"/>
      <c r="L38" s="7"/>
      <c r="N38" s="7"/>
      <c r="O38" s="273"/>
      <c r="P38" s="273"/>
      <c r="Q38" s="282"/>
    </row>
    <row r="39" spans="2:19" ht="18">
      <c r="B39" s="728" t="s">
        <v>817</v>
      </c>
      <c r="C39" s="728"/>
      <c r="D39" s="728"/>
      <c r="E39" s="375">
        <f>G39+I39+K39+M39+N39+E38</f>
        <v>23356.98</v>
      </c>
      <c r="F39" s="379"/>
      <c r="G39" s="271">
        <f>3085.78+850+50+94+37.5+1043.8+453.42+25+17284+101</f>
        <v>23024.5</v>
      </c>
      <c r="H39" s="282"/>
      <c r="I39" s="271"/>
      <c r="J39" s="271"/>
      <c r="K39" s="271"/>
      <c r="L39" s="271"/>
      <c r="M39" s="271"/>
      <c r="N39" s="271"/>
      <c r="O39" s="314" t="str">
        <f>"£" &amp; ROUND(O5+O34+O24+IF(O36&lt;0,0,O36)+O37+O4,2) &amp; " / " &amp; "£" &amp; E39</f>
        <v>£1425.75 / £23356.98</v>
      </c>
      <c r="P39" s="274"/>
      <c r="Q39" s="282">
        <f>SUM(Q34,Q24,Q5)</f>
        <v>2.6499999999999915</v>
      </c>
    </row>
    <row r="40" spans="2:19">
      <c r="B40" s="118"/>
      <c r="C40" s="7"/>
      <c r="E40" s="365"/>
      <c r="F40" s="365"/>
      <c r="G40" s="365"/>
      <c r="H40" s="365"/>
    </row>
    <row r="41" spans="2:19" ht="14.4">
      <c r="B41" s="729"/>
      <c r="C41" s="729"/>
      <c r="D41" s="729"/>
      <c r="E41" s="729"/>
      <c r="F41" s="729"/>
      <c r="G41" s="729"/>
      <c r="H41" s="297"/>
      <c r="K41" s="729"/>
      <c r="L41" s="729"/>
      <c r="M41" s="729"/>
      <c r="N41" s="729"/>
      <c r="O41" s="729"/>
      <c r="P41" s="297"/>
    </row>
    <row r="42" spans="2:19" ht="15" customHeight="1">
      <c r="B42" s="726" t="s">
        <v>955</v>
      </c>
      <c r="C42" s="726"/>
      <c r="D42" s="726"/>
      <c r="E42" s="726"/>
      <c r="F42" s="348"/>
      <c r="K42" s="212"/>
      <c r="L42" s="212"/>
      <c r="N42" s="118" t="s">
        <v>1380</v>
      </c>
      <c r="O42" s="316">
        <v>45110</v>
      </c>
      <c r="P42" s="7">
        <f ca="1">DATEDIF(O42,NOW(),"d")</f>
        <v>1141</v>
      </c>
      <c r="Q42">
        <v>8.56</v>
      </c>
      <c r="R42" t="s">
        <v>1310</v>
      </c>
    </row>
    <row r="43" spans="2:19">
      <c r="B43" s="365"/>
      <c r="C43" s="38"/>
      <c r="D43" s="212"/>
      <c r="E43" s="310"/>
      <c r="F43" s="11"/>
      <c r="G43" s="367"/>
      <c r="H43" s="243"/>
      <c r="I43" s="243"/>
      <c r="K43" s="11"/>
      <c r="N43" s="322" t="s">
        <v>1381</v>
      </c>
      <c r="O43" s="42">
        <v>45131</v>
      </c>
      <c r="P43" s="7">
        <f ca="1">DATEDIF(O43,NOW(),"d")</f>
        <v>1120</v>
      </c>
      <c r="Q43">
        <v>78</v>
      </c>
      <c r="R43" t="s">
        <v>1105</v>
      </c>
    </row>
    <row r="44" spans="2:19">
      <c r="E44" s="409"/>
      <c r="F44" s="365"/>
      <c r="J44" s="243"/>
      <c r="L44" s="243"/>
      <c r="O44"/>
      <c r="P44"/>
    </row>
    <row r="45" spans="2:19" ht="16.2" customHeight="1">
      <c r="E45" s="188"/>
      <c r="F45" s="278"/>
      <c r="J45" s="213"/>
      <c r="K45" s="213"/>
      <c r="L45" s="243"/>
      <c r="O45" s="292"/>
      <c r="P45" s="212"/>
    </row>
    <row r="46" spans="2:19">
      <c r="B46" s="378"/>
      <c r="E46" s="409"/>
      <c r="F46" s="361"/>
      <c r="J46" s="243"/>
      <c r="L46" s="243"/>
      <c r="P46" s="56"/>
    </row>
    <row r="47" spans="2:19" ht="14.4">
      <c r="E47" s="409"/>
      <c r="F47" s="361"/>
      <c r="K47" s="369"/>
      <c r="L47" s="243"/>
      <c r="P47"/>
    </row>
    <row r="48" spans="2:19" ht="14.4">
      <c r="E48" s="412"/>
      <c r="F48" s="361"/>
      <c r="P48" s="212"/>
      <c r="Q48" s="212"/>
    </row>
    <row r="49" spans="2:17" ht="15" customHeight="1">
      <c r="E49" s="412"/>
      <c r="F49" s="361"/>
      <c r="M49" t="s">
        <v>1384</v>
      </c>
      <c r="P49" s="56"/>
      <c r="Q49" s="38"/>
    </row>
    <row r="50" spans="2:17" ht="14.4">
      <c r="E50" s="412"/>
      <c r="F50" s="360"/>
      <c r="L50" t="s">
        <v>1383</v>
      </c>
      <c r="M50">
        <v>9315.7000000000007</v>
      </c>
      <c r="O50"/>
      <c r="P50"/>
    </row>
    <row r="51" spans="2:17" ht="15" customHeight="1">
      <c r="E51" s="413"/>
      <c r="F51" s="360"/>
      <c r="H51" s="243"/>
      <c r="L51" s="243">
        <f>O4-1425.75</f>
        <v>105.7800000000002</v>
      </c>
      <c r="O51"/>
      <c r="P51"/>
    </row>
    <row r="52" spans="2:17">
      <c r="E52" s="412"/>
      <c r="F52" s="384"/>
      <c r="H52" s="243"/>
      <c r="L52">
        <f>593.98+156.23+26.47+52.61</f>
        <v>829.29000000000008</v>
      </c>
      <c r="O52"/>
      <c r="P52"/>
    </row>
    <row r="53" spans="2:17">
      <c r="B53" s="11"/>
      <c r="E53" s="405"/>
      <c r="F53" s="384"/>
      <c r="I53" s="407"/>
      <c r="K53" t="s">
        <v>641</v>
      </c>
      <c r="L53">
        <v>425.3</v>
      </c>
      <c r="O53"/>
      <c r="P53"/>
    </row>
    <row r="54" spans="2:17" ht="14.4">
      <c r="B54" s="11"/>
      <c r="E54" s="405"/>
      <c r="F54" s="79"/>
      <c r="G54" s="407"/>
      <c r="K54" t="s">
        <v>1382</v>
      </c>
      <c r="L54">
        <v>0</v>
      </c>
      <c r="O54"/>
      <c r="P54"/>
    </row>
    <row r="55" spans="2:17" ht="14.4">
      <c r="E55" s="405"/>
      <c r="F55" s="79"/>
      <c r="L55" s="243">
        <f>SUM(L51:L54)</f>
        <v>1360.3700000000003</v>
      </c>
      <c r="M55" s="243">
        <f>M50-L55</f>
        <v>7955.33</v>
      </c>
      <c r="O55"/>
      <c r="P55"/>
    </row>
    <row r="56" spans="2:17" ht="14.4">
      <c r="B56" s="212"/>
      <c r="C56" s="212"/>
      <c r="E56" s="405"/>
      <c r="F56" s="7"/>
      <c r="M56">
        <f>7087.47</f>
        <v>7087.47</v>
      </c>
      <c r="N56" t="s">
        <v>606</v>
      </c>
      <c r="O56"/>
      <c r="P56"/>
    </row>
    <row r="57" spans="2:17" ht="14.4">
      <c r="C57" s="56"/>
      <c r="D57" s="243"/>
      <c r="E57"/>
      <c r="F57"/>
      <c r="M57">
        <v>568</v>
      </c>
      <c r="N57" t="s">
        <v>1385</v>
      </c>
      <c r="O57"/>
      <c r="P57"/>
    </row>
    <row r="58" spans="2:17" ht="15.75" customHeight="1">
      <c r="C58" s="56"/>
      <c r="E58"/>
      <c r="F58"/>
      <c r="M58" s="243">
        <f>M55-M56-M57</f>
        <v>299.85999999999967</v>
      </c>
      <c r="O58"/>
      <c r="P58"/>
    </row>
    <row r="59" spans="2:17" ht="14.4">
      <c r="C59" s="56"/>
      <c r="E59"/>
      <c r="F59"/>
      <c r="O59"/>
      <c r="P59" s="771"/>
    </row>
    <row r="60" spans="2:17" ht="14.4">
      <c r="C60" s="56"/>
      <c r="E60" s="79"/>
      <c r="F60" s="79"/>
      <c r="O60"/>
      <c r="P60" s="771"/>
    </row>
    <row r="61" spans="2:17" ht="14.4">
      <c r="C61" s="56"/>
      <c r="E61" s="243"/>
      <c r="F61"/>
      <c r="I61" s="407"/>
      <c r="K61" s="243"/>
      <c r="O61"/>
      <c r="P61" s="771"/>
    </row>
    <row r="62" spans="2:17" ht="14.4">
      <c r="C62" s="56"/>
      <c r="D62" s="426"/>
      <c r="E62"/>
      <c r="F62"/>
      <c r="G62" s="407"/>
      <c r="O62"/>
      <c r="P62" s="771"/>
    </row>
    <row r="63" spans="2:17" ht="14.4">
      <c r="C63" s="56"/>
      <c r="E63"/>
      <c r="F63"/>
      <c r="O63"/>
      <c r="P63"/>
    </row>
    <row r="64" spans="2:17" ht="14.4">
      <c r="C64" s="56"/>
      <c r="E64" s="347"/>
      <c r="F64"/>
      <c r="O64"/>
      <c r="P64"/>
    </row>
    <row r="65" spans="2:16" ht="14.4">
      <c r="C65" s="56"/>
      <c r="E65" s="332"/>
      <c r="F65" s="332"/>
      <c r="O65"/>
      <c r="P65" s="771"/>
    </row>
    <row r="66" spans="2:16" ht="14.4">
      <c r="C66" s="56"/>
      <c r="E66"/>
      <c r="F66"/>
      <c r="O66"/>
      <c r="P66" s="771"/>
    </row>
    <row r="67" spans="2:16">
      <c r="C67" s="56"/>
      <c r="F67"/>
      <c r="O67"/>
      <c r="P67" s="771"/>
    </row>
    <row r="68" spans="2:16">
      <c r="E68"/>
      <c r="F68" s="365"/>
      <c r="O68"/>
      <c r="P68" s="771"/>
    </row>
    <row r="69" spans="2:16">
      <c r="B69" s="212"/>
      <c r="C69" s="294"/>
      <c r="E69" s="365"/>
      <c r="F69" s="212"/>
      <c r="O69"/>
      <c r="P69"/>
    </row>
    <row r="70" spans="2:16" ht="14.4">
      <c r="C70" s="56"/>
      <c r="D70" s="56"/>
      <c r="E70" s="56"/>
      <c r="F70" s="56"/>
      <c r="G70" s="771"/>
      <c r="H70" s="771"/>
      <c r="I70" s="771"/>
      <c r="J70" s="771"/>
      <c r="K70" s="771"/>
      <c r="L70" s="771"/>
      <c r="M70" s="771"/>
      <c r="N70" s="771"/>
      <c r="O70" s="771"/>
      <c r="P70"/>
    </row>
    <row r="71" spans="2:16" ht="14.4">
      <c r="C71" s="56"/>
      <c r="D71" s="56"/>
      <c r="E71" s="56"/>
      <c r="F71" s="56"/>
      <c r="O71"/>
      <c r="P71" s="771"/>
    </row>
    <row r="72" spans="2:16" ht="14.4">
      <c r="C72" s="56"/>
      <c r="D72" s="56"/>
      <c r="E72" s="56"/>
      <c r="F72" s="56"/>
      <c r="O72"/>
      <c r="P72" s="771"/>
    </row>
    <row r="73" spans="2:16" ht="14.4">
      <c r="C73" s="56"/>
      <c r="D73" s="56"/>
      <c r="E73" s="56"/>
      <c r="F73" s="56"/>
      <c r="O73"/>
      <c r="P73" s="771"/>
    </row>
    <row r="74" spans="2:16" ht="14.4">
      <c r="C74" s="56"/>
      <c r="D74" s="56"/>
      <c r="E74" s="56"/>
      <c r="F74" s="56"/>
      <c r="O74"/>
      <c r="P74" s="771"/>
    </row>
    <row r="75" spans="2:16" ht="14.4">
      <c r="C75" s="56"/>
      <c r="E75" s="56"/>
      <c r="F75" s="56"/>
      <c r="O75"/>
      <c r="P75"/>
    </row>
    <row r="76" spans="2:16">
      <c r="O76"/>
      <c r="P76"/>
    </row>
    <row r="77" spans="2:16" ht="14.4">
      <c r="E77" s="212"/>
      <c r="F77" s="212"/>
      <c r="O77"/>
      <c r="P77" s="771"/>
    </row>
    <row r="78" spans="2:16" ht="14.4">
      <c r="E78" s="56"/>
      <c r="F78" s="56"/>
      <c r="O78"/>
      <c r="P78" s="771"/>
    </row>
    <row r="79" spans="2:16" ht="14.4">
      <c r="E79" s="56"/>
      <c r="F79" s="56"/>
      <c r="O79"/>
      <c r="P79" s="771"/>
    </row>
    <row r="80" spans="2:16" ht="14.4">
      <c r="E80" s="56"/>
      <c r="F80" s="56"/>
      <c r="O80"/>
      <c r="P80" s="771"/>
    </row>
    <row r="81" spans="5:16" ht="14.4">
      <c r="E81" s="56"/>
      <c r="F81" s="56"/>
      <c r="O81"/>
      <c r="P81"/>
    </row>
    <row r="82" spans="5:16" ht="14.4">
      <c r="E82" s="56"/>
      <c r="F82" s="56"/>
      <c r="O82"/>
      <c r="P82"/>
    </row>
    <row r="83" spans="5:16" ht="14.4">
      <c r="E83" s="56"/>
      <c r="F83" s="56"/>
      <c r="O83"/>
      <c r="P83" s="771"/>
    </row>
    <row r="84" spans="5:16">
      <c r="O84"/>
      <c r="P84" s="771"/>
    </row>
    <row r="85" spans="5:16" ht="14.4">
      <c r="E85" s="212"/>
      <c r="F85" s="212"/>
      <c r="O85"/>
      <c r="P85" s="771"/>
    </row>
    <row r="86" spans="5:16" ht="14.4">
      <c r="E86" s="56"/>
      <c r="F86" s="56"/>
      <c r="O86"/>
      <c r="P86" s="771"/>
    </row>
    <row r="87" spans="5:16" ht="14.4">
      <c r="E87" s="56"/>
      <c r="F87" s="56"/>
      <c r="O87"/>
      <c r="P87"/>
    </row>
    <row r="88" spans="5:16" ht="14.4">
      <c r="E88" s="56"/>
      <c r="F88" s="56"/>
      <c r="O88"/>
      <c r="P88"/>
    </row>
    <row r="89" spans="5:16" ht="14.4">
      <c r="E89" s="56"/>
      <c r="F89" s="56"/>
      <c r="O89"/>
      <c r="P89" s="771"/>
    </row>
    <row r="90" spans="5:16" ht="14.4">
      <c r="E90" s="56"/>
      <c r="F90" s="56"/>
      <c r="O90"/>
      <c r="P90" s="771"/>
    </row>
    <row r="91" spans="5:16" ht="14.4">
      <c r="E91" s="56"/>
      <c r="F91" s="56"/>
      <c r="O91"/>
      <c r="P91" s="771"/>
    </row>
    <row r="92" spans="5:16">
      <c r="E92" s="365"/>
      <c r="F92" s="365"/>
      <c r="O92"/>
      <c r="P92" s="771"/>
    </row>
    <row r="93" spans="5:16">
      <c r="O93"/>
      <c r="P93"/>
    </row>
    <row r="94" spans="5:16">
      <c r="O94"/>
      <c r="P94"/>
    </row>
  </sheetData>
  <mergeCells count="30">
    <mergeCell ref="B4:E4"/>
    <mergeCell ref="B1:O1"/>
    <mergeCell ref="G3:H3"/>
    <mergeCell ref="I3:J3"/>
    <mergeCell ref="K3:L3"/>
    <mergeCell ref="M3:N3"/>
    <mergeCell ref="B39:D39"/>
    <mergeCell ref="B5:C5"/>
    <mergeCell ref="D5:E5"/>
    <mergeCell ref="B6:B20"/>
    <mergeCell ref="C6:C20"/>
    <mergeCell ref="B23:E23"/>
    <mergeCell ref="B24:C24"/>
    <mergeCell ref="D24:E24"/>
    <mergeCell ref="B33:E33"/>
    <mergeCell ref="B34:C34"/>
    <mergeCell ref="D34:E34"/>
    <mergeCell ref="B35:B36"/>
    <mergeCell ref="C35:C36"/>
    <mergeCell ref="P89:P92"/>
    <mergeCell ref="B41:G41"/>
    <mergeCell ref="K41:O41"/>
    <mergeCell ref="B42:C42"/>
    <mergeCell ref="D42:E42"/>
    <mergeCell ref="P59:P62"/>
    <mergeCell ref="P65:P68"/>
    <mergeCell ref="G70:O70"/>
    <mergeCell ref="P71:P74"/>
    <mergeCell ref="P77:P80"/>
    <mergeCell ref="P83:P86"/>
  </mergeCells>
  <pageMargins left="0.7" right="0.7" top="0.75" bottom="0.75" header="0.3" footer="0.3"/>
  <pageSetup orientation="portrait" r:id="rId1"/>
  <legacyDrawing r:id="rId2"/>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8FF13-E76F-4F26-92CA-309684CA1F49}">
  <dimension ref="A1:T105"/>
  <sheetViews>
    <sheetView topLeftCell="E2" zoomScale="80" zoomScaleNormal="80" workbookViewId="0">
      <selection activeCell="F14" sqref="F1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JUN-JUL 2023</v>
      </c>
      <c r="B1" s="730" t="str">
        <f ca="1">MID(CELL("filename",B1),FIND("]",CELL("filename",B1))+1,255)</f>
        <v>JUL-AUG 2023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1421</v>
      </c>
      <c r="I2" s="79" t="s">
        <v>799</v>
      </c>
      <c r="J2" s="307" t="s">
        <v>1424</v>
      </c>
      <c r="K2" s="79" t="s">
        <v>800</v>
      </c>
      <c r="L2" s="307" t="s">
        <v>1422</v>
      </c>
      <c r="M2" s="79" t="s">
        <v>801</v>
      </c>
      <c r="N2" s="307" t="s">
        <v>1423</v>
      </c>
      <c r="O2" s="273" t="s">
        <v>10</v>
      </c>
      <c r="P2" s="273"/>
      <c r="Q2" s="283" t="s">
        <v>803</v>
      </c>
    </row>
    <row r="3" spans="1:20">
      <c r="B3" s="118"/>
      <c r="C3" s="118"/>
      <c r="D3" s="290" t="str">
        <f>"£" &amp; ROUND(O5+O32+O24+IF(O34&lt;0,0,O34)+O35+O4,2) &amp; " / " &amp; "£" &amp; E38</f>
        <v>£264.35 / £11916.82</v>
      </c>
      <c r="E3" s="365">
        <f>2802.81-2787.81</f>
        <v>15</v>
      </c>
      <c r="F3" s="365"/>
      <c r="G3" s="732">
        <v>45010</v>
      </c>
      <c r="H3" s="732"/>
      <c r="I3" s="732">
        <f>G3+7</f>
        <v>45017</v>
      </c>
      <c r="J3" s="732"/>
      <c r="K3" s="732">
        <f>I3+7</f>
        <v>45024</v>
      </c>
      <c r="L3" s="732"/>
      <c r="M3" s="732">
        <f>K3+7</f>
        <v>45031</v>
      </c>
      <c r="N3" s="732"/>
      <c r="O3" s="308">
        <v>0</v>
      </c>
      <c r="P3" s="325" t="s">
        <v>1224</v>
      </c>
      <c r="Q3" s="282"/>
    </row>
    <row r="4" spans="1:20" ht="15" customHeight="1">
      <c r="B4" s="727" t="str">
        <f>_xlfn.CONCAT("Expenses - 50 - ",G38*0.5," / Actual = ",ROUND(D5,2)," (",ROUND((D5/G38)*100,2),")")</f>
        <v>Expenses - 50 - 3694.895 / Actual = 4410.37 (59.68)</v>
      </c>
      <c r="C4" s="727"/>
      <c r="D4" s="727"/>
      <c r="E4" s="727"/>
      <c r="F4" s="318"/>
      <c r="H4" s="304">
        <f>SUM(H5:H35)</f>
        <v>456.79000000000008</v>
      </c>
      <c r="I4" s="243"/>
      <c r="J4" s="304">
        <f>SUM(J5:J36)</f>
        <v>366.21999999999997</v>
      </c>
      <c r="K4" s="243"/>
      <c r="L4" s="304">
        <f>SUM(L5:L36)</f>
        <v>5036.91</v>
      </c>
      <c r="M4" s="243"/>
      <c r="N4" s="304">
        <f>SUM(N5:N35)</f>
        <v>193.49</v>
      </c>
      <c r="O4" s="308">
        <f>IF(H37&lt;&gt;"PAID",H4,0)+IF(J37&lt;&gt;"PAID",J4,0)+IF(L37&lt;&gt;"PAID",L4,0)+IF(N37&lt;&gt;"PAID",N4,0)-L36-J36</f>
        <v>-2103.0400000000004</v>
      </c>
      <c r="P4" s="309" t="s">
        <v>973</v>
      </c>
      <c r="Q4" s="408">
        <f>O4+402.34</f>
        <v>-1700.7000000000005</v>
      </c>
      <c r="R4" s="243"/>
      <c r="S4" s="243"/>
    </row>
    <row r="5" spans="1:20" ht="15" customHeight="1">
      <c r="B5" s="733" t="str">
        <f>IF(D5&gt;E$38*0.5,ROUND(D5-E$38*0.5,2) &amp; " Over",ROUND(E$38*0.5-D5,2) &amp; " Under")</f>
        <v>1548.04 Under</v>
      </c>
      <c r="C5" s="733"/>
      <c r="D5" s="761">
        <f>ROUND(SUM(F6:F21),2)</f>
        <v>4410.37</v>
      </c>
      <c r="E5" s="761"/>
      <c r="F5" s="321"/>
      <c r="G5" s="284"/>
      <c r="H5" s="306"/>
      <c r="I5" s="79"/>
      <c r="J5" s="306"/>
      <c r="K5" s="390"/>
      <c r="L5" s="306"/>
      <c r="M5" s="79"/>
      <c r="N5" s="305"/>
      <c r="O5" s="285">
        <f>SUMIF(O6:O21,"&gt;0")</f>
        <v>1.0199999999999818</v>
      </c>
      <c r="P5" s="285" t="s">
        <v>892</v>
      </c>
      <c r="Q5" s="282">
        <f>SUM(Q6:Q20)</f>
        <v>1.6499999999999986</v>
      </c>
      <c r="R5" s="243"/>
    </row>
    <row r="6" spans="1:20" ht="15" customHeight="1">
      <c r="B6" s="734" t="str">
        <f>"50%: " &amp; E$38*0.5</f>
        <v>50%: 5958.41</v>
      </c>
      <c r="C6" s="734" t="str">
        <f>ROUND((D5/E$38)*100,2) &amp; "%: " &amp;D5</f>
        <v>37.01%: 4410.37</v>
      </c>
      <c r="D6" s="13" t="s">
        <v>805</v>
      </c>
      <c r="E6" s="365">
        <v>0</v>
      </c>
      <c r="F6" s="374">
        <f>150-14.47</f>
        <v>135.53</v>
      </c>
      <c r="H6" s="304">
        <f>20.01+20.35+20.03+25.08</f>
        <v>85.47</v>
      </c>
      <c r="J6" s="305">
        <f>25</f>
        <v>25</v>
      </c>
      <c r="L6" s="305">
        <v>25.06</v>
      </c>
      <c r="N6" s="305"/>
      <c r="O6" s="274">
        <f>SUM(E6:F6)-SUM(G6:N6)</f>
        <v>0</v>
      </c>
      <c r="P6" s="274" t="str">
        <f t="shared" ref="P6:P21" si="0">D6</f>
        <v>Car Petrol / commuting</v>
      </c>
      <c r="Q6" s="282">
        <f t="shared" ref="Q6:Q21" si="1">IF(O6&lt;0,O6*-1,0)</f>
        <v>0</v>
      </c>
      <c r="R6" s="243">
        <v>20.010000000000002</v>
      </c>
    </row>
    <row r="7" spans="1:20" ht="15" customHeight="1">
      <c r="B7" s="734"/>
      <c r="C7" s="734"/>
      <c r="D7" s="13" t="s">
        <v>169</v>
      </c>
      <c r="E7" s="365">
        <v>0</v>
      </c>
      <c r="F7" s="365">
        <f>440+8.99+14.47-7.68</f>
        <v>455.78000000000003</v>
      </c>
      <c r="G7">
        <f>30.63+66.78</f>
        <v>97.41</v>
      </c>
      <c r="H7" s="304">
        <f>11+7.35+73.3+40.1+8.25+9.91</f>
        <v>149.91</v>
      </c>
      <c r="J7" s="305">
        <f>7.75+5.5+2.78+5.19</f>
        <v>21.220000000000002</v>
      </c>
      <c r="L7" s="305">
        <f>10.16+11.22+22.82+73.21+23.49+12.15</f>
        <v>153.05000000000001</v>
      </c>
      <c r="N7" s="305">
        <f>33.17</f>
        <v>33.17</v>
      </c>
      <c r="O7" s="274">
        <f>SUM(E7:F7)-SUM(G7:N7)</f>
        <v>1.0199999999999818</v>
      </c>
      <c r="P7" s="274" t="str">
        <f t="shared" si="0"/>
        <v>Food</v>
      </c>
      <c r="Q7" s="282">
        <f t="shared" si="1"/>
        <v>0</v>
      </c>
      <c r="R7" s="243"/>
    </row>
    <row r="8" spans="1:20" ht="15" customHeight="1">
      <c r="B8" s="734"/>
      <c r="C8" s="734"/>
      <c r="D8" s="13" t="s">
        <v>153</v>
      </c>
      <c r="E8" s="365">
        <v>0</v>
      </c>
      <c r="F8" s="365">
        <f>100+7.68</f>
        <v>107.68</v>
      </c>
      <c r="H8" s="305">
        <f>24.72</f>
        <v>24.72</v>
      </c>
      <c r="J8" s="305">
        <f>22.55</f>
        <v>22.55</v>
      </c>
      <c r="L8" s="305">
        <f>10</f>
        <v>10</v>
      </c>
      <c r="N8" s="305">
        <f>25.24+25.17</f>
        <v>50.41</v>
      </c>
      <c r="O8" s="274">
        <f>SUM(E8:F8)-SUM(G8:N8)</f>
        <v>0</v>
      </c>
      <c r="P8" s="274" t="str">
        <f t="shared" si="0"/>
        <v>Luna</v>
      </c>
      <c r="Q8" s="282">
        <f t="shared" si="1"/>
        <v>0</v>
      </c>
    </row>
    <row r="9" spans="1:20" ht="15" customHeight="1">
      <c r="B9" s="734"/>
      <c r="C9" s="734"/>
      <c r="D9" s="13" t="s">
        <v>1079</v>
      </c>
      <c r="E9" s="365">
        <v>0</v>
      </c>
      <c r="F9" s="365">
        <f>40-24.01</f>
        <v>15.989999999999998</v>
      </c>
      <c r="H9" s="305"/>
      <c r="J9" s="305"/>
      <c r="L9" s="305">
        <f>3+12.99</f>
        <v>15.99</v>
      </c>
      <c r="N9" s="305"/>
      <c r="O9" s="274">
        <f>SUM(E9:F9)-SUM(G9:N9)</f>
        <v>0</v>
      </c>
      <c r="P9" s="274" t="str">
        <f t="shared" si="0"/>
        <v>Creamy</v>
      </c>
      <c r="Q9" s="282">
        <f t="shared" si="1"/>
        <v>0</v>
      </c>
      <c r="R9" s="243"/>
    </row>
    <row r="10" spans="1:20" ht="15" customHeight="1" outlineLevel="1">
      <c r="B10" s="734"/>
      <c r="C10" s="734"/>
      <c r="D10" s="201" t="s">
        <v>595</v>
      </c>
      <c r="E10" s="365">
        <v>0</v>
      </c>
      <c r="F10" s="365">
        <v>835.29</v>
      </c>
      <c r="G10">
        <v>835.29</v>
      </c>
      <c r="H10" s="304"/>
      <c r="J10" s="305"/>
      <c r="L10" s="305"/>
      <c r="N10" s="305"/>
      <c r="O10" s="274">
        <f t="shared" ref="O10:O15" si="2">SUM(E10:F10)-SUM(G10:N10)</f>
        <v>0</v>
      </c>
      <c r="P10" s="274" t="str">
        <f t="shared" si="0"/>
        <v>Mortgage</v>
      </c>
      <c r="Q10" s="282">
        <f t="shared" si="1"/>
        <v>0</v>
      </c>
      <c r="R10" s="243"/>
    </row>
    <row r="11" spans="1:20" ht="15" customHeight="1" outlineLevel="1">
      <c r="B11" s="734"/>
      <c r="C11" s="734"/>
      <c r="D11" s="201" t="s">
        <v>596</v>
      </c>
      <c r="E11" s="365">
        <v>0</v>
      </c>
      <c r="F11" s="365">
        <v>147</v>
      </c>
      <c r="H11" s="305"/>
      <c r="J11" s="305"/>
      <c r="L11" s="305"/>
      <c r="M11">
        <v>147</v>
      </c>
      <c r="N11" s="305"/>
      <c r="O11" s="274">
        <f t="shared" si="2"/>
        <v>0</v>
      </c>
      <c r="P11" s="274" t="str">
        <f t="shared" si="0"/>
        <v>Council tax</v>
      </c>
      <c r="Q11" s="282">
        <f t="shared" si="1"/>
        <v>0</v>
      </c>
    </row>
    <row r="12" spans="1:20" ht="15" customHeight="1" outlineLevel="1">
      <c r="B12" s="734"/>
      <c r="C12" s="734"/>
      <c r="D12" s="201" t="s">
        <v>1002</v>
      </c>
      <c r="E12" s="365">
        <v>0</v>
      </c>
      <c r="F12" s="365">
        <f>24+132.56</f>
        <v>156.56</v>
      </c>
      <c r="G12">
        <v>132.56</v>
      </c>
      <c r="H12" s="305"/>
      <c r="J12" s="305"/>
      <c r="L12" s="305"/>
      <c r="M12">
        <v>24</v>
      </c>
      <c r="N12" s="305"/>
      <c r="O12" s="274">
        <f>SUM(E12:F12)-SUM(G12:N12)</f>
        <v>0</v>
      </c>
      <c r="P12" s="274" t="str">
        <f t="shared" si="0"/>
        <v>Utilities (G,W,E,HTB)</v>
      </c>
      <c r="Q12" s="282">
        <f t="shared" si="1"/>
        <v>0</v>
      </c>
    </row>
    <row r="13" spans="1:20" ht="15" customHeight="1" outlineLevel="1">
      <c r="B13" s="734"/>
      <c r="C13" s="734"/>
      <c r="D13" s="201" t="s">
        <v>996</v>
      </c>
      <c r="E13" s="365">
        <v>0</v>
      </c>
      <c r="F13" s="365">
        <v>14</v>
      </c>
      <c r="G13">
        <v>14</v>
      </c>
      <c r="H13" s="305"/>
      <c r="J13" s="305"/>
      <c r="L13" s="305"/>
      <c r="N13" s="305"/>
      <c r="O13" s="274">
        <f>SUM(E13:F13)-SUM(G13:N13)</f>
        <v>0</v>
      </c>
      <c r="P13" s="274" t="str">
        <f t="shared" si="0"/>
        <v>Home Insurance</v>
      </c>
      <c r="Q13" s="282">
        <f t="shared" si="1"/>
        <v>0</v>
      </c>
    </row>
    <row r="14" spans="1:20" ht="15" customHeight="1" outlineLevel="1">
      <c r="B14" s="734"/>
      <c r="C14" s="734"/>
      <c r="D14" s="201" t="s">
        <v>1056</v>
      </c>
      <c r="E14" s="365">
        <v>0</v>
      </c>
      <c r="F14" s="365">
        <f>8+17.2+17.99</f>
        <v>43.19</v>
      </c>
      <c r="G14">
        <f>17.2+17.99</f>
        <v>35.19</v>
      </c>
      <c r="H14" s="305"/>
      <c r="J14" s="305"/>
      <c r="L14" s="305"/>
      <c r="M14">
        <v>8</v>
      </c>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4.52+15.97+30.8</f>
        <v>51.290000000000006</v>
      </c>
      <c r="G15">
        <v>51.29</v>
      </c>
      <c r="H15" s="305"/>
      <c r="I15" s="11"/>
      <c r="J15" s="305"/>
      <c r="L15" s="305"/>
      <c r="N15" s="305"/>
      <c r="O15" s="274">
        <f t="shared" si="2"/>
        <v>0</v>
      </c>
      <c r="P15" s="274" t="str">
        <f t="shared" si="0"/>
        <v>Life / Income Insurance</v>
      </c>
      <c r="Q15" s="282">
        <f t="shared" si="1"/>
        <v>0</v>
      </c>
    </row>
    <row r="16" spans="1:20" ht="15" customHeight="1" outlineLevel="1">
      <c r="B16" s="734"/>
      <c r="C16" s="734"/>
      <c r="D16" s="201" t="s">
        <v>602</v>
      </c>
      <c r="E16" s="365">
        <v>0</v>
      </c>
      <c r="F16" s="365">
        <v>28.6</v>
      </c>
      <c r="H16" s="305"/>
      <c r="J16" s="305"/>
      <c r="L16" s="305"/>
      <c r="M16">
        <f>28.6</f>
        <v>28.6</v>
      </c>
      <c r="N16" s="305"/>
      <c r="O16" s="274">
        <f t="shared" ref="O16:O21" si="3">SUM(E16:F16)-SUM(G16:N16)</f>
        <v>0</v>
      </c>
      <c r="P16" s="274" t="str">
        <f t="shared" si="0"/>
        <v>Broadband / TV</v>
      </c>
      <c r="Q16" s="282">
        <f t="shared" si="1"/>
        <v>0</v>
      </c>
    </row>
    <row r="17" spans="2:19" ht="15" customHeight="1" outlineLevel="1">
      <c r="B17" s="734"/>
      <c r="C17" s="734"/>
      <c r="D17" s="201" t="s">
        <v>582</v>
      </c>
      <c r="E17" s="365">
        <v>0</v>
      </c>
      <c r="F17" s="365">
        <v>7.99</v>
      </c>
      <c r="G17">
        <v>7.99</v>
      </c>
      <c r="H17" s="305"/>
      <c r="J17" s="305"/>
      <c r="L17" s="305"/>
      <c r="N17" s="305"/>
      <c r="O17" s="274">
        <f t="shared" si="3"/>
        <v>0</v>
      </c>
      <c r="P17" s="274" t="str">
        <f t="shared" si="0"/>
        <v>Onedrive (6th)</v>
      </c>
      <c r="Q17" s="282">
        <f t="shared" si="1"/>
        <v>0</v>
      </c>
    </row>
    <row r="18" spans="2:19" ht="15" customHeight="1" outlineLevel="1">
      <c r="B18" s="734"/>
      <c r="C18" s="734"/>
      <c r="D18" s="201" t="s">
        <v>788</v>
      </c>
      <c r="E18" s="365">
        <v>0</v>
      </c>
      <c r="F18" s="365">
        <f>11.55</f>
        <v>11.55</v>
      </c>
      <c r="G18">
        <v>13.2</v>
      </c>
      <c r="H18" s="305"/>
      <c r="J18" s="305"/>
      <c r="L18" s="305"/>
      <c r="N18" s="305"/>
      <c r="O18" s="274">
        <f t="shared" si="3"/>
        <v>-1.6499999999999986</v>
      </c>
      <c r="P18" s="274" t="str">
        <f t="shared" si="0"/>
        <v>Matt Phone</v>
      </c>
      <c r="Q18" s="282">
        <f t="shared" si="1"/>
        <v>1.6499999999999986</v>
      </c>
    </row>
    <row r="19" spans="2:19" ht="15" customHeight="1" outlineLevel="1">
      <c r="B19" s="734"/>
      <c r="C19" s="734"/>
      <c r="D19" s="201" t="s">
        <v>690</v>
      </c>
      <c r="E19" s="365">
        <v>0</v>
      </c>
      <c r="F19" s="365">
        <f>15.75+80.76+36.48+14.43+270.97+15.75-1.25</f>
        <v>432.89000000000004</v>
      </c>
      <c r="G19">
        <f>15.75+15.75+80.76+36.48</f>
        <v>148.74</v>
      </c>
      <c r="H19" s="305"/>
      <c r="J19" s="305"/>
      <c r="L19" s="305"/>
      <c r="M19">
        <f>13.18+270.97</f>
        <v>284.15000000000003</v>
      </c>
      <c r="N19" s="305"/>
      <c r="O19" s="274">
        <f t="shared" si="3"/>
        <v>0</v>
      </c>
      <c r="P19" s="274" t="str">
        <f t="shared" si="0"/>
        <v>Cars</v>
      </c>
      <c r="Q19" s="282">
        <f t="shared" si="1"/>
        <v>0</v>
      </c>
    </row>
    <row r="20" spans="2:19" ht="15" customHeight="1" outlineLevel="1">
      <c r="B20" s="734"/>
      <c r="C20" s="734"/>
      <c r="D20" s="201" t="s">
        <v>944</v>
      </c>
      <c r="E20" s="365">
        <v>0</v>
      </c>
      <c r="F20" s="365">
        <v>15</v>
      </c>
      <c r="G20">
        <v>15</v>
      </c>
      <c r="H20" s="305"/>
      <c r="J20" s="305"/>
      <c r="L20" s="305"/>
      <c r="N20" s="305"/>
      <c r="O20" s="274">
        <f t="shared" si="3"/>
        <v>0</v>
      </c>
      <c r="P20" s="274" t="str">
        <f t="shared" si="0"/>
        <v>Windows</v>
      </c>
      <c r="Q20" s="282">
        <f t="shared" si="1"/>
        <v>0</v>
      </c>
    </row>
    <row r="21" spans="2:19" ht="15" customHeight="1" outlineLevel="1">
      <c r="B21" s="7"/>
      <c r="C21" s="7"/>
      <c r="D21" s="201" t="s">
        <v>814</v>
      </c>
      <c r="E21" s="365">
        <v>1425.75</v>
      </c>
      <c r="F21" s="365">
        <f>1360.37+591.66</f>
        <v>1952.0299999999997</v>
      </c>
      <c r="G21">
        <f>1194.45+2183.33</f>
        <v>3377.7799999999997</v>
      </c>
      <c r="H21" s="305"/>
      <c r="J21" s="305"/>
      <c r="L21" s="305"/>
      <c r="N21" s="305"/>
      <c r="O21" s="274">
        <f t="shared" si="3"/>
        <v>0</v>
      </c>
      <c r="P21" s="274" t="str">
        <f t="shared" si="0"/>
        <v>CC</v>
      </c>
      <c r="Q21" s="282">
        <f t="shared" si="1"/>
        <v>0</v>
      </c>
    </row>
    <row r="22" spans="2:19" ht="15" customHeight="1">
      <c r="B22" s="118"/>
      <c r="C22" s="118"/>
      <c r="D22" s="188"/>
      <c r="E22" s="365"/>
      <c r="F22" s="365"/>
      <c r="H22" s="305"/>
      <c r="J22" s="305"/>
      <c r="L22" s="305"/>
      <c r="N22" s="305"/>
      <c r="O22" s="273"/>
      <c r="P22" s="273"/>
      <c r="Q22" s="282"/>
    </row>
    <row r="23" spans="2:19" ht="15" customHeight="1">
      <c r="B23" s="736" t="str">
        <f>_xlfn.CONCAT("Savings - 20 - ",G38*0.2," / Actual = ",D24," (",ROUND((D24/G38)*100,2),")")</f>
        <v>Savings - 20 - 1477.958 / Actual = 2543.95 (34.43)</v>
      </c>
      <c r="C23" s="736"/>
      <c r="D23" s="736"/>
      <c r="E23" s="736"/>
      <c r="F23" s="320"/>
      <c r="H23" s="305"/>
      <c r="J23" s="305"/>
      <c r="L23" s="305"/>
      <c r="N23" s="305"/>
      <c r="O23" s="274"/>
      <c r="P23" s="274"/>
      <c r="Q23" s="282"/>
    </row>
    <row r="24" spans="2:19" ht="15" customHeight="1">
      <c r="B24" s="727" t="str">
        <f>IF(ISNUMBER((SEARCH("Over",C$5))),"Operating under budget","Operating over budget")</f>
        <v>Operating over budget</v>
      </c>
      <c r="C24" s="727"/>
      <c r="D24" s="759">
        <f>SUM(F25:F29)</f>
        <v>2543.9499999999998</v>
      </c>
      <c r="E24" s="759"/>
      <c r="F24" s="319"/>
      <c r="H24" s="305"/>
      <c r="J24" s="305"/>
      <c r="L24" s="305"/>
      <c r="N24" s="305"/>
      <c r="O24" s="285">
        <f>SUMIF(O25:O29,"&gt;0")-SUM(E25:E29)</f>
        <v>-512.01000000000022</v>
      </c>
      <c r="P24" s="285" t="s">
        <v>895</v>
      </c>
      <c r="Q24" s="282">
        <f>SUM(Q25:Q25)</f>
        <v>0</v>
      </c>
    </row>
    <row r="25" spans="2:19" ht="15" customHeight="1" outlineLevel="1">
      <c r="B25" s="7" t="str">
        <f>"20% : " &amp; E$38*0.2</f>
        <v>20% : 2383.364</v>
      </c>
      <c r="C25" s="7" t="str">
        <f>"20% : " &amp; E$38*0.2</f>
        <v>20% : 2383.364</v>
      </c>
      <c r="D25" s="300" t="s">
        <v>183</v>
      </c>
      <c r="E25" s="365">
        <f>1360.37-1360.37</f>
        <v>0</v>
      </c>
      <c r="F25" s="365">
        <f>1113.67+1218.21+100</f>
        <v>2431.88</v>
      </c>
      <c r="H25" s="305">
        <f>34.99+40+10-21.71</f>
        <v>63.280000000000008</v>
      </c>
      <c r="I25">
        <v>120</v>
      </c>
      <c r="J25" s="305">
        <f>95+50</f>
        <v>145</v>
      </c>
      <c r="L25" s="315">
        <f>1055.16+335.8+29.99</f>
        <v>1420.95</v>
      </c>
      <c r="M25">
        <v>41</v>
      </c>
      <c r="N25" s="305">
        <f>9.97+20</f>
        <v>29.97</v>
      </c>
      <c r="O25" s="274">
        <f>SUM(E25:F25)-SUM(G25:N25)-Q38</f>
        <v>610.03000000000009</v>
      </c>
      <c r="P25" s="274" t="str">
        <f t="shared" ref="P25" si="4">D25</f>
        <v>Savings</v>
      </c>
      <c r="Q25" s="282">
        <v>0</v>
      </c>
      <c r="R25" s="343" t="s">
        <v>1426</v>
      </c>
      <c r="S25" s="7" t="s">
        <v>1427</v>
      </c>
    </row>
    <row r="26" spans="2:19" ht="15" customHeight="1" outlineLevel="1">
      <c r="B26" s="7"/>
      <c r="C26" s="7"/>
      <c r="D26" s="300" t="s">
        <v>1367</v>
      </c>
      <c r="E26" s="365">
        <v>80</v>
      </c>
      <c r="F26" s="365">
        <f>47.77+86.89</f>
        <v>134.66</v>
      </c>
      <c r="H26" s="305"/>
      <c r="J26" s="305"/>
      <c r="L26" s="315"/>
      <c r="N26" s="305"/>
      <c r="O26" s="274">
        <f>SUM(E26:F26)-SUM(G26:N26)</f>
        <v>214.66</v>
      </c>
      <c r="P26" s="274" t="str">
        <f>D26</f>
        <v>Su</v>
      </c>
      <c r="Q26" s="282">
        <v>0</v>
      </c>
      <c r="R26" s="243">
        <f>12286.1</f>
        <v>12286.1</v>
      </c>
      <c r="S26">
        <v>6095</v>
      </c>
    </row>
    <row r="27" spans="2:19" ht="15" customHeight="1" outlineLevel="1">
      <c r="B27" s="7"/>
      <c r="C27" s="7"/>
      <c r="D27" s="300" t="s">
        <v>1015</v>
      </c>
      <c r="E27" s="365">
        <f>7087.47-591.66</f>
        <v>6495.81</v>
      </c>
      <c r="F27" s="365">
        <v>0</v>
      </c>
      <c r="G27">
        <v>468.84</v>
      </c>
      <c r="H27" s="305"/>
      <c r="J27" s="305"/>
      <c r="L27" s="315"/>
      <c r="N27" s="305"/>
      <c r="O27" s="274">
        <f>SUM(E27:F27)-SUM(G27:N27)</f>
        <v>6026.97</v>
      </c>
      <c r="P27" s="274" t="str">
        <f>D27</f>
        <v>Tesco</v>
      </c>
      <c r="Q27" s="282">
        <v>0</v>
      </c>
      <c r="R27" s="243">
        <f>R26-O27</f>
        <v>6259.13</v>
      </c>
      <c r="S27" s="243">
        <f>S26-R27</f>
        <v>-164.13000000000011</v>
      </c>
    </row>
    <row r="28" spans="2:19" ht="15" customHeight="1" outlineLevel="1">
      <c r="B28" s="7"/>
      <c r="C28" s="7"/>
      <c r="D28" s="300" t="s">
        <v>1364</v>
      </c>
      <c r="E28" s="432">
        <v>219.86</v>
      </c>
      <c r="F28" s="432">
        <f>-13.6+-8.99</f>
        <v>-22.59</v>
      </c>
      <c r="G28">
        <v>5.0999999999999996</v>
      </c>
      <c r="H28" s="305">
        <f>-39+16.88+42.48</f>
        <v>20.359999999999996</v>
      </c>
      <c r="J28" s="305"/>
      <c r="L28" s="315">
        <f>109.07+29.5+(36.74-12.99)+9.49</f>
        <v>171.81</v>
      </c>
      <c r="N28" s="305"/>
      <c r="O28" s="274">
        <f>SUM(E28:F28)-SUM(G28:N28)</f>
        <v>0</v>
      </c>
      <c r="P28" s="274" t="str">
        <f t="shared" ref="P28:P29" si="5">D28</f>
        <v>Renovation</v>
      </c>
      <c r="Q28" s="282">
        <v>0</v>
      </c>
    </row>
    <row r="29" spans="2:19" ht="15" customHeight="1" outlineLevel="1">
      <c r="B29" s="7"/>
      <c r="C29" s="7"/>
      <c r="D29" s="300" t="s">
        <v>1366</v>
      </c>
      <c r="E29" s="432">
        <v>568</v>
      </c>
      <c r="F29" s="432">
        <v>0</v>
      </c>
      <c r="H29" s="305"/>
      <c r="J29" s="305"/>
      <c r="L29" s="315">
        <v>568</v>
      </c>
      <c r="N29" s="305"/>
      <c r="O29" s="274">
        <f t="shared" ref="O29" si="6">SUM(E29:F29)-SUM(G29:N29)</f>
        <v>0</v>
      </c>
      <c r="P29" s="274" t="str">
        <f t="shared" si="5"/>
        <v>Bedroom</v>
      </c>
      <c r="Q29" s="282"/>
    </row>
    <row r="30" spans="2:19" ht="15" customHeight="1">
      <c r="B30" s="118"/>
      <c r="C30" s="118"/>
      <c r="E30" s="365"/>
      <c r="F30" s="365"/>
      <c r="H30" s="305"/>
      <c r="J30" s="305"/>
      <c r="L30" s="305"/>
      <c r="N30" s="305"/>
      <c r="O30" s="273"/>
      <c r="P30" s="273"/>
      <c r="Q30" s="282"/>
    </row>
    <row r="31" spans="2:19" ht="15" customHeight="1">
      <c r="B31" s="727" t="str">
        <f>_xlfn.CONCAT("Wants - 30 - ",G38*0.3," / Actual = ",D32," (",ROUND((D32/G38)*100,2),")")</f>
        <v>Wants - 30 - 2216.937 / Actual = 3536.75 (47.86)</v>
      </c>
      <c r="C31" s="727"/>
      <c r="D31" s="727"/>
      <c r="E31" s="727"/>
      <c r="F31" s="318"/>
      <c r="H31" s="305"/>
      <c r="J31" s="305"/>
      <c r="L31" s="305"/>
      <c r="N31" s="305"/>
      <c r="O31" s="273"/>
      <c r="P31" s="273"/>
      <c r="Q31" s="282"/>
    </row>
    <row r="32" spans="2:19" ht="15" customHeight="1">
      <c r="B32" s="727" t="str">
        <f>IF(ISNUMBER((SEARCH("Over",B$5))),"Operating under budget","Operating over budget")</f>
        <v>Operating over budget</v>
      </c>
      <c r="C32" s="727"/>
      <c r="D32" s="759">
        <f>(E$38-D5-D24-E37)</f>
        <v>3536.75</v>
      </c>
      <c r="E32" s="727"/>
      <c r="F32" s="319">
        <f>SUM(F33:F34)</f>
        <v>3436.75</v>
      </c>
      <c r="H32" s="305"/>
      <c r="J32" s="305"/>
      <c r="L32" s="305"/>
      <c r="N32" s="305"/>
      <c r="O32" s="285">
        <f>SUMIF(O33:O33,"&gt;0")</f>
        <v>0</v>
      </c>
      <c r="P32" s="285" t="s">
        <v>899</v>
      </c>
      <c r="Q32" s="282">
        <f>SUM(Q33:Q34)</f>
        <v>0</v>
      </c>
    </row>
    <row r="33" spans="2:19" ht="15.75" customHeight="1" outlineLevel="1">
      <c r="B33" s="734"/>
      <c r="C33" s="760"/>
      <c r="D33" s="13" t="s">
        <v>781</v>
      </c>
      <c r="E33" s="365">
        <v>0</v>
      </c>
      <c r="F33" s="365">
        <f>13+6.99+10.99+0.99+7.99+8.99</f>
        <v>48.95</v>
      </c>
      <c r="G33" s="11">
        <f>13+10.99+7.99+0.99+6.99</f>
        <v>39.960000000000008</v>
      </c>
      <c r="H33" s="305"/>
      <c r="J33" s="305"/>
      <c r="L33" s="305">
        <f>8.99</f>
        <v>8.99</v>
      </c>
      <c r="N33" s="305"/>
      <c r="O33" s="274">
        <f t="shared" ref="O33:O35" si="7">SUM(E33:F33)-SUM(G33:N33)</f>
        <v>0</v>
      </c>
      <c r="P33" s="274" t="str">
        <f t="shared" ref="P33:P35" si="8">D33</f>
        <v>Subscriptions</v>
      </c>
      <c r="Q33" s="282">
        <f>IF(O33&lt;0,O33*-1,0)</f>
        <v>0</v>
      </c>
      <c r="S33" s="349"/>
    </row>
    <row r="34" spans="2:19" ht="18" outlineLevel="1">
      <c r="B34" s="734"/>
      <c r="C34" s="760"/>
      <c r="D34" s="13" t="s">
        <v>922</v>
      </c>
      <c r="E34" s="365">
        <v>0</v>
      </c>
      <c r="F34" s="365">
        <f>(D32-SUM(F33:F33))-F35</f>
        <v>3387.8</v>
      </c>
      <c r="G34" s="11">
        <f>30+1+4.19+25+1</f>
        <v>61.19</v>
      </c>
      <c r="H34">
        <f>26.67+2.8+28.4+11.55+20.03+13.9+4+5.7</f>
        <v>113.05000000000001</v>
      </c>
      <c r="J34" s="305">
        <f>47.35+6.85+2+9.95+14.87+20.68+9.35+26+10+2.78+5.5-8.28</f>
        <v>147.05000000000001</v>
      </c>
      <c r="L34" s="305">
        <f>9.25+14.94-3+14.3+5.99-1-19.99+16.22</f>
        <v>36.709999999999994</v>
      </c>
      <c r="M34">
        <f>8.99</f>
        <v>8.99</v>
      </c>
      <c r="N34" s="305">
        <f>44.94</f>
        <v>44.94</v>
      </c>
      <c r="O34" s="274">
        <f>SUM(E34:F34)-SUM(G34:N34)</f>
        <v>2975.8700000000003</v>
      </c>
      <c r="P34" s="274" t="str">
        <f t="shared" si="8"/>
        <v>Matt Fun</v>
      </c>
      <c r="Q34" s="282">
        <f>IF(SUM(E34:F34)-SUM(G34:N34)&lt;=0,(SUM(E34:F34)-SUM(G34:N34))*-1,0)</f>
        <v>0</v>
      </c>
    </row>
    <row r="35" spans="2:19" ht="18" outlineLevel="1">
      <c r="B35" s="7"/>
      <c r="C35" s="284"/>
      <c r="D35" s="13" t="s">
        <v>152</v>
      </c>
      <c r="E35" s="365">
        <v>0</v>
      </c>
      <c r="F35" s="365">
        <f>65+35</f>
        <v>100</v>
      </c>
      <c r="G35" s="11"/>
      <c r="H35" s="306"/>
      <c r="J35" s="305"/>
      <c r="L35" s="305">
        <f>-0.01+55+9.5+98</f>
        <v>162.49</v>
      </c>
      <c r="N35" s="305">
        <v>35</v>
      </c>
      <c r="O35" s="274">
        <f t="shared" si="7"/>
        <v>-97.490000000000009</v>
      </c>
      <c r="P35" s="274" t="str">
        <f t="shared" si="8"/>
        <v>Kris</v>
      </c>
      <c r="Q35" s="271">
        <f>IF(F35-SUM(G35:N35)&lt;=0,(F35-SUM(G35:N35))*-1,0)</f>
        <v>97.490000000000009</v>
      </c>
    </row>
    <row r="36" spans="2:19" ht="18" outlineLevel="1">
      <c r="B36" s="7"/>
      <c r="C36" s="284"/>
      <c r="D36" s="13" t="s">
        <v>724</v>
      </c>
      <c r="E36" s="365"/>
      <c r="F36" s="365"/>
      <c r="G36" s="11"/>
      <c r="H36" s="306"/>
      <c r="J36" s="305">
        <f>5.4</f>
        <v>5.4</v>
      </c>
      <c r="L36" s="305">
        <f>1115.6+30.93+9.55+104.8+15+218.73+74.89+152.5+139+16.27+15.27+475.44+95.88</f>
        <v>2463.86</v>
      </c>
      <c r="N36" s="305"/>
      <c r="O36" s="274"/>
      <c r="P36" s="274"/>
      <c r="Q36" s="271"/>
    </row>
    <row r="37" spans="2:19">
      <c r="B37" s="118"/>
      <c r="C37" s="118"/>
      <c r="E37" s="365">
        <f>SUM(E33:E35)+SUM(E6:E21)</f>
        <v>1425.75</v>
      </c>
      <c r="F37" s="365"/>
      <c r="G37" s="349"/>
      <c r="H37" t="s">
        <v>986</v>
      </c>
      <c r="J37" s="7"/>
      <c r="L37" s="7" t="s">
        <v>986</v>
      </c>
      <c r="N37" s="7" t="s">
        <v>986</v>
      </c>
      <c r="O37" s="273"/>
      <c r="P37" s="273"/>
      <c r="Q37" s="282"/>
    </row>
    <row r="38" spans="2:19" ht="18">
      <c r="B38" s="728" t="s">
        <v>817</v>
      </c>
      <c r="C38" s="728"/>
      <c r="D38" s="728"/>
      <c r="E38" s="375">
        <f>G38+I38+K38+M38+N38+E37</f>
        <v>11916.82</v>
      </c>
      <c r="F38" s="379"/>
      <c r="G38" s="271">
        <f>4304.99+850+125+20+25+1360.37+591.66+47.77+65</f>
        <v>7389.79</v>
      </c>
      <c r="H38" s="282"/>
      <c r="I38" s="271"/>
      <c r="J38" s="271"/>
      <c r="K38" s="271">
        <v>2979.39</v>
      </c>
      <c r="L38" s="271"/>
      <c r="M38" s="271">
        <f>35+86.89</f>
        <v>121.89</v>
      </c>
      <c r="N38" s="271"/>
      <c r="O38" s="314" t="str">
        <f>"£" &amp; ROUND(O5+O32+O24+IF(O34&lt;0,0,O34)+O35+O4,2) &amp; " / " &amp; "£" &amp; E38</f>
        <v>£264.35 / £11916.82</v>
      </c>
      <c r="P38" s="274"/>
      <c r="Q38" s="282">
        <f>SUM(Q32,Q24,Q5)</f>
        <v>1.6499999999999986</v>
      </c>
    </row>
    <row r="39" spans="2:19">
      <c r="B39" s="118"/>
      <c r="C39" s="7"/>
      <c r="E39" s="365"/>
      <c r="F39" s="365"/>
      <c r="G39" s="365"/>
      <c r="H39" s="365"/>
    </row>
    <row r="40" spans="2:19" ht="14.4">
      <c r="B40" s="729"/>
      <c r="C40" s="729"/>
      <c r="D40" s="729"/>
      <c r="E40" s="729"/>
      <c r="F40" s="729"/>
      <c r="G40" s="729"/>
      <c r="H40" s="297"/>
      <c r="K40" s="729"/>
      <c r="L40" s="729"/>
      <c r="M40" s="729"/>
      <c r="N40" s="729"/>
      <c r="O40" s="729"/>
      <c r="P40" s="297"/>
    </row>
    <row r="41" spans="2:19" ht="15" customHeight="1">
      <c r="B41" s="726" t="s">
        <v>955</v>
      </c>
      <c r="C41" s="726"/>
      <c r="D41" s="726"/>
      <c r="E41" s="726"/>
      <c r="F41" s="348"/>
      <c r="K41" t="s">
        <v>1433</v>
      </c>
      <c r="L41" s="212"/>
      <c r="N41" s="118" t="s">
        <v>1437</v>
      </c>
      <c r="O41" s="316">
        <v>45158</v>
      </c>
      <c r="P41" s="7">
        <f ca="1">DATEDIF(O41,NOW(),"d")</f>
        <v>1093</v>
      </c>
      <c r="Q41">
        <v>86.89</v>
      </c>
      <c r="R41" t="s">
        <v>685</v>
      </c>
    </row>
    <row r="42" spans="2:19">
      <c r="B42" s="365"/>
      <c r="C42" s="38"/>
      <c r="D42" s="212"/>
      <c r="E42" s="310"/>
      <c r="F42" s="11"/>
      <c r="G42" s="367"/>
      <c r="H42" s="243"/>
      <c r="I42" s="243"/>
      <c r="J42" t="s">
        <v>1430</v>
      </c>
      <c r="K42">
        <v>85</v>
      </c>
      <c r="N42" s="322" t="s">
        <v>1425</v>
      </c>
      <c r="O42" s="316">
        <v>45146</v>
      </c>
      <c r="P42" s="7">
        <f ca="1">DATEDIF(O42,NOW(),"d")</f>
        <v>1105</v>
      </c>
      <c r="Q42" t="s">
        <v>1411</v>
      </c>
    </row>
    <row r="43" spans="2:19">
      <c r="E43" s="409"/>
      <c r="F43" s="365"/>
      <c r="J43" t="s">
        <v>1431</v>
      </c>
      <c r="K43">
        <v>250</v>
      </c>
      <c r="L43" s="243"/>
      <c r="M43">
        <f>3001.55-2996.15</f>
        <v>5.4000000000000909</v>
      </c>
      <c r="N43" t="s">
        <v>1438</v>
      </c>
      <c r="O43" s="316">
        <v>45158</v>
      </c>
      <c r="P43" s="7">
        <f ca="1">DATEDIF(O43,NOW(),"d")</f>
        <v>1093</v>
      </c>
      <c r="Q43">
        <v>475</v>
      </c>
      <c r="R43" t="s">
        <v>1439</v>
      </c>
    </row>
    <row r="44" spans="2:19" ht="16.2" customHeight="1">
      <c r="E44" s="188"/>
      <c r="F44" s="278"/>
      <c r="J44" t="s">
        <v>1432</v>
      </c>
      <c r="K44">
        <v>150</v>
      </c>
      <c r="L44" s="243"/>
      <c r="N44" t="s">
        <v>1428</v>
      </c>
      <c r="O44" s="316">
        <v>45158</v>
      </c>
      <c r="P44" s="7">
        <f t="shared" ref="P44:P45" ca="1" si="9">DATEDIF(O44,NOW(),"d")</f>
        <v>1093</v>
      </c>
      <c r="Q44">
        <v>2.78</v>
      </c>
      <c r="R44" t="s">
        <v>1440</v>
      </c>
    </row>
    <row r="45" spans="2:19">
      <c r="B45" s="378"/>
      <c r="E45" s="409"/>
      <c r="F45" s="361"/>
      <c r="G45" s="243"/>
      <c r="J45" t="s">
        <v>1025</v>
      </c>
      <c r="K45">
        <v>30</v>
      </c>
      <c r="L45" s="243">
        <f>2463.86-L36</f>
        <v>0</v>
      </c>
      <c r="N45" t="s">
        <v>1429</v>
      </c>
      <c r="O45" s="316">
        <v>45158</v>
      </c>
      <c r="P45" s="7">
        <f t="shared" ca="1" si="9"/>
        <v>1093</v>
      </c>
      <c r="Q45">
        <v>25</v>
      </c>
      <c r="R45" t="s">
        <v>1441</v>
      </c>
    </row>
    <row r="46" spans="2:19" ht="14.4">
      <c r="E46" s="409"/>
      <c r="F46" s="361"/>
      <c r="J46" t="s">
        <v>1434</v>
      </c>
      <c r="K46">
        <v>38</v>
      </c>
      <c r="L46" s="243"/>
      <c r="P46"/>
    </row>
    <row r="47" spans="2:19" ht="14.4">
      <c r="E47" s="412"/>
      <c r="F47" s="361"/>
      <c r="J47" s="188" t="s">
        <v>1435</v>
      </c>
      <c r="K47">
        <v>30</v>
      </c>
      <c r="P47" s="212"/>
      <c r="Q47" s="212"/>
    </row>
    <row r="48" spans="2:19" ht="15" customHeight="1">
      <c r="E48" s="412"/>
      <c r="F48" s="361"/>
      <c r="J48" t="s">
        <v>382</v>
      </c>
      <c r="K48">
        <v>45</v>
      </c>
      <c r="P48" s="56"/>
      <c r="Q48" s="38"/>
    </row>
    <row r="49" spans="2:20" ht="14.4">
      <c r="E49" s="412"/>
      <c r="F49" s="360"/>
      <c r="J49" t="s">
        <v>1436</v>
      </c>
      <c r="K49">
        <v>25</v>
      </c>
      <c r="M49">
        <f>2367.98+117</f>
        <v>2484.98</v>
      </c>
      <c r="O49"/>
      <c r="P49"/>
    </row>
    <row r="50" spans="2:20" ht="15" customHeight="1">
      <c r="E50" s="413"/>
      <c r="F50" s="360"/>
      <c r="H50" s="243"/>
      <c r="L50" s="243">
        <f>L4-L51</f>
        <v>2057.5199999999995</v>
      </c>
      <c r="O50"/>
      <c r="P50"/>
    </row>
    <row r="51" spans="2:20">
      <c r="E51" s="412"/>
      <c r="H51" s="243"/>
      <c r="L51">
        <f>L36+515.53</f>
        <v>2979.3900000000003</v>
      </c>
      <c r="M51">
        <v>40</v>
      </c>
      <c r="N51" t="s">
        <v>1442</v>
      </c>
      <c r="O51"/>
      <c r="P51"/>
    </row>
    <row r="52" spans="2:20">
      <c r="B52" s="11"/>
      <c r="E52" s="405"/>
      <c r="I52" s="407"/>
      <c r="M52">
        <v>180</v>
      </c>
      <c r="N52" t="s">
        <v>1443</v>
      </c>
      <c r="O52"/>
      <c r="P52"/>
    </row>
    <row r="53" spans="2:20" ht="14.4">
      <c r="B53" s="11"/>
      <c r="E53" s="405"/>
      <c r="F53" s="79"/>
      <c r="G53" s="441"/>
      <c r="I53" t="s">
        <v>1410</v>
      </c>
      <c r="M53">
        <v>52</v>
      </c>
      <c r="N53" t="s">
        <v>1444</v>
      </c>
      <c r="O53"/>
      <c r="P53"/>
    </row>
    <row r="54" spans="2:20">
      <c r="E54" s="405"/>
      <c r="F54" s="384"/>
      <c r="L54" s="243"/>
      <c r="M54" s="243">
        <v>150</v>
      </c>
      <c r="N54" t="s">
        <v>1445</v>
      </c>
      <c r="O54"/>
      <c r="P54"/>
    </row>
    <row r="55" spans="2:20">
      <c r="B55" s="212"/>
      <c r="C55" s="212"/>
      <c r="E55" s="405"/>
      <c r="F55" s="384"/>
      <c r="M55">
        <v>30</v>
      </c>
      <c r="N55" t="s">
        <v>1343</v>
      </c>
      <c r="O55"/>
      <c r="P55"/>
    </row>
    <row r="56" spans="2:20" ht="14.4">
      <c r="C56" s="56"/>
      <c r="D56" s="726"/>
      <c r="E56" s="726"/>
      <c r="F56" s="726"/>
      <c r="G56" s="726"/>
      <c r="M56">
        <v>55</v>
      </c>
      <c r="N56" t="s">
        <v>1447</v>
      </c>
      <c r="O56"/>
      <c r="P56"/>
    </row>
    <row r="57" spans="2:20" ht="15.75" customHeight="1">
      <c r="C57" s="56"/>
      <c r="E57"/>
      <c r="I57" s="726" t="s">
        <v>1406</v>
      </c>
      <c r="J57" s="726"/>
      <c r="K57" s="726"/>
      <c r="M57" s="243">
        <v>20</v>
      </c>
      <c r="N57" t="s">
        <v>1446</v>
      </c>
      <c r="O57"/>
      <c r="P57"/>
    </row>
    <row r="58" spans="2:20">
      <c r="C58" s="56"/>
      <c r="E58"/>
      <c r="I58" t="s">
        <v>135</v>
      </c>
      <c r="J58">
        <v>1115</v>
      </c>
      <c r="K58">
        <f>J58*1.5</f>
        <v>1672.5</v>
      </c>
      <c r="M58" s="243"/>
      <c r="O58"/>
      <c r="P58" s="771"/>
    </row>
    <row r="59" spans="2:20" ht="14.4">
      <c r="C59" s="56"/>
      <c r="D59" s="79"/>
      <c r="E59"/>
      <c r="F59" s="79"/>
      <c r="I59" t="s">
        <v>1405</v>
      </c>
      <c r="J59" s="11">
        <f>418+359</f>
        <v>777</v>
      </c>
      <c r="K59">
        <f>J59*4</f>
        <v>3108</v>
      </c>
      <c r="O59"/>
      <c r="P59" s="771"/>
    </row>
    <row r="60" spans="2:20" ht="14.4">
      <c r="C60" s="56"/>
      <c r="E60"/>
      <c r="F60"/>
      <c r="I60" s="407" t="s">
        <v>606</v>
      </c>
      <c r="J60">
        <v>94</v>
      </c>
      <c r="K60" s="243">
        <f>(J60*5)+J60*1.5</f>
        <v>611</v>
      </c>
      <c r="O60"/>
      <c r="P60" s="771"/>
    </row>
    <row r="61" spans="2:20" ht="14.4">
      <c r="C61" s="56"/>
      <c r="E61" s="407"/>
      <c r="F61"/>
      <c r="G61" s="407"/>
      <c r="O61"/>
      <c r="P61" s="771"/>
    </row>
    <row r="62" spans="2:20" ht="14.4">
      <c r="C62" s="56"/>
      <c r="E62"/>
      <c r="F62"/>
      <c r="I62" s="726" t="s">
        <v>1407</v>
      </c>
      <c r="J62" s="726"/>
      <c r="K62" s="726"/>
      <c r="O62"/>
      <c r="P62"/>
    </row>
    <row r="63" spans="2:20">
      <c r="C63" s="56"/>
      <c r="E63" s="347"/>
      <c r="F63" s="778"/>
      <c r="G63" s="779"/>
      <c r="I63" t="s">
        <v>135</v>
      </c>
      <c r="J63">
        <v>1055</v>
      </c>
      <c r="K63">
        <f>J63*1.5</f>
        <v>1582.5</v>
      </c>
      <c r="M63" s="434"/>
      <c r="N63" s="297" t="s">
        <v>1412</v>
      </c>
      <c r="O63" s="297" t="s">
        <v>1413</v>
      </c>
      <c r="P63" s="297" t="s">
        <v>1414</v>
      </c>
      <c r="Q63" s="297" t="s">
        <v>1415</v>
      </c>
      <c r="R63" s="297" t="s">
        <v>1416</v>
      </c>
      <c r="S63" s="297" t="s">
        <v>1419</v>
      </c>
      <c r="T63" s="297" t="s">
        <v>1420</v>
      </c>
    </row>
    <row r="64" spans="2:20" ht="14.4">
      <c r="C64" s="56"/>
      <c r="E64" s="332"/>
      <c r="F64"/>
      <c r="I64" t="s">
        <v>1405</v>
      </c>
      <c r="J64">
        <f>955-228</f>
        <v>727</v>
      </c>
      <c r="K64">
        <f>J64*4</f>
        <v>2908</v>
      </c>
      <c r="M64" s="443">
        <v>0.33333333333333331</v>
      </c>
      <c r="N64" s="79"/>
      <c r="O64" s="444"/>
      <c r="P64" s="79"/>
      <c r="Q64" s="444"/>
      <c r="R64" s="79"/>
      <c r="S64" s="444"/>
      <c r="T64" s="444"/>
    </row>
    <row r="65" spans="2:20" ht="14.4">
      <c r="C65" s="56"/>
      <c r="E65"/>
      <c r="F65"/>
      <c r="I65" t="s">
        <v>857</v>
      </c>
      <c r="J65">
        <f>350</f>
        <v>350</v>
      </c>
      <c r="K65">
        <f>J65*1.5+(J65*15)</f>
        <v>5775</v>
      </c>
      <c r="M65" s="443">
        <v>0.375</v>
      </c>
      <c r="N65" s="79"/>
      <c r="O65" s="444" t="s">
        <v>1417</v>
      </c>
      <c r="P65" s="79"/>
      <c r="Q65" s="444" t="s">
        <v>1417</v>
      </c>
      <c r="R65" s="79"/>
      <c r="S65" s="444" t="s">
        <v>1417</v>
      </c>
      <c r="T65" s="444" t="s">
        <v>1417</v>
      </c>
    </row>
    <row r="66" spans="2:20">
      <c r="C66" s="56"/>
      <c r="F66" s="79"/>
      <c r="I66" s="726" t="s">
        <v>1408</v>
      </c>
      <c r="J66" s="726"/>
      <c r="K66" s="726"/>
      <c r="M66" s="443">
        <v>0.41666666666666702</v>
      </c>
      <c r="N66" s="79"/>
      <c r="O66" s="79"/>
      <c r="P66" s="79"/>
      <c r="Q66" s="79"/>
      <c r="R66" s="79"/>
      <c r="S66" s="79"/>
      <c r="T66" s="79"/>
    </row>
    <row r="67" spans="2:20" ht="14.4">
      <c r="E67"/>
      <c r="F67"/>
      <c r="I67" t="s">
        <v>135</v>
      </c>
      <c r="J67">
        <v>1500</v>
      </c>
      <c r="K67">
        <f>J67*1.5</f>
        <v>2250</v>
      </c>
      <c r="M67" s="443">
        <v>0.45833333333333298</v>
      </c>
      <c r="N67" s="79"/>
      <c r="O67" s="79"/>
      <c r="P67" s="444"/>
      <c r="Q67" s="79"/>
      <c r="R67" s="79"/>
      <c r="S67" s="79"/>
      <c r="T67" s="79"/>
    </row>
    <row r="68" spans="2:20">
      <c r="B68" s="212"/>
      <c r="C68" s="294"/>
      <c r="E68" s="365"/>
      <c r="F68"/>
      <c r="G68" s="407"/>
      <c r="I68" t="s">
        <v>1409</v>
      </c>
      <c r="K68">
        <f>18000</f>
        <v>18000</v>
      </c>
      <c r="M68" s="443">
        <v>0.5</v>
      </c>
      <c r="N68" s="79"/>
      <c r="O68" s="79"/>
      <c r="P68" s="444" t="s">
        <v>1418</v>
      </c>
      <c r="Q68" s="79"/>
      <c r="R68" s="79"/>
      <c r="S68" s="79"/>
      <c r="T68" s="79"/>
    </row>
    <row r="69" spans="2:20">
      <c r="C69" s="56"/>
      <c r="D69" s="56"/>
      <c r="E69" s="56"/>
      <c r="I69" s="726" t="s">
        <v>131</v>
      </c>
      <c r="J69" s="726"/>
      <c r="K69" s="243">
        <f>25000+25000+25000+K58+K59+K60+K63+K64+K67+K68</f>
        <v>105132</v>
      </c>
      <c r="M69" s="443">
        <v>0.54166666666666696</v>
      </c>
      <c r="N69" s="79"/>
      <c r="O69" s="79"/>
      <c r="P69" s="444"/>
      <c r="Q69" s="79"/>
      <c r="R69" s="79"/>
      <c r="S69" s="79"/>
      <c r="T69" s="79"/>
    </row>
    <row r="70" spans="2:20" ht="14.4">
      <c r="C70" s="56"/>
      <c r="D70" s="56"/>
      <c r="E70" s="56"/>
      <c r="F70" s="56"/>
      <c r="M70" s="443">
        <v>0.58333333333333304</v>
      </c>
      <c r="N70" s="79"/>
      <c r="O70" s="79"/>
      <c r="P70" s="79"/>
      <c r="Q70" s="79"/>
      <c r="R70" s="79"/>
      <c r="S70" s="79"/>
      <c r="T70" s="79"/>
    </row>
    <row r="71" spans="2:20" ht="14.4">
      <c r="C71" s="56"/>
      <c r="D71" s="56"/>
      <c r="E71" s="56"/>
      <c r="F71" s="56"/>
      <c r="M71" s="443">
        <v>0.625</v>
      </c>
      <c r="N71" s="79"/>
      <c r="O71" s="79"/>
      <c r="P71" s="79"/>
      <c r="Q71" s="79"/>
      <c r="R71" s="79"/>
      <c r="S71" s="79"/>
      <c r="T71" s="79"/>
    </row>
    <row r="72" spans="2:20" ht="14.4">
      <c r="C72" s="56"/>
      <c r="D72" s="56"/>
      <c r="E72" s="56"/>
      <c r="F72" t="s">
        <v>1386</v>
      </c>
      <c r="M72" s="443">
        <v>0.66666666666666696</v>
      </c>
      <c r="N72" s="79"/>
      <c r="O72" s="79"/>
      <c r="P72" s="444"/>
      <c r="Q72" s="79"/>
      <c r="R72" s="444"/>
      <c r="S72" s="79"/>
      <c r="T72" s="79"/>
    </row>
    <row r="73" spans="2:20" ht="14.4">
      <c r="C73" s="56"/>
      <c r="D73" s="56"/>
      <c r="E73" s="56"/>
      <c r="F73" s="332" t="s">
        <v>1387</v>
      </c>
      <c r="M73" s="443">
        <v>0.70833333333333304</v>
      </c>
      <c r="N73" s="79"/>
      <c r="O73" s="79"/>
      <c r="P73" s="444" t="s">
        <v>1417</v>
      </c>
      <c r="Q73" s="444"/>
      <c r="R73" s="444" t="s">
        <v>1417</v>
      </c>
      <c r="S73" s="79"/>
      <c r="T73" s="79"/>
    </row>
    <row r="74" spans="2:20" ht="14.4">
      <c r="C74" s="56"/>
      <c r="E74" s="56"/>
      <c r="F74"/>
      <c r="M74" s="443">
        <v>0.75</v>
      </c>
      <c r="N74" s="79"/>
      <c r="O74" s="79"/>
      <c r="P74" s="79"/>
      <c r="Q74" s="444" t="s">
        <v>1418</v>
      </c>
      <c r="R74" s="79"/>
      <c r="S74" s="79"/>
      <c r="T74" s="79"/>
    </row>
    <row r="75" spans="2:20">
      <c r="F75"/>
      <c r="M75" s="443">
        <v>0.79166666666666696</v>
      </c>
      <c r="N75" s="79"/>
      <c r="O75" s="79"/>
      <c r="P75" s="79"/>
      <c r="Q75" s="444"/>
      <c r="R75" s="79"/>
      <c r="S75" s="79"/>
      <c r="T75" s="79"/>
    </row>
    <row r="76" spans="2:20">
      <c r="E76" s="212"/>
      <c r="F76" s="365"/>
      <c r="G76" t="s">
        <v>1149</v>
      </c>
      <c r="H76" t="s">
        <v>1390</v>
      </c>
      <c r="M76" s="443">
        <v>0.83333333333333304</v>
      </c>
      <c r="N76" s="79"/>
      <c r="O76" s="79"/>
      <c r="P76" s="79"/>
      <c r="Q76" s="79"/>
      <c r="R76" s="79"/>
      <c r="S76" s="79"/>
      <c r="T76" s="79"/>
    </row>
    <row r="77" spans="2:20" ht="14.4">
      <c r="E77" s="56"/>
      <c r="F77" s="212" t="s">
        <v>1388</v>
      </c>
      <c r="G77">
        <v>115</v>
      </c>
      <c r="H77">
        <v>95</v>
      </c>
      <c r="M77" s="443">
        <v>0.875</v>
      </c>
      <c r="N77" s="79"/>
      <c r="O77" s="79"/>
      <c r="P77" s="79"/>
      <c r="Q77" s="79"/>
      <c r="R77" s="79"/>
      <c r="S77" s="79"/>
      <c r="T77" s="79"/>
    </row>
    <row r="78" spans="2:20" ht="14.4">
      <c r="E78" s="56"/>
      <c r="F78" s="56" t="s">
        <v>1389</v>
      </c>
      <c r="G78">
        <v>40</v>
      </c>
      <c r="M78" s="443">
        <v>0.91666666666666696</v>
      </c>
      <c r="N78" s="79"/>
      <c r="O78" s="79"/>
      <c r="P78" s="79"/>
      <c r="Q78" s="79"/>
      <c r="R78" s="79"/>
      <c r="S78" s="79"/>
      <c r="T78" s="79"/>
    </row>
    <row r="79" spans="2:20" ht="14.4">
      <c r="E79" s="56"/>
      <c r="F79" s="56"/>
      <c r="O79"/>
      <c r="P79"/>
    </row>
    <row r="80" spans="2:20" ht="14.4">
      <c r="E80" s="56"/>
      <c r="F80" s="56"/>
      <c r="O80"/>
      <c r="P80"/>
    </row>
    <row r="81" spans="5:16" ht="14.4">
      <c r="E81" s="56"/>
      <c r="F81" s="56"/>
      <c r="G81" t="s">
        <v>1391</v>
      </c>
      <c r="H81" t="s">
        <v>1392</v>
      </c>
      <c r="O81"/>
      <c r="P81"/>
    </row>
    <row r="82" spans="5:16" ht="14.4">
      <c r="E82" s="56"/>
      <c r="F82" s="56"/>
      <c r="G82">
        <f>5774*4</f>
        <v>23096</v>
      </c>
      <c r="H82">
        <f>70*4</f>
        <v>280</v>
      </c>
      <c r="O82"/>
      <c r="P82"/>
    </row>
    <row r="83" spans="5:16">
      <c r="O83"/>
      <c r="P83"/>
    </row>
    <row r="84" spans="5:16" ht="14.4">
      <c r="E84" s="212"/>
      <c r="F84" s="212"/>
      <c r="O84"/>
      <c r="P84"/>
    </row>
    <row r="85" spans="5:16" ht="14.4">
      <c r="E85" s="56"/>
      <c r="F85" s="56"/>
      <c r="G85">
        <v>160000</v>
      </c>
      <c r="H85" t="s">
        <v>1402</v>
      </c>
      <c r="O85"/>
      <c r="P85"/>
    </row>
    <row r="86" spans="5:16" ht="14.4">
      <c r="E86" s="56"/>
      <c r="F86" s="56"/>
      <c r="G86">
        <f>G85-G55</f>
        <v>160000</v>
      </c>
      <c r="H86" t="s">
        <v>382</v>
      </c>
      <c r="O86"/>
      <c r="P86"/>
    </row>
    <row r="87" spans="5:16" ht="14.4">
      <c r="E87" s="56"/>
      <c r="F87" s="56"/>
      <c r="G87" s="407">
        <f>G86-K58-G61</f>
        <v>158327.5</v>
      </c>
      <c r="H87" t="s">
        <v>1393</v>
      </c>
      <c r="O87"/>
      <c r="P87"/>
    </row>
    <row r="88" spans="5:16" ht="14.4">
      <c r="E88" s="56"/>
      <c r="F88" s="56"/>
      <c r="G88" s="407">
        <f>G87-E58-E61</f>
        <v>158327.5</v>
      </c>
      <c r="H88" t="s">
        <v>1394</v>
      </c>
      <c r="O88"/>
      <c r="P88"/>
    </row>
    <row r="89" spans="5:16" ht="14.4">
      <c r="E89" s="56"/>
      <c r="F89" s="56"/>
      <c r="G89" s="407">
        <f>G88-G65-G82</f>
        <v>135231.5</v>
      </c>
      <c r="H89" t="s">
        <v>1395</v>
      </c>
      <c r="O89"/>
      <c r="P89"/>
    </row>
    <row r="90" spans="5:16" ht="14.4">
      <c r="E90" s="56"/>
      <c r="F90" s="56"/>
      <c r="G90" s="407">
        <f>G89-G70</f>
        <v>135231.5</v>
      </c>
      <c r="H90" t="s">
        <v>1398</v>
      </c>
      <c r="O90"/>
      <c r="P90"/>
    </row>
    <row r="91" spans="5:16">
      <c r="E91" s="365"/>
      <c r="F91" s="365"/>
      <c r="G91" s="407">
        <f>G90-G70</f>
        <v>135231.5</v>
      </c>
      <c r="H91" t="s">
        <v>1399</v>
      </c>
      <c r="O91"/>
      <c r="P91"/>
    </row>
    <row r="92" spans="5:16">
      <c r="G92" s="407">
        <f>G91-30000</f>
        <v>105231.5</v>
      </c>
      <c r="H92" t="s">
        <v>1396</v>
      </c>
      <c r="O92"/>
      <c r="P92"/>
    </row>
    <row r="93" spans="5:16">
      <c r="G93" s="407">
        <f>G92-9000</f>
        <v>96231.5</v>
      </c>
      <c r="H93" t="s">
        <v>1397</v>
      </c>
      <c r="O93"/>
      <c r="P93"/>
    </row>
    <row r="94" spans="5:16">
      <c r="G94" s="407">
        <f>G93-25000</f>
        <v>71231.5</v>
      </c>
      <c r="H94" t="s">
        <v>1386</v>
      </c>
    </row>
    <row r="96" spans="5:16">
      <c r="H96">
        <f>32-5</f>
        <v>27</v>
      </c>
    </row>
    <row r="97" spans="5:8">
      <c r="H97">
        <f>H96*12</f>
        <v>324</v>
      </c>
    </row>
    <row r="98" spans="5:8">
      <c r="F98" s="384" t="s">
        <v>887</v>
      </c>
      <c r="G98" t="s">
        <v>1363</v>
      </c>
      <c r="H98">
        <f>1500*12</f>
        <v>18000</v>
      </c>
    </row>
    <row r="99" spans="5:8">
      <c r="F99" s="384" t="s">
        <v>1400</v>
      </c>
      <c r="G99" t="s">
        <v>1401</v>
      </c>
      <c r="H99">
        <f>H98/100</f>
        <v>180</v>
      </c>
    </row>
    <row r="103" spans="5:8">
      <c r="E103" s="267">
        <f>13740*2</f>
        <v>27480</v>
      </c>
    </row>
    <row r="104" spans="5:8">
      <c r="E104" s="267">
        <v>3000</v>
      </c>
    </row>
    <row r="105" spans="5:8">
      <c r="E105" s="384" t="s">
        <v>1404</v>
      </c>
    </row>
  </sheetData>
  <mergeCells count="31">
    <mergeCell ref="I62:K62"/>
    <mergeCell ref="F63:G63"/>
    <mergeCell ref="I66:K66"/>
    <mergeCell ref="I69:J69"/>
    <mergeCell ref="P58:P61"/>
    <mergeCell ref="B31:E31"/>
    <mergeCell ref="B32:C32"/>
    <mergeCell ref="D32:E32"/>
    <mergeCell ref="B33:B34"/>
    <mergeCell ref="C33:C34"/>
    <mergeCell ref="D56:E56"/>
    <mergeCell ref="B40:G40"/>
    <mergeCell ref="K40:O40"/>
    <mergeCell ref="B41:C41"/>
    <mergeCell ref="D41:E41"/>
    <mergeCell ref="I57:K57"/>
    <mergeCell ref="B24:C24"/>
    <mergeCell ref="D24:E24"/>
    <mergeCell ref="B1:O1"/>
    <mergeCell ref="G3:H3"/>
    <mergeCell ref="I3:J3"/>
    <mergeCell ref="K3:L3"/>
    <mergeCell ref="M3:N3"/>
    <mergeCell ref="B4:E4"/>
    <mergeCell ref="B5:C5"/>
    <mergeCell ref="D5:E5"/>
    <mergeCell ref="B6:B20"/>
    <mergeCell ref="C6:C20"/>
    <mergeCell ref="B23:E23"/>
    <mergeCell ref="B38:D38"/>
    <mergeCell ref="F56:G56"/>
  </mergeCells>
  <phoneticPr fontId="33" type="noConversion"/>
  <pageMargins left="0.7" right="0.7" top="0.75" bottom="0.75" header="0.3" footer="0.3"/>
  <pageSetup orientation="portrait" r:id="rId1"/>
  <legacyDrawing r:id="rId2"/>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C868C-8B95-4DD4-BCBE-4BF9ADFF91F5}">
  <dimension ref="A1:T98"/>
  <sheetViews>
    <sheetView topLeftCell="E4" zoomScale="80" zoomScaleNormal="80" workbookViewId="0">
      <selection activeCell="F19" sqref="F19"/>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JUL-AUG 2023</v>
      </c>
      <c r="B1" s="730" t="str">
        <f ca="1">MID(CELL("filename",B1),FIND("]",CELL("filename",B1))+1,255)</f>
        <v>AUG-SEP 2023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ROUND(O5+O32+O24+IF(O34&lt;0,0,O34)+O35+O4,2) &amp; " / " &amp; "£" &amp; E37</f>
        <v>£2737.82 / £5603.8</v>
      </c>
      <c r="E3" s="365">
        <f>2802.81-2787.81</f>
        <v>15</v>
      </c>
      <c r="F3" s="365"/>
      <c r="G3" s="732">
        <v>45010</v>
      </c>
      <c r="H3" s="732"/>
      <c r="I3" s="732">
        <f>G3+7</f>
        <v>45017</v>
      </c>
      <c r="J3" s="732"/>
      <c r="K3" s="732">
        <f>I3+7</f>
        <v>45024</v>
      </c>
      <c r="L3" s="732"/>
      <c r="M3" s="732">
        <f>K3+7</f>
        <v>45031</v>
      </c>
      <c r="N3" s="732"/>
      <c r="O3" s="308">
        <v>0</v>
      </c>
      <c r="P3" s="325" t="s">
        <v>1224</v>
      </c>
      <c r="Q3" s="282"/>
    </row>
    <row r="4" spans="1:20" ht="15" customHeight="1">
      <c r="B4" s="727" t="str">
        <f>_xlfn.CONCAT("Expenses - 50 - ",G37*0.5," / Actual = ",ROUND(D5,2)," (",ROUND((D5/G37)*100,2),")")</f>
        <v>Expenses - 50 - 2424.725 / Actual = 2350.57 (48.47)</v>
      </c>
      <c r="C4" s="727"/>
      <c r="D4" s="727"/>
      <c r="E4" s="727"/>
      <c r="F4" s="318"/>
      <c r="G4" s="243"/>
      <c r="H4" s="304">
        <f>SUM(H5:H35)</f>
        <v>2809.52</v>
      </c>
      <c r="I4" s="243"/>
      <c r="J4" s="304">
        <f>SUM(J5:J35)</f>
        <v>152.34</v>
      </c>
      <c r="K4" s="243">
        <f>3819.09-M4</f>
        <v>-54.999999999999545</v>
      </c>
      <c r="L4" s="304">
        <f>SUM(L5:L35)</f>
        <v>2914.39</v>
      </c>
      <c r="M4" s="243">
        <f>L4+N4</f>
        <v>3874.0899999999997</v>
      </c>
      <c r="N4" s="304">
        <f>SUM(N5:N35)</f>
        <v>959.69999999999993</v>
      </c>
      <c r="O4" s="308">
        <f>IF(H36&lt;&gt;"PAID",H4,0)+IF(J36&lt;&gt;"PAID",J4,0)+IF(L36&lt;&gt;"PAID",L4,0)+IF(N36&lt;&gt;"PAID",N4,0)</f>
        <v>6835.95</v>
      </c>
      <c r="P4" s="309" t="s">
        <v>973</v>
      </c>
      <c r="Q4" s="408">
        <f>O4+402.34</f>
        <v>7238.29</v>
      </c>
      <c r="R4" s="243"/>
      <c r="S4" s="243"/>
    </row>
    <row r="5" spans="1:20" ht="15" customHeight="1">
      <c r="B5" s="733" t="str">
        <f>IF(D5&gt;E$37*0.5,ROUND(D5-E$37*0.5,2) &amp; " Over",ROUND(E$37*0.5-D5,2) &amp; " Under")</f>
        <v>451.33 Under</v>
      </c>
      <c r="C5" s="733"/>
      <c r="D5" s="761">
        <f>ROUND(SUM(F6:F21),2)</f>
        <v>2350.5700000000002</v>
      </c>
      <c r="E5" s="761"/>
      <c r="F5" s="321"/>
      <c r="G5" s="284"/>
      <c r="H5" s="306"/>
      <c r="I5" s="79"/>
      <c r="J5" s="306"/>
      <c r="K5" s="79"/>
      <c r="L5" s="306"/>
      <c r="M5" s="79"/>
      <c r="N5" s="305"/>
      <c r="O5" s="285">
        <f>SUMIF(O6:O21,"&gt;0")</f>
        <v>1.5600000000001017</v>
      </c>
      <c r="P5" s="285" t="s">
        <v>892</v>
      </c>
      <c r="Q5" s="282">
        <f>SUM(Q6:Q20)</f>
        <v>10.090000000000018</v>
      </c>
      <c r="R5" s="243"/>
    </row>
    <row r="6" spans="1:20" ht="15" customHeight="1">
      <c r="B6" s="734" t="str">
        <f>"50%: " &amp; E$37*0.5</f>
        <v>50%: 2801.9</v>
      </c>
      <c r="C6" s="734" t="str">
        <f>ROUND((D5/E$37)*100,2) &amp; "%: " &amp;D5</f>
        <v>41.95%: 2350.57</v>
      </c>
      <c r="D6" s="13" t="s">
        <v>805</v>
      </c>
      <c r="E6" s="365">
        <v>0</v>
      </c>
      <c r="F6" s="374">
        <v>150</v>
      </c>
      <c r="H6" s="304">
        <f>20.05+20.06+20.03+25.08+20.14+25.01</f>
        <v>130.37</v>
      </c>
      <c r="J6" s="305"/>
      <c r="L6" s="305">
        <v>25.02</v>
      </c>
      <c r="N6" s="305"/>
      <c r="O6" s="274">
        <f>SUM(E6:F6)-SUM(G6:N6)</f>
        <v>-5.3900000000000148</v>
      </c>
      <c r="P6" s="274" t="str">
        <f t="shared" ref="P6:P21" si="0">D6</f>
        <v>Car Petrol / commuting</v>
      </c>
      <c r="Q6" s="282">
        <f t="shared" ref="Q6:Q21" si="1">IF(O6&lt;0,O6*-1,0)</f>
        <v>5.3900000000000148</v>
      </c>
      <c r="R6" s="243">
        <v>20.010000000000002</v>
      </c>
    </row>
    <row r="7" spans="1:20" ht="15" customHeight="1">
      <c r="B7" s="734"/>
      <c r="C7" s="734"/>
      <c r="D7" s="13" t="s">
        <v>169</v>
      </c>
      <c r="E7" s="365">
        <v>0</v>
      </c>
      <c r="F7" s="365">
        <f>400+35</f>
        <v>435</v>
      </c>
      <c r="H7" s="304">
        <f>3+2.4+5.35+10.3+15+16.72</f>
        <v>52.769999999999996</v>
      </c>
      <c r="J7" s="305"/>
      <c r="L7" s="305">
        <f>20.96+79.58+32.26+16.1+7.5+56.53+18.6+3.79+50.75+27.5+23.25+44.46</f>
        <v>381.27999999999992</v>
      </c>
      <c r="N7" s="305"/>
      <c r="O7" s="274">
        <f>SUM(E7:F7)-SUM(G7:N7)</f>
        <v>0.95000000000010232</v>
      </c>
      <c r="P7" s="274" t="str">
        <f t="shared" si="0"/>
        <v>Food</v>
      </c>
      <c r="Q7" s="282">
        <f t="shared" si="1"/>
        <v>0</v>
      </c>
      <c r="R7" s="243"/>
    </row>
    <row r="8" spans="1:20" ht="15" customHeight="1">
      <c r="B8" s="734"/>
      <c r="C8" s="734"/>
      <c r="D8" s="13" t="s">
        <v>153</v>
      </c>
      <c r="E8" s="365">
        <v>0</v>
      </c>
      <c r="F8" s="365">
        <f>100-35.15</f>
        <v>64.849999999999994</v>
      </c>
      <c r="H8" s="305">
        <f>19.35+31.95</f>
        <v>51.3</v>
      </c>
      <c r="J8" s="305">
        <f>14.85+3.4</f>
        <v>18.25</v>
      </c>
      <c r="L8" s="305"/>
      <c r="N8" s="305"/>
      <c r="O8" s="274">
        <f>SUM(E8:F8)-SUM(G8:N8)</f>
        <v>-4.7000000000000028</v>
      </c>
      <c r="P8" s="274" t="str">
        <f t="shared" si="0"/>
        <v>Luna</v>
      </c>
      <c r="Q8" s="282">
        <f t="shared" si="1"/>
        <v>4.7000000000000028</v>
      </c>
    </row>
    <row r="9" spans="1:20" ht="15" customHeight="1">
      <c r="B9" s="734"/>
      <c r="C9" s="734"/>
      <c r="D9" s="13" t="s">
        <v>1079</v>
      </c>
      <c r="E9" s="365">
        <v>0</v>
      </c>
      <c r="F9" s="365">
        <f>15</f>
        <v>15</v>
      </c>
      <c r="H9" s="305">
        <f>14.39</f>
        <v>14.39</v>
      </c>
      <c r="J9" s="305"/>
      <c r="L9" s="305"/>
      <c r="N9" s="305"/>
      <c r="O9" s="274">
        <f>SUM(E9:F9)-SUM(G9:N9)</f>
        <v>0.60999999999999943</v>
      </c>
      <c r="P9" s="274" t="str">
        <f t="shared" si="0"/>
        <v>Creamy</v>
      </c>
      <c r="Q9" s="282">
        <f t="shared" si="1"/>
        <v>0</v>
      </c>
      <c r="R9" s="243"/>
    </row>
    <row r="10" spans="1:20" ht="15" customHeight="1" outlineLevel="1">
      <c r="B10" s="734"/>
      <c r="C10" s="734"/>
      <c r="D10" s="201" t="s">
        <v>595</v>
      </c>
      <c r="E10" s="365">
        <v>0</v>
      </c>
      <c r="F10" s="365">
        <v>835.29</v>
      </c>
      <c r="G10">
        <v>835.29</v>
      </c>
      <c r="H10" s="304"/>
      <c r="J10" s="305"/>
      <c r="L10" s="305"/>
      <c r="N10" s="305"/>
      <c r="O10" s="274">
        <f t="shared" ref="O10:O15" si="2">SUM(E10:F10)-SUM(G10:N10)</f>
        <v>0</v>
      </c>
      <c r="P10" s="274" t="str">
        <f t="shared" si="0"/>
        <v>Mortgage</v>
      </c>
      <c r="Q10" s="282">
        <f t="shared" si="1"/>
        <v>0</v>
      </c>
      <c r="R10" s="243"/>
    </row>
    <row r="11" spans="1:20" ht="15" customHeight="1" outlineLevel="1">
      <c r="B11" s="734"/>
      <c r="C11" s="734"/>
      <c r="D11" s="201" t="s">
        <v>596</v>
      </c>
      <c r="E11" s="365">
        <v>0</v>
      </c>
      <c r="F11" s="365">
        <v>147</v>
      </c>
      <c r="G11">
        <v>147</v>
      </c>
      <c r="H11" s="305"/>
      <c r="J11" s="305"/>
      <c r="L11" s="305"/>
      <c r="N11" s="305"/>
      <c r="O11" s="274">
        <f t="shared" si="2"/>
        <v>0</v>
      </c>
      <c r="P11" s="274" t="str">
        <f t="shared" si="0"/>
        <v>Council tax</v>
      </c>
      <c r="Q11" s="282">
        <f t="shared" si="1"/>
        <v>0</v>
      </c>
    </row>
    <row r="12" spans="1:20" ht="15" customHeight="1" outlineLevel="1">
      <c r="B12" s="734"/>
      <c r="C12" s="734"/>
      <c r="D12" s="201" t="s">
        <v>1002</v>
      </c>
      <c r="E12" s="365">
        <v>0</v>
      </c>
      <c r="F12" s="365">
        <f>24+90.73</f>
        <v>114.73</v>
      </c>
      <c r="G12">
        <v>90.73</v>
      </c>
      <c r="H12" s="305"/>
      <c r="J12" s="305"/>
      <c r="L12" s="305"/>
      <c r="M12">
        <v>24</v>
      </c>
      <c r="N12" s="305"/>
      <c r="O12" s="274">
        <f>SUM(E12:F12)-SUM(G12:N12)</f>
        <v>0</v>
      </c>
      <c r="P12" s="274" t="str">
        <f t="shared" si="0"/>
        <v>Utilities (G,W,E,HTB)</v>
      </c>
      <c r="Q12" s="282">
        <f t="shared" si="1"/>
        <v>0</v>
      </c>
    </row>
    <row r="13" spans="1:20" ht="15" customHeight="1" outlineLevel="1">
      <c r="B13" s="734"/>
      <c r="C13" s="734"/>
      <c r="D13" s="201" t="s">
        <v>996</v>
      </c>
      <c r="E13" s="365">
        <v>0</v>
      </c>
      <c r="F13" s="365">
        <v>14</v>
      </c>
      <c r="G13">
        <v>14</v>
      </c>
      <c r="H13" s="305"/>
      <c r="J13" s="305"/>
      <c r="L13" s="305"/>
      <c r="N13" s="305"/>
      <c r="O13" s="274">
        <f>SUM(E13:F13)-SUM(G13:N13)</f>
        <v>0</v>
      </c>
      <c r="P13" s="274" t="str">
        <f t="shared" si="0"/>
        <v>Home Insurance</v>
      </c>
      <c r="Q13" s="282">
        <f t="shared" si="1"/>
        <v>0</v>
      </c>
    </row>
    <row r="14" spans="1:20" ht="15" customHeight="1" outlineLevel="1">
      <c r="B14" s="734"/>
      <c r="C14" s="734"/>
      <c r="D14" s="201" t="s">
        <v>1056</v>
      </c>
      <c r="E14" s="365">
        <v>0</v>
      </c>
      <c r="F14" s="365">
        <f>8+17.2+17.99</f>
        <v>43.19</v>
      </c>
      <c r="G14">
        <f>17.2+17.99+8</f>
        <v>43.19</v>
      </c>
      <c r="H14" s="305"/>
      <c r="J14" s="305"/>
      <c r="L14" s="305"/>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4.52+15.97+30.8</f>
        <v>51.290000000000006</v>
      </c>
      <c r="G15">
        <f>15.97+4.52+30.8</f>
        <v>51.290000000000006</v>
      </c>
      <c r="H15" s="305"/>
      <c r="I15" s="11"/>
      <c r="J15" s="305"/>
      <c r="L15" s="305"/>
      <c r="N15" s="305"/>
      <c r="O15" s="274">
        <f t="shared" si="2"/>
        <v>0</v>
      </c>
      <c r="P15" s="274" t="str">
        <f t="shared" si="0"/>
        <v>Life / Income Insurance</v>
      </c>
      <c r="Q15" s="282">
        <f t="shared" si="1"/>
        <v>0</v>
      </c>
    </row>
    <row r="16" spans="1:20" ht="15" customHeight="1" outlineLevel="1">
      <c r="B16" s="734"/>
      <c r="C16" s="734"/>
      <c r="D16" s="201" t="s">
        <v>602</v>
      </c>
      <c r="E16" s="365">
        <v>0</v>
      </c>
      <c r="F16" s="365">
        <v>28.6</v>
      </c>
      <c r="G16">
        <v>28.6</v>
      </c>
      <c r="H16" s="305"/>
      <c r="J16" s="305"/>
      <c r="L16" s="305"/>
      <c r="N16" s="305"/>
      <c r="O16" s="274">
        <f t="shared" ref="O16:O21" si="3">SUM(E16:F16)-SUM(G16:N16)</f>
        <v>0</v>
      </c>
      <c r="P16" s="274" t="str">
        <f t="shared" si="0"/>
        <v>Broadband / TV</v>
      </c>
      <c r="Q16" s="282">
        <f t="shared" si="1"/>
        <v>0</v>
      </c>
    </row>
    <row r="17" spans="2:19" ht="15" customHeight="1" outlineLevel="1">
      <c r="B17" s="734"/>
      <c r="C17" s="734"/>
      <c r="D17" s="201" t="s">
        <v>582</v>
      </c>
      <c r="E17" s="365">
        <v>0</v>
      </c>
      <c r="F17" s="365">
        <v>7.99</v>
      </c>
      <c r="G17">
        <v>7.99</v>
      </c>
      <c r="H17" s="305"/>
      <c r="J17" s="305"/>
      <c r="L17" s="305"/>
      <c r="N17" s="305"/>
      <c r="O17" s="274">
        <f t="shared" si="3"/>
        <v>0</v>
      </c>
      <c r="P17" s="274" t="str">
        <f t="shared" si="0"/>
        <v>Onedrive (6th)</v>
      </c>
      <c r="Q17" s="282">
        <f t="shared" si="1"/>
        <v>0</v>
      </c>
    </row>
    <row r="18" spans="2:19" ht="15" customHeight="1" outlineLevel="1">
      <c r="B18" s="734"/>
      <c r="C18" s="734"/>
      <c r="D18" s="201" t="s">
        <v>788</v>
      </c>
      <c r="E18" s="365">
        <v>0</v>
      </c>
      <c r="F18" s="365">
        <f>11.55</f>
        <v>11.55</v>
      </c>
      <c r="G18">
        <f>11.55</f>
        <v>11.55</v>
      </c>
      <c r="H18" s="305"/>
      <c r="J18" s="305"/>
      <c r="L18" s="305"/>
      <c r="N18" s="305"/>
      <c r="O18" s="274">
        <f t="shared" si="3"/>
        <v>0</v>
      </c>
      <c r="P18" s="274" t="str">
        <f t="shared" si="0"/>
        <v>Matt Phone</v>
      </c>
      <c r="Q18" s="282">
        <f t="shared" si="1"/>
        <v>0</v>
      </c>
    </row>
    <row r="19" spans="2:19" ht="15" customHeight="1" outlineLevel="1">
      <c r="B19" s="734"/>
      <c r="C19" s="734"/>
      <c r="D19" s="201" t="s">
        <v>690</v>
      </c>
      <c r="E19" s="365">
        <v>0</v>
      </c>
      <c r="F19" s="365">
        <f>11.81+80.76+36.48+14.43+270.97+2.63</f>
        <v>417.08000000000004</v>
      </c>
      <c r="G19">
        <f>13.12+15.75+80.76+36.48+270.97</f>
        <v>417.08000000000004</v>
      </c>
      <c r="H19" s="305"/>
      <c r="J19" s="305"/>
      <c r="L19" s="305"/>
      <c r="N19" s="305"/>
      <c r="O19" s="274">
        <f t="shared" si="3"/>
        <v>0</v>
      </c>
      <c r="P19" s="274" t="str">
        <f t="shared" si="0"/>
        <v>Cars</v>
      </c>
      <c r="Q19" s="282">
        <f t="shared" si="1"/>
        <v>0</v>
      </c>
    </row>
    <row r="20" spans="2:19" ht="15" customHeight="1" outlineLevel="1">
      <c r="B20" s="734"/>
      <c r="C20" s="734"/>
      <c r="D20" s="201" t="s">
        <v>944</v>
      </c>
      <c r="E20" s="365">
        <v>0</v>
      </c>
      <c r="F20" s="365">
        <v>15</v>
      </c>
      <c r="G20">
        <v>15</v>
      </c>
      <c r="H20" s="305"/>
      <c r="J20" s="305"/>
      <c r="L20" s="305"/>
      <c r="N20" s="305"/>
      <c r="O20" s="274">
        <f t="shared" si="3"/>
        <v>0</v>
      </c>
      <c r="P20" s="274" t="str">
        <f t="shared" si="0"/>
        <v>Windows</v>
      </c>
      <c r="Q20" s="282">
        <f t="shared" si="1"/>
        <v>0</v>
      </c>
    </row>
    <row r="21" spans="2:19" ht="15" customHeight="1" outlineLevel="1">
      <c r="B21" s="7"/>
      <c r="C21" s="7"/>
      <c r="D21" s="201" t="s">
        <v>814</v>
      </c>
      <c r="E21" s="365">
        <v>0</v>
      </c>
      <c r="F21" s="365">
        <v>0</v>
      </c>
      <c r="H21" s="305"/>
      <c r="J21" s="305"/>
      <c r="L21" s="305"/>
      <c r="N21" s="305"/>
      <c r="O21" s="274">
        <f t="shared" si="3"/>
        <v>0</v>
      </c>
      <c r="P21" s="274" t="str">
        <f t="shared" si="0"/>
        <v>CC</v>
      </c>
      <c r="Q21" s="282">
        <f t="shared" si="1"/>
        <v>0</v>
      </c>
    </row>
    <row r="22" spans="2:19" ht="15" customHeight="1">
      <c r="B22" s="118"/>
      <c r="C22" s="118"/>
      <c r="D22" s="188"/>
      <c r="E22" s="365"/>
      <c r="F22" s="365"/>
      <c r="H22" s="305"/>
      <c r="J22" s="305"/>
      <c r="L22" s="305"/>
      <c r="N22" s="305"/>
      <c r="O22" s="273"/>
      <c r="P22" s="273"/>
      <c r="Q22" s="282"/>
    </row>
    <row r="23" spans="2:19" ht="15" customHeight="1">
      <c r="B23" s="736" t="str">
        <f>_xlfn.CONCAT("Savings - 20 - ",G37*0.2," / Actual = ",D24," (",ROUND((D24/G37)*100,2),")")</f>
        <v>Savings - 20 - 969.89 / Actual = 1613.36 (33.27)</v>
      </c>
      <c r="C23" s="736"/>
      <c r="D23" s="736"/>
      <c r="E23" s="736"/>
      <c r="F23" s="320"/>
      <c r="H23" s="305"/>
      <c r="J23" s="305"/>
      <c r="L23" s="305"/>
      <c r="N23" s="305"/>
      <c r="O23" s="274"/>
      <c r="P23" s="274"/>
      <c r="Q23" s="282"/>
    </row>
    <row r="24" spans="2:19" ht="15" customHeight="1">
      <c r="B24" s="727" t="str">
        <f>IF(ISNUMBER((SEARCH("Over",C$5))),"Operating under budget","Operating over budget")</f>
        <v>Operating over budget</v>
      </c>
      <c r="C24" s="727"/>
      <c r="D24" s="759">
        <f>SUM(F25:F29)</f>
        <v>1613.3600000000004</v>
      </c>
      <c r="E24" s="759"/>
      <c r="F24" s="319"/>
      <c r="H24" s="305"/>
      <c r="J24" s="305"/>
      <c r="L24" s="305"/>
      <c r="N24" s="305"/>
      <c r="O24" s="285">
        <f>SUMIF(O25:O29,"&gt;0")-SUM(E25:E29)</f>
        <v>-4190.58</v>
      </c>
      <c r="P24" s="285" t="s">
        <v>895</v>
      </c>
      <c r="Q24" s="282">
        <f>SUM(Q25:Q25)</f>
        <v>0</v>
      </c>
    </row>
    <row r="25" spans="2:19" ht="15" customHeight="1" outlineLevel="1">
      <c r="B25" s="7" t="str">
        <f>"20% : " &amp; E$37*0.2</f>
        <v>20% : 1120.76</v>
      </c>
      <c r="C25" s="7" t="str">
        <f>"20% : " &amp; E$37*0.2</f>
        <v>20% : 1120.76</v>
      </c>
      <c r="D25" s="300" t="s">
        <v>183</v>
      </c>
      <c r="E25" s="365">
        <f>589-215-225</f>
        <v>149</v>
      </c>
      <c r="F25" s="365">
        <f>1113.67+35.15+25+100+150.38+180+3.77+5.39</f>
        <v>1613.3600000000004</v>
      </c>
      <c r="G25">
        <f>60+60+90+35.69</f>
        <v>245.69</v>
      </c>
      <c r="H25" s="305">
        <f>250+13.03+13+1.7+1.35+1.35+8.75+14.5+30.76+25.01+18.02+17.58+21.97+36.07+7.89+58.07+13.2+9.33+8.79+5.27+6.34</f>
        <v>561.98</v>
      </c>
      <c r="J25" s="305">
        <f>7.18+11.28+9.8+6.16+10.27</f>
        <v>44.69</v>
      </c>
      <c r="L25">
        <v>138.01</v>
      </c>
      <c r="N25" s="315">
        <v>761.9</v>
      </c>
      <c r="O25" s="274">
        <f>SUM(E25:F25)-SUM(G25:N25)-Q37</f>
        <v>3.5527136788005009E-13</v>
      </c>
      <c r="P25" s="274" t="str">
        <f t="shared" ref="P25" si="4">D25</f>
        <v>Savings</v>
      </c>
      <c r="Q25" s="282">
        <v>0</v>
      </c>
    </row>
    <row r="26" spans="2:19" ht="15" customHeight="1" outlineLevel="1">
      <c r="B26" s="7"/>
      <c r="C26" s="7"/>
      <c r="D26" s="300" t="s">
        <v>1367</v>
      </c>
      <c r="E26" s="365">
        <v>440</v>
      </c>
      <c r="F26" s="365">
        <v>0</v>
      </c>
      <c r="G26">
        <f>12.8+27.07+10.65</f>
        <v>50.52</v>
      </c>
      <c r="H26" s="305">
        <f>9.3+4.5+40.12+1.25+12.25+11+13.8+51.09+17</f>
        <v>160.31</v>
      </c>
      <c r="J26" s="305"/>
      <c r="L26" s="315">
        <f>40+20</f>
        <v>60</v>
      </c>
      <c r="M26">
        <v>50</v>
      </c>
      <c r="N26" s="305"/>
      <c r="O26" s="274">
        <f>SUM(E26:F26)-SUM(G26:N26)</f>
        <v>119.16999999999996</v>
      </c>
      <c r="P26" s="274" t="str">
        <f>D26</f>
        <v>Su</v>
      </c>
      <c r="Q26" s="282">
        <v>0</v>
      </c>
      <c r="R26" s="343" t="s">
        <v>1426</v>
      </c>
      <c r="S26" s="7" t="s">
        <v>1427</v>
      </c>
    </row>
    <row r="27" spans="2:19" ht="15" customHeight="1" outlineLevel="1">
      <c r="B27" s="7"/>
      <c r="C27" s="7"/>
      <c r="D27" s="300" t="s">
        <v>1015</v>
      </c>
      <c r="E27" s="365">
        <v>6259.13</v>
      </c>
      <c r="F27" s="365">
        <v>0</v>
      </c>
      <c r="G27">
        <f>468.84</f>
        <v>468.84</v>
      </c>
      <c r="H27" s="305">
        <f>92.99+1259.16+94</f>
        <v>1446.15</v>
      </c>
      <c r="J27" s="305"/>
      <c r="L27" s="315">
        <v>1805.76</v>
      </c>
      <c r="N27" s="305"/>
      <c r="O27" s="274">
        <f>SUM(E27:F27)-SUM(G27:N27)</f>
        <v>2538.38</v>
      </c>
      <c r="P27" s="274" t="str">
        <f>D27</f>
        <v>Tesco</v>
      </c>
      <c r="Q27" s="282">
        <v>0</v>
      </c>
      <c r="R27" s="243">
        <f>12286.1</f>
        <v>12286.1</v>
      </c>
      <c r="S27">
        <v>5995</v>
      </c>
    </row>
    <row r="28" spans="2:19" ht="15" customHeight="1" outlineLevel="1">
      <c r="B28" s="7"/>
      <c r="C28" s="7"/>
      <c r="D28" s="300" t="s">
        <v>1364</v>
      </c>
      <c r="E28" s="432">
        <v>0</v>
      </c>
      <c r="F28" s="432">
        <v>0</v>
      </c>
      <c r="H28" s="305"/>
      <c r="J28" s="305"/>
      <c r="L28" s="315"/>
      <c r="N28" s="305"/>
      <c r="O28" s="274">
        <f>SUM(E28:F28)-SUM(G28:N28)</f>
        <v>0</v>
      </c>
      <c r="P28" s="274" t="str">
        <f t="shared" ref="P28:P29" si="5">D28</f>
        <v>Renovation</v>
      </c>
      <c r="Q28" s="282">
        <v>0</v>
      </c>
    </row>
    <row r="29" spans="2:19" ht="15" customHeight="1" outlineLevel="1">
      <c r="B29" s="7"/>
      <c r="C29" s="7"/>
      <c r="D29" s="300" t="s">
        <v>1366</v>
      </c>
      <c r="E29" s="432">
        <v>0</v>
      </c>
      <c r="F29" s="432">
        <v>0</v>
      </c>
      <c r="H29" s="305"/>
      <c r="J29" s="305"/>
      <c r="L29" s="315"/>
      <c r="N29" s="305"/>
      <c r="O29" s="274">
        <f t="shared" ref="O29" si="6">SUM(E29:F29)-SUM(G29:N29)</f>
        <v>0</v>
      </c>
      <c r="P29" s="274" t="str">
        <f t="shared" si="5"/>
        <v>Bedroom</v>
      </c>
      <c r="Q29" s="282"/>
    </row>
    <row r="30" spans="2:19" ht="15" customHeight="1">
      <c r="B30" s="118"/>
      <c r="C30" s="118"/>
      <c r="E30" s="365"/>
      <c r="F30" s="365"/>
      <c r="H30" s="305"/>
      <c r="J30" s="305"/>
      <c r="L30" s="305"/>
      <c r="N30" s="305"/>
      <c r="O30" s="273"/>
      <c r="P30" s="273"/>
      <c r="Q30" s="282"/>
      <c r="R30" s="243">
        <f>R27-G27</f>
        <v>11817.26</v>
      </c>
      <c r="S30" s="243">
        <f>R30-S27</f>
        <v>5822.26</v>
      </c>
    </row>
    <row r="31" spans="2:19" ht="15" customHeight="1">
      <c r="B31" s="727" t="str">
        <f>_xlfn.CONCAT("Wants - 30 - ",G37*0.3," / Actual = ",D32," (",ROUND((D32/G37)*100,2),")")</f>
        <v>Wants - 30 - 1454.835 / Actual = 1375.52 (28.36)</v>
      </c>
      <c r="C31" s="727"/>
      <c r="D31" s="727"/>
      <c r="E31" s="727"/>
      <c r="F31" s="318"/>
      <c r="H31" s="305"/>
      <c r="J31" s="305"/>
      <c r="L31" s="305"/>
      <c r="N31" s="305"/>
      <c r="O31" s="273"/>
      <c r="P31" s="273"/>
      <c r="Q31" s="282"/>
    </row>
    <row r="32" spans="2:19" ht="15" customHeight="1">
      <c r="B32" s="727" t="str">
        <f>IF(ISNUMBER((SEARCH("Over",B$5))),"Operating under budget","Operating over budget")</f>
        <v>Operating over budget</v>
      </c>
      <c r="C32" s="727"/>
      <c r="D32" s="759">
        <f>(E$37-D5-D24-E36)</f>
        <v>1375.5199999999995</v>
      </c>
      <c r="E32" s="727"/>
      <c r="F32" s="319">
        <f>SUM(F33:F34)</f>
        <v>415.8499999999994</v>
      </c>
      <c r="H32" s="305"/>
      <c r="J32" s="305"/>
      <c r="L32" s="305"/>
      <c r="N32" s="305"/>
      <c r="O32" s="285">
        <f>SUMIF(O33:O33,"&gt;0")</f>
        <v>0</v>
      </c>
      <c r="P32" s="285" t="s">
        <v>899</v>
      </c>
      <c r="Q32" s="282">
        <f>SUM(Q33:Q34)</f>
        <v>0</v>
      </c>
    </row>
    <row r="33" spans="2:19" ht="15.75" customHeight="1" outlineLevel="1">
      <c r="B33" s="734"/>
      <c r="C33" s="760"/>
      <c r="D33" s="13" t="s">
        <v>781</v>
      </c>
      <c r="E33" s="365">
        <v>0</v>
      </c>
      <c r="F33" s="365">
        <f>13+6.99+0.99+7.99+8.99</f>
        <v>37.96</v>
      </c>
      <c r="G33" s="11">
        <f>13+7.99+6.99+0.99+8.99</f>
        <v>37.96</v>
      </c>
      <c r="H33" s="305"/>
      <c r="J33" s="305"/>
      <c r="L33" s="305"/>
      <c r="N33" s="305"/>
      <c r="O33" s="274">
        <f t="shared" ref="O33" si="7">SUM(E33:F33)-SUM(G33:N33)</f>
        <v>0</v>
      </c>
      <c r="P33" s="274" t="str">
        <f t="shared" ref="P33:P35" si="8">D33</f>
        <v>Subscriptions</v>
      </c>
      <c r="Q33" s="282">
        <f>IF(O33&lt;0,O33*-1,0)</f>
        <v>0</v>
      </c>
      <c r="S33" s="349"/>
    </row>
    <row r="34" spans="2:19" ht="18" outlineLevel="1">
      <c r="B34" s="734"/>
      <c r="C34" s="760"/>
      <c r="D34" s="13" t="s">
        <v>922</v>
      </c>
      <c r="E34" s="365">
        <v>0</v>
      </c>
      <c r="F34" s="365">
        <f>(D32-SUM(F33:F33))-F35</f>
        <v>377.88999999999942</v>
      </c>
      <c r="G34" s="11">
        <f>30+(17.58-11.55)+0.87+1+25</f>
        <v>62.9</v>
      </c>
      <c r="H34">
        <f>7.99+7.55+64.97+5.25+6.05+7.9+2.2+13.75+7.95+2+4.5</f>
        <v>130.11000000000001</v>
      </c>
      <c r="J34" s="305"/>
      <c r="L34">
        <f>7+10.98+9.35+47.57+1.75</f>
        <v>76.650000000000006</v>
      </c>
      <c r="N34" s="305">
        <f>40.04+10.9+20.8+34.06</f>
        <v>105.8</v>
      </c>
      <c r="O34" s="274">
        <f>SUM(E34:F34)-SUM(G34:N34)</f>
        <v>2.4299999999993815</v>
      </c>
      <c r="P34" s="274" t="str">
        <f t="shared" si="8"/>
        <v>Matt Fun</v>
      </c>
      <c r="Q34" s="282">
        <f>IF(SUM(E34:F34)-SUM(G34:N34)&lt;=0,(SUM(E34:F34)-SUM(G34:N34))*-1,0)</f>
        <v>0</v>
      </c>
    </row>
    <row r="35" spans="2:19" ht="18" outlineLevel="1">
      <c r="B35" s="7"/>
      <c r="C35" s="284"/>
      <c r="D35" s="13" t="s">
        <v>152</v>
      </c>
      <c r="E35" s="365">
        <v>0</v>
      </c>
      <c r="F35" s="365">
        <f>20+55+150+30+180+52.5-2.83+170+305</f>
        <v>959.67000000000007</v>
      </c>
      <c r="G35" s="11"/>
      <c r="H35" s="306">
        <f>35.7+34.35+40+53+55+44.09</f>
        <v>262.14</v>
      </c>
      <c r="J35" s="305">
        <f>59.4+36-6</f>
        <v>89.4</v>
      </c>
      <c r="L35" s="305">
        <f>20+55+148.5+30+40+96+3.17+35</f>
        <v>427.67</v>
      </c>
      <c r="N35" s="305">
        <f>39.5+52.5</f>
        <v>92</v>
      </c>
      <c r="O35" s="274">
        <f>SUM(E35:F35)-SUM(G35:N35)</f>
        <v>88.460000000000036</v>
      </c>
      <c r="P35" s="274" t="str">
        <f t="shared" si="8"/>
        <v>Kris</v>
      </c>
      <c r="Q35" s="271">
        <f>IF(F35-SUM(G35:N35)&lt;=0,(F35-SUM(G35:N35))*-1,0)</f>
        <v>0</v>
      </c>
    </row>
    <row r="36" spans="2:19">
      <c r="B36" s="118"/>
      <c r="C36" s="118"/>
      <c r="E36" s="365">
        <f>264.35</f>
        <v>264.35000000000002</v>
      </c>
      <c r="F36" s="365"/>
      <c r="G36" s="349"/>
      <c r="J36" s="7"/>
      <c r="L36" s="7"/>
      <c r="N36" s="7"/>
      <c r="O36" s="273"/>
      <c r="P36" s="273"/>
      <c r="Q36" s="282"/>
    </row>
    <row r="37" spans="2:19" ht="18">
      <c r="B37" s="728" t="s">
        <v>817</v>
      </c>
      <c r="C37" s="728"/>
      <c r="D37" s="728"/>
      <c r="E37" s="375">
        <f>G37+I37+K37+M37+N37+E36</f>
        <v>5603.8</v>
      </c>
      <c r="F37" s="379"/>
      <c r="G37" s="271">
        <f>3106.57+20+55+150+30+850+180+52.5+40+150.38+180+35</f>
        <v>4849.45</v>
      </c>
      <c r="H37" s="282"/>
      <c r="I37" s="271">
        <f>36+34+60+40+55+230+35</f>
        <v>490</v>
      </c>
      <c r="J37" s="271"/>
      <c r="K37" s="271"/>
      <c r="L37" s="271"/>
      <c r="M37" s="271"/>
      <c r="N37" s="271"/>
      <c r="O37" s="314" t="str">
        <f>"£" &amp; ROUND(O5+O32+O24+IF(O34&lt;0,0,O34)+O35+O4,2) &amp; " / " &amp; "£" &amp; E37</f>
        <v>£2737.82 / £5603.8</v>
      </c>
      <c r="P37" s="274"/>
      <c r="Q37" s="282">
        <f>SUM(Q32,Q24,Q5)</f>
        <v>10.090000000000018</v>
      </c>
    </row>
    <row r="38" spans="2:19" ht="18">
      <c r="B38" s="118"/>
      <c r="C38" s="7"/>
      <c r="D38" s="13" t="s">
        <v>1451</v>
      </c>
      <c r="E38" s="365"/>
      <c r="F38" s="365"/>
      <c r="G38" s="384" t="s">
        <v>407</v>
      </c>
      <c r="H38" s="243">
        <f>269.28+74.35+29.88+20+20.04+132</f>
        <v>545.54999999999995</v>
      </c>
      <c r="J38">
        <f>20.09+34.11+17.57+11.98+4.96+23.94+4.27+130+36+14+8.5</f>
        <v>305.42</v>
      </c>
    </row>
    <row r="39" spans="2:19" ht="14.4">
      <c r="B39" s="729"/>
      <c r="C39" s="729"/>
      <c r="D39" s="729"/>
      <c r="E39" s="729"/>
      <c r="F39" s="729"/>
      <c r="G39" s="729"/>
      <c r="H39" s="297"/>
      <c r="K39" s="729"/>
      <c r="L39" s="729"/>
      <c r="M39" s="729"/>
      <c r="N39" s="729"/>
      <c r="O39" s="729"/>
      <c r="P39" s="297"/>
    </row>
    <row r="40" spans="2:19" ht="15" customHeight="1">
      <c r="B40" s="726" t="s">
        <v>955</v>
      </c>
      <c r="C40" s="726"/>
      <c r="D40" s="726"/>
      <c r="E40" s="726"/>
      <c r="F40" s="348"/>
      <c r="K40" s="212"/>
      <c r="L40" s="212"/>
      <c r="N40" s="118" t="s">
        <v>1452</v>
      </c>
      <c r="O40" s="316">
        <v>45194</v>
      </c>
      <c r="P40" s="7">
        <f ca="1">DATEDIF(O40,NOW(),"d")</f>
        <v>1057</v>
      </c>
      <c r="Q40">
        <v>35</v>
      </c>
      <c r="R40" t="s">
        <v>1342</v>
      </c>
    </row>
    <row r="41" spans="2:19">
      <c r="B41" s="365"/>
      <c r="C41" s="38"/>
      <c r="D41" s="212"/>
      <c r="E41" s="310"/>
      <c r="F41" s="11"/>
      <c r="G41" s="367"/>
      <c r="I41" s="243"/>
      <c r="K41" s="11"/>
      <c r="N41" s="322" t="s">
        <v>1453</v>
      </c>
      <c r="O41" s="42">
        <v>45194</v>
      </c>
      <c r="P41" s="7">
        <f ca="1">DATEDIF(O41,NOW(),"d")</f>
        <v>1057</v>
      </c>
      <c r="Q41">
        <v>29.88</v>
      </c>
      <c r="R41" t="s">
        <v>1454</v>
      </c>
    </row>
    <row r="42" spans="2:19">
      <c r="E42" s="409"/>
      <c r="F42" s="365"/>
      <c r="J42" s="243"/>
      <c r="L42" s="243"/>
      <c r="N42" t="s">
        <v>1456</v>
      </c>
      <c r="O42"/>
      <c r="P42"/>
    </row>
    <row r="43" spans="2:19" ht="16.2" customHeight="1">
      <c r="E43" s="188"/>
      <c r="F43" s="278"/>
      <c r="H43" s="243"/>
      <c r="I43" s="243"/>
      <c r="J43" s="213"/>
      <c r="K43" s="213"/>
      <c r="L43" s="243"/>
      <c r="N43" t="s">
        <v>1455</v>
      </c>
      <c r="O43" s="292"/>
      <c r="P43" s="212"/>
    </row>
    <row r="44" spans="2:19">
      <c r="B44" s="378"/>
      <c r="E44" s="409"/>
      <c r="F44" s="361"/>
      <c r="G44" s="243"/>
      <c r="J44" s="243"/>
      <c r="L44" s="243"/>
      <c r="P44" s="56"/>
    </row>
    <row r="45" spans="2:19" ht="14.4">
      <c r="E45" s="409"/>
      <c r="F45" s="361"/>
      <c r="J45" s="243"/>
      <c r="K45" s="369"/>
      <c r="L45" s="243"/>
      <c r="P45"/>
    </row>
    <row r="46" spans="2:19" ht="14.4">
      <c r="E46" s="412"/>
      <c r="F46" s="361"/>
      <c r="G46" s="243"/>
      <c r="J46" s="243"/>
      <c r="K46" s="369"/>
      <c r="M46" s="243">
        <f>3355.07+3968.05+457.76</f>
        <v>7780.880000000001</v>
      </c>
      <c r="P46" s="212"/>
      <c r="Q46" s="212"/>
    </row>
    <row r="47" spans="2:19" ht="15" customHeight="1">
      <c r="E47" s="412"/>
      <c r="F47" s="361"/>
      <c r="G47" s="243"/>
      <c r="K47" s="353"/>
      <c r="M47" s="243">
        <f>M46-5844</f>
        <v>1936.880000000001</v>
      </c>
      <c r="P47" s="56"/>
      <c r="Q47" s="38"/>
    </row>
    <row r="48" spans="2:19" ht="14.4">
      <c r="E48" s="412"/>
      <c r="F48" s="360"/>
      <c r="O48"/>
      <c r="P48"/>
    </row>
    <row r="49" spans="2:16" ht="15" customHeight="1">
      <c r="E49" s="413"/>
      <c r="F49" s="360"/>
      <c r="H49" s="243"/>
      <c r="L49" s="243"/>
      <c r="O49"/>
      <c r="P49"/>
    </row>
    <row r="50" spans="2:16">
      <c r="E50" s="412"/>
      <c r="F50" s="384"/>
      <c r="H50" s="243"/>
      <c r="O50"/>
      <c r="P50"/>
    </row>
    <row r="51" spans="2:16">
      <c r="B51" s="11"/>
      <c r="E51" s="405"/>
      <c r="I51" s="407"/>
      <c r="O51"/>
      <c r="P51"/>
    </row>
    <row r="52" spans="2:16" ht="14.4">
      <c r="B52" s="11"/>
      <c r="E52" s="405"/>
      <c r="F52" s="79"/>
      <c r="G52" s="441"/>
      <c r="J52" s="79"/>
      <c r="O52"/>
      <c r="P52"/>
    </row>
    <row r="53" spans="2:16">
      <c r="E53" s="405"/>
      <c r="F53" s="384"/>
      <c r="L53" s="243"/>
      <c r="M53" s="243"/>
      <c r="O53"/>
      <c r="P53"/>
    </row>
    <row r="54" spans="2:16">
      <c r="B54" s="212"/>
      <c r="C54" s="212"/>
      <c r="E54" s="405"/>
      <c r="F54" s="384"/>
      <c r="O54"/>
      <c r="P54"/>
    </row>
    <row r="55" spans="2:16" ht="14.4">
      <c r="C55" s="56"/>
      <c r="D55" s="726"/>
      <c r="E55" s="726"/>
      <c r="F55" s="726"/>
      <c r="G55" s="726"/>
      <c r="O55"/>
      <c r="P55"/>
    </row>
    <row r="56" spans="2:16" ht="15.75" customHeight="1">
      <c r="C56" s="56"/>
      <c r="E56"/>
      <c r="F56"/>
      <c r="J56" s="243"/>
      <c r="M56" s="243"/>
      <c r="O56"/>
      <c r="P56"/>
    </row>
    <row r="57" spans="2:16" ht="14.4">
      <c r="C57" s="56"/>
      <c r="E57"/>
      <c r="F57"/>
      <c r="M57" s="243"/>
      <c r="O57"/>
      <c r="P57" s="771"/>
    </row>
    <row r="58" spans="2:16" ht="14.4">
      <c r="C58" s="56"/>
      <c r="D58" s="79"/>
      <c r="E58"/>
      <c r="F58" s="79"/>
      <c r="O58"/>
      <c r="P58" s="771"/>
    </row>
    <row r="59" spans="2:16" ht="14.4">
      <c r="C59" s="56"/>
      <c r="E59"/>
      <c r="F59"/>
      <c r="I59" s="407"/>
      <c r="K59" s="243"/>
      <c r="O59"/>
      <c r="P59" s="771"/>
    </row>
    <row r="60" spans="2:16" ht="14.4">
      <c r="C60" s="56"/>
      <c r="E60" s="407"/>
      <c r="F60"/>
      <c r="G60" s="407"/>
      <c r="O60"/>
      <c r="P60" s="771"/>
    </row>
    <row r="61" spans="2:16" ht="14.4">
      <c r="C61" s="56"/>
      <c r="E61"/>
      <c r="F61"/>
      <c r="O61"/>
      <c r="P61"/>
    </row>
    <row r="62" spans="2:16">
      <c r="C62" s="56"/>
      <c r="E62" s="347"/>
      <c r="F62" s="778"/>
      <c r="G62" s="779"/>
      <c r="O62"/>
      <c r="P62"/>
    </row>
    <row r="63" spans="2:16" ht="14.4">
      <c r="C63" s="56"/>
      <c r="E63" s="332"/>
      <c r="F63"/>
      <c r="O63"/>
      <c r="P63" s="771"/>
    </row>
    <row r="64" spans="2:16" ht="14.4">
      <c r="C64" s="56"/>
      <c r="E64"/>
      <c r="F64"/>
      <c r="O64"/>
      <c r="P64" s="771"/>
    </row>
    <row r="65" spans="2:16">
      <c r="C65" s="56"/>
      <c r="F65" s="79"/>
      <c r="O65"/>
      <c r="P65" s="771"/>
    </row>
    <row r="66" spans="2:16" ht="14.4">
      <c r="E66"/>
      <c r="F66"/>
      <c r="O66"/>
      <c r="P66" s="771"/>
    </row>
    <row r="67" spans="2:16">
      <c r="B67" s="212"/>
      <c r="C67" s="294"/>
      <c r="E67" s="365"/>
      <c r="F67"/>
      <c r="G67" s="407"/>
      <c r="O67"/>
      <c r="P67"/>
    </row>
    <row r="68" spans="2:16">
      <c r="C68" s="56"/>
      <c r="D68" s="56"/>
      <c r="E68" s="56"/>
      <c r="O68"/>
      <c r="P68"/>
    </row>
    <row r="69" spans="2:16" ht="14.4">
      <c r="C69" s="56"/>
      <c r="D69" s="56"/>
      <c r="E69" s="56"/>
      <c r="F69" s="56"/>
      <c r="O69"/>
      <c r="P69" s="771"/>
    </row>
    <row r="70" spans="2:16" ht="14.4">
      <c r="C70" s="56"/>
      <c r="D70" s="56"/>
      <c r="E70" s="56"/>
      <c r="F70" s="56"/>
      <c r="O70"/>
      <c r="P70" s="771"/>
    </row>
    <row r="71" spans="2:16" ht="14.4">
      <c r="C71" s="56"/>
      <c r="D71" s="56"/>
      <c r="E71" s="56"/>
      <c r="F71"/>
      <c r="O71"/>
      <c r="P71" s="771"/>
    </row>
    <row r="72" spans="2:16" ht="14.4">
      <c r="C72" s="56"/>
      <c r="D72" s="56"/>
      <c r="E72" s="56"/>
      <c r="F72" s="332"/>
      <c r="O72"/>
      <c r="P72" s="771"/>
    </row>
    <row r="73" spans="2:16" ht="14.4">
      <c r="C73" s="56"/>
      <c r="E73" s="56"/>
      <c r="F73"/>
      <c r="O73"/>
      <c r="P73"/>
    </row>
    <row r="74" spans="2:16">
      <c r="F74"/>
      <c r="O74"/>
      <c r="P74"/>
    </row>
    <row r="75" spans="2:16">
      <c r="E75" s="212"/>
      <c r="F75" s="365"/>
      <c r="O75"/>
      <c r="P75" s="771"/>
    </row>
    <row r="76" spans="2:16" ht="14.4">
      <c r="E76" s="56"/>
      <c r="F76" s="212"/>
      <c r="O76"/>
      <c r="P76" s="771"/>
    </row>
    <row r="77" spans="2:16" ht="14.4">
      <c r="E77" s="56"/>
      <c r="F77" s="56"/>
      <c r="O77"/>
      <c r="P77" s="771"/>
    </row>
    <row r="78" spans="2:16" ht="14.4">
      <c r="E78" s="56"/>
      <c r="F78" s="56"/>
      <c r="O78"/>
      <c r="P78" s="771"/>
    </row>
    <row r="79" spans="2:16" ht="14.4">
      <c r="E79" s="56"/>
      <c r="F79" s="56"/>
      <c r="O79"/>
      <c r="P79"/>
    </row>
    <row r="80" spans="2:16" ht="14.4">
      <c r="E80" s="56"/>
      <c r="F80" s="56"/>
      <c r="O80"/>
      <c r="P80"/>
    </row>
    <row r="81" spans="5:16" ht="14.4">
      <c r="E81" s="56"/>
      <c r="F81" s="56"/>
      <c r="O81"/>
      <c r="P81" s="771"/>
    </row>
    <row r="82" spans="5:16">
      <c r="O82"/>
      <c r="P82" s="771"/>
    </row>
    <row r="83" spans="5:16" ht="14.4">
      <c r="E83" s="212"/>
      <c r="F83" s="212"/>
      <c r="O83"/>
      <c r="P83" s="771"/>
    </row>
    <row r="84" spans="5:16" ht="14.4">
      <c r="E84" s="56"/>
      <c r="F84" s="56"/>
      <c r="O84"/>
      <c r="P84" s="771"/>
    </row>
    <row r="85" spans="5:16" ht="14.4">
      <c r="E85" s="56"/>
      <c r="F85" s="56"/>
      <c r="O85"/>
      <c r="P85"/>
    </row>
    <row r="86" spans="5:16" ht="14.4">
      <c r="E86" s="56"/>
      <c r="F86" s="56"/>
      <c r="G86" s="407"/>
      <c r="O86"/>
      <c r="P86"/>
    </row>
    <row r="87" spans="5:16" ht="14.4">
      <c r="E87" s="56"/>
      <c r="F87" s="56"/>
      <c r="G87" s="407"/>
      <c r="O87"/>
      <c r="P87" s="771"/>
    </row>
    <row r="88" spans="5:16" ht="14.4">
      <c r="E88" s="56"/>
      <c r="F88" s="56"/>
      <c r="G88" s="407"/>
      <c r="O88"/>
      <c r="P88" s="771"/>
    </row>
    <row r="89" spans="5:16" ht="14.4">
      <c r="E89" s="56"/>
      <c r="F89" s="56"/>
      <c r="G89" s="407"/>
      <c r="O89"/>
      <c r="P89" s="771"/>
    </row>
    <row r="90" spans="5:16">
      <c r="E90" s="365"/>
      <c r="F90" s="365"/>
      <c r="G90" s="407"/>
      <c r="O90"/>
      <c r="P90" s="771"/>
    </row>
    <row r="91" spans="5:16">
      <c r="G91" s="407"/>
      <c r="O91"/>
      <c r="P91"/>
    </row>
    <row r="92" spans="5:16">
      <c r="G92" s="407"/>
      <c r="O92"/>
      <c r="P92"/>
    </row>
    <row r="93" spans="5:16">
      <c r="G93" s="407"/>
    </row>
    <row r="97" spans="6:6">
      <c r="F97" s="384"/>
    </row>
    <row r="98" spans="6:6">
      <c r="F98" s="384"/>
    </row>
  </sheetData>
  <mergeCells count="32">
    <mergeCell ref="B4:E4"/>
    <mergeCell ref="B1:O1"/>
    <mergeCell ref="G3:H3"/>
    <mergeCell ref="I3:J3"/>
    <mergeCell ref="K3:L3"/>
    <mergeCell ref="M3:N3"/>
    <mergeCell ref="B37:D37"/>
    <mergeCell ref="B5:C5"/>
    <mergeCell ref="D5:E5"/>
    <mergeCell ref="B6:B20"/>
    <mergeCell ref="C6:C20"/>
    <mergeCell ref="B23:E23"/>
    <mergeCell ref="B24:C24"/>
    <mergeCell ref="D24:E24"/>
    <mergeCell ref="B31:E31"/>
    <mergeCell ref="B32:C32"/>
    <mergeCell ref="D32:E32"/>
    <mergeCell ref="B33:B34"/>
    <mergeCell ref="C33:C34"/>
    <mergeCell ref="B39:G39"/>
    <mergeCell ref="K39:O39"/>
    <mergeCell ref="B40:C40"/>
    <mergeCell ref="D40:E40"/>
    <mergeCell ref="D55:E55"/>
    <mergeCell ref="F55:G55"/>
    <mergeCell ref="P87:P90"/>
    <mergeCell ref="P57:P60"/>
    <mergeCell ref="F62:G62"/>
    <mergeCell ref="P63:P66"/>
    <mergeCell ref="P69:P72"/>
    <mergeCell ref="P75:P78"/>
    <mergeCell ref="P81:P84"/>
  </mergeCells>
  <pageMargins left="0.7" right="0.7" top="0.75" bottom="0.75" header="0.3" footer="0.3"/>
  <pageSetup orientation="portrait" r:id="rId1"/>
  <legacyDrawing r:id="rId2"/>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0AFBA-7447-4DB4-8D9A-BDE1E5064650}">
  <dimension ref="A1:T97"/>
  <sheetViews>
    <sheetView topLeftCell="E10" zoomScale="80" zoomScaleNormal="80" workbookViewId="0">
      <selection activeCell="L34" sqref="L3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AUG-SEP 2023</v>
      </c>
      <c r="B1" s="730" t="str">
        <f ca="1">MID(CELL("filename",B1),FIND("]",CELL("filename",B1))+1,255)</f>
        <v>SEP-OCT 2023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ROUND(O5+O31+O23+IF(O33&lt;0,0,O33)+O34+O4,2) &amp; " / " &amp; "£" &amp; E36</f>
        <v>£639.36 / £6645.05</v>
      </c>
      <c r="E3" s="365">
        <f>2802.81-2787.81</f>
        <v>15</v>
      </c>
      <c r="F3" s="365"/>
      <c r="G3" s="732">
        <v>45194</v>
      </c>
      <c r="H3" s="732"/>
      <c r="I3" s="732">
        <f>G3+7</f>
        <v>45201</v>
      </c>
      <c r="J3" s="732"/>
      <c r="K3" s="732">
        <f>I3+7</f>
        <v>45208</v>
      </c>
      <c r="L3" s="732"/>
      <c r="M3" s="732">
        <f>K3+7</f>
        <v>45215</v>
      </c>
      <c r="N3" s="732"/>
      <c r="O3" s="308">
        <v>0</v>
      </c>
      <c r="P3" s="325" t="s">
        <v>1224</v>
      </c>
      <c r="Q3" s="282"/>
    </row>
    <row r="4" spans="1:20" ht="15" customHeight="1">
      <c r="B4" s="727" t="str">
        <f>_xlfn.CONCAT("Expenses - 50 - ",G36*0.5," / Actual = ",ROUND(D5,2)," (",ROUND((D5/G36)*100,2),")")</f>
        <v>Expenses - 50 - 2654.015 / Actual = 2242.07 (42.24)</v>
      </c>
      <c r="C4" s="727"/>
      <c r="D4" s="727"/>
      <c r="E4" s="727"/>
      <c r="F4" s="318"/>
      <c r="G4" s="243">
        <f>H4-456.79</f>
        <v>1176.3800000000001</v>
      </c>
      <c r="H4" s="304">
        <f>SUM(H5:H34)</f>
        <v>1633.17</v>
      </c>
      <c r="I4" s="243"/>
      <c r="J4" s="304">
        <f>SUM(J5:J34)</f>
        <v>22.5</v>
      </c>
      <c r="K4" s="243">
        <f>2257.33-L4</f>
        <v>289.68000000000006</v>
      </c>
      <c r="L4" s="304">
        <f>SUM(L5:L34)</f>
        <v>1967.6499999999999</v>
      </c>
      <c r="M4" s="243">
        <f>L4+235.68</f>
        <v>2203.33</v>
      </c>
      <c r="N4" s="304">
        <f>SUM(N5:N34)</f>
        <v>0</v>
      </c>
      <c r="O4" s="308">
        <f>IF(H35&lt;&gt;"PAID",H4,0)+IF(J35&lt;&gt;"PAID",J4,0)+IF(L35&lt;&gt;"PAID",L4,0)+IF(N35&lt;&gt;"PAID",N4,0)</f>
        <v>0</v>
      </c>
      <c r="P4" s="309" t="s">
        <v>973</v>
      </c>
      <c r="Q4" s="408">
        <f>O4+402.34</f>
        <v>402.34</v>
      </c>
      <c r="R4" s="243"/>
      <c r="S4" s="243"/>
    </row>
    <row r="5" spans="1:20" ht="15" customHeight="1">
      <c r="B5" s="733" t="str">
        <f>IF(D5&gt;E$36*0.5,ROUND(D5-E$36*0.5,2) &amp; " Over",ROUND(E$36*0.5-D5,2) &amp; " Under")</f>
        <v>1080.46 Under</v>
      </c>
      <c r="C5" s="733"/>
      <c r="D5" s="761">
        <f>ROUND(SUM(F6:F20),2)</f>
        <v>2242.0700000000002</v>
      </c>
      <c r="E5" s="761"/>
      <c r="F5" s="321"/>
      <c r="G5" s="284"/>
      <c r="H5" s="306"/>
      <c r="I5" s="79"/>
      <c r="J5" s="306"/>
      <c r="K5" s="79"/>
      <c r="L5" s="306"/>
      <c r="M5" s="390">
        <f>M4-2257.33</f>
        <v>-54</v>
      </c>
      <c r="N5" s="305"/>
      <c r="O5" s="285">
        <f>SUMIF(O6:O20,"&gt;0")</f>
        <v>0</v>
      </c>
      <c r="P5" s="285" t="s">
        <v>892</v>
      </c>
      <c r="Q5" s="282">
        <f>SUM(Q6:Q20)</f>
        <v>19.130000000000038</v>
      </c>
      <c r="R5" s="243"/>
    </row>
    <row r="6" spans="1:20" ht="15" customHeight="1">
      <c r="B6" s="734" t="str">
        <f>"50%: " &amp; E$36*0.5</f>
        <v>50%: 3322.525</v>
      </c>
      <c r="C6" s="734" t="str">
        <f>ROUND((D5/E$36)*100,2) &amp; "%: " &amp;D5</f>
        <v>33.74%: 2242.07</v>
      </c>
      <c r="D6" s="13" t="s">
        <v>805</v>
      </c>
      <c r="E6" s="365">
        <v>0</v>
      </c>
      <c r="F6" s="374">
        <v>150</v>
      </c>
      <c r="H6" s="304">
        <f>30.02+25.08+30.18+33.51+20.08</f>
        <v>138.87</v>
      </c>
      <c r="J6" s="305"/>
      <c r="L6" s="305">
        <v>25.04</v>
      </c>
      <c r="N6" s="305"/>
      <c r="O6" s="274">
        <f>SUM(E6:F6)-SUM(G6:N6)</f>
        <v>-13.909999999999997</v>
      </c>
      <c r="P6" s="274" t="str">
        <f t="shared" ref="P6:P20" si="0">D6</f>
        <v>Car Petrol / commuting</v>
      </c>
      <c r="Q6" s="282">
        <f t="shared" ref="Q6:Q20" si="1">IF(O6&lt;0,O6*-1,0)</f>
        <v>13.909999999999997</v>
      </c>
      <c r="R6" s="243"/>
    </row>
    <row r="7" spans="1:20" ht="15" customHeight="1">
      <c r="B7" s="734"/>
      <c r="C7" s="734"/>
      <c r="D7" s="13" t="s">
        <v>169</v>
      </c>
      <c r="E7" s="365">
        <v>0</v>
      </c>
      <c r="F7" s="365">
        <f>400+12.24+7.13</f>
        <v>419.37</v>
      </c>
      <c r="H7" s="304">
        <f>(47.43+11.5+4.25+8.69+35.6)+(4.95+4.52+7.01+30.9+47.9+0.04)+43.7+43.12+14.25</f>
        <v>303.86</v>
      </c>
      <c r="J7" s="305"/>
      <c r="L7" s="305">
        <f>48.84+13.7+55.54</f>
        <v>118.08000000000001</v>
      </c>
      <c r="N7" s="305"/>
      <c r="O7" s="274">
        <f>SUM(E7:F7)-SUM(G7:N7)</f>
        <v>-2.57000000000005</v>
      </c>
      <c r="P7" s="274" t="str">
        <f t="shared" si="0"/>
        <v>Food</v>
      </c>
      <c r="Q7" s="282">
        <f t="shared" si="1"/>
        <v>2.57000000000005</v>
      </c>
      <c r="R7" s="243"/>
    </row>
    <row r="8" spans="1:20" ht="15" customHeight="1">
      <c r="B8" s="734"/>
      <c r="C8" s="734"/>
      <c r="D8" s="13" t="s">
        <v>153</v>
      </c>
      <c r="E8" s="365">
        <v>0</v>
      </c>
      <c r="F8" s="365">
        <f>100-5.43-12.24</f>
        <v>82.33</v>
      </c>
      <c r="H8" s="305">
        <f>19.57</f>
        <v>19.57</v>
      </c>
      <c r="J8" s="305"/>
      <c r="L8" s="305">
        <f>36.97+25.79</f>
        <v>62.76</v>
      </c>
      <c r="N8" s="305"/>
      <c r="O8" s="274">
        <f>SUM(E8:F8)-SUM(G8:N8)</f>
        <v>0</v>
      </c>
      <c r="P8" s="274" t="str">
        <f t="shared" si="0"/>
        <v>Luna</v>
      </c>
      <c r="Q8" s="282">
        <f t="shared" si="1"/>
        <v>0</v>
      </c>
    </row>
    <row r="9" spans="1:20" ht="15" customHeight="1">
      <c r="B9" s="734"/>
      <c r="C9" s="734"/>
      <c r="D9" s="13" t="s">
        <v>1079</v>
      </c>
      <c r="E9" s="365">
        <v>0</v>
      </c>
      <c r="F9" s="365">
        <f>25-3.11</f>
        <v>21.89</v>
      </c>
      <c r="H9" s="305">
        <v>21.89</v>
      </c>
      <c r="J9" s="305"/>
      <c r="L9" s="305"/>
      <c r="N9" s="305"/>
      <c r="O9" s="274">
        <f>SUM(E9:F9)-SUM(G9:N9)</f>
        <v>0</v>
      </c>
      <c r="P9" s="274" t="str">
        <f t="shared" si="0"/>
        <v>Creamy</v>
      </c>
      <c r="Q9" s="282">
        <f t="shared" si="1"/>
        <v>0</v>
      </c>
      <c r="R9" s="243"/>
    </row>
    <row r="10" spans="1:20" ht="15" customHeight="1" outlineLevel="1">
      <c r="B10" s="734"/>
      <c r="C10" s="734"/>
      <c r="D10" s="201" t="s">
        <v>595</v>
      </c>
      <c r="E10" s="365">
        <v>0</v>
      </c>
      <c r="F10" s="365">
        <v>835.29</v>
      </c>
      <c r="G10">
        <v>835.29</v>
      </c>
      <c r="H10" s="304"/>
      <c r="J10" s="305"/>
      <c r="L10" s="305"/>
      <c r="N10" s="305"/>
      <c r="O10" s="274">
        <f t="shared" ref="O10:O15" si="2">SUM(E10:F10)-SUM(G10:N10)</f>
        <v>0</v>
      </c>
      <c r="P10" s="274" t="str">
        <f t="shared" si="0"/>
        <v>Mortgage</v>
      </c>
      <c r="Q10" s="282">
        <f t="shared" si="1"/>
        <v>0</v>
      </c>
      <c r="R10" s="243"/>
    </row>
    <row r="11" spans="1:20" ht="15" customHeight="1" outlineLevel="1">
      <c r="B11" s="734"/>
      <c r="C11" s="734"/>
      <c r="D11" s="201" t="s">
        <v>596</v>
      </c>
      <c r="E11" s="365">
        <v>0</v>
      </c>
      <c r="F11" s="365">
        <v>147</v>
      </c>
      <c r="H11" s="305"/>
      <c r="J11" s="305"/>
      <c r="L11" s="305"/>
      <c r="M11">
        <v>147</v>
      </c>
      <c r="N11" s="305"/>
      <c r="O11" s="274">
        <f t="shared" si="2"/>
        <v>0</v>
      </c>
      <c r="P11" s="274" t="str">
        <f t="shared" si="0"/>
        <v>Council tax</v>
      </c>
      <c r="Q11" s="282">
        <f t="shared" si="1"/>
        <v>0</v>
      </c>
    </row>
    <row r="12" spans="1:20" ht="15" customHeight="1" outlineLevel="1">
      <c r="B12" s="734"/>
      <c r="C12" s="734"/>
      <c r="D12" s="201" t="s">
        <v>1002</v>
      </c>
      <c r="E12" s="365">
        <v>0</v>
      </c>
      <c r="F12" s="365">
        <f>24+90.73</f>
        <v>114.73</v>
      </c>
      <c r="G12">
        <f>90.73</f>
        <v>90.73</v>
      </c>
      <c r="H12" s="305"/>
      <c r="J12" s="305"/>
      <c r="L12" s="305"/>
      <c r="M12">
        <v>24</v>
      </c>
      <c r="N12" s="305"/>
      <c r="O12" s="274">
        <f>SUM(E12:F12)-SUM(G12:N12)</f>
        <v>0</v>
      </c>
      <c r="P12" s="274" t="str">
        <f t="shared" si="0"/>
        <v>Utilities (G,W,E,HTB)</v>
      </c>
      <c r="Q12" s="282">
        <f t="shared" si="1"/>
        <v>0</v>
      </c>
    </row>
    <row r="13" spans="1:20" ht="15" customHeight="1" outlineLevel="1">
      <c r="B13" s="734"/>
      <c r="C13" s="734"/>
      <c r="D13" s="201" t="s">
        <v>996</v>
      </c>
      <c r="E13" s="365">
        <v>0</v>
      </c>
      <c r="F13" s="365">
        <v>14</v>
      </c>
      <c r="G13">
        <v>14</v>
      </c>
      <c r="H13" s="305"/>
      <c r="J13" s="305"/>
      <c r="L13" s="305"/>
      <c r="N13" s="305"/>
      <c r="O13" s="274">
        <f>SUM(E13:F13)-SUM(G13:N13)</f>
        <v>0</v>
      </c>
      <c r="P13" s="274" t="str">
        <f t="shared" si="0"/>
        <v>Home Insurance</v>
      </c>
      <c r="Q13" s="282">
        <f t="shared" si="1"/>
        <v>0</v>
      </c>
    </row>
    <row r="14" spans="1:20" ht="15" customHeight="1" outlineLevel="1">
      <c r="B14" s="734"/>
      <c r="C14" s="734"/>
      <c r="D14" s="201" t="s">
        <v>1056</v>
      </c>
      <c r="E14" s="365">
        <v>0</v>
      </c>
      <c r="F14" s="365">
        <f>8+17.2+17.99</f>
        <v>43.19</v>
      </c>
      <c r="G14">
        <f>17.2+17.99</f>
        <v>35.19</v>
      </c>
      <c r="H14" s="305"/>
      <c r="J14" s="305"/>
      <c r="L14" s="305"/>
      <c r="M14">
        <v>8</v>
      </c>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4.52+15.97+30.8</f>
        <v>51.290000000000006</v>
      </c>
      <c r="G15">
        <f>20.49+1+30.8</f>
        <v>52.29</v>
      </c>
      <c r="H15" s="305"/>
      <c r="I15" s="11"/>
      <c r="J15" s="305"/>
      <c r="L15" s="305"/>
      <c r="N15" s="305"/>
      <c r="O15" s="274">
        <f t="shared" si="2"/>
        <v>-0.99999999999999289</v>
      </c>
      <c r="P15" s="274" t="str">
        <f t="shared" si="0"/>
        <v>Life / Income Insurance</v>
      </c>
      <c r="Q15" s="282">
        <f t="shared" si="1"/>
        <v>0.99999999999999289</v>
      </c>
    </row>
    <row r="16" spans="1:20" ht="15" customHeight="1" outlineLevel="1">
      <c r="B16" s="734"/>
      <c r="C16" s="734"/>
      <c r="D16" s="201" t="s">
        <v>602</v>
      </c>
      <c r="E16" s="365">
        <v>0</v>
      </c>
      <c r="F16" s="365">
        <v>28.6</v>
      </c>
      <c r="G16">
        <v>28.6</v>
      </c>
      <c r="H16" s="305"/>
      <c r="J16" s="305"/>
      <c r="L16" s="305"/>
      <c r="N16" s="305"/>
      <c r="O16" s="274">
        <f t="shared" ref="O16:O20" si="3">SUM(E16:F16)-SUM(G16:N16)</f>
        <v>0</v>
      </c>
      <c r="P16" s="274" t="str">
        <f t="shared" si="0"/>
        <v>Broadband / TV</v>
      </c>
      <c r="Q16" s="282">
        <f t="shared" si="1"/>
        <v>0</v>
      </c>
    </row>
    <row r="17" spans="2:20" ht="15" customHeight="1" outlineLevel="1">
      <c r="B17" s="734"/>
      <c r="C17" s="734"/>
      <c r="D17" s="201" t="s">
        <v>582</v>
      </c>
      <c r="E17" s="365">
        <v>0</v>
      </c>
      <c r="F17" s="365">
        <v>7.99</v>
      </c>
      <c r="G17">
        <v>7.99</v>
      </c>
      <c r="H17" s="305"/>
      <c r="J17" s="305"/>
      <c r="L17" s="305"/>
      <c r="N17" s="305"/>
      <c r="O17" s="274">
        <f t="shared" si="3"/>
        <v>0</v>
      </c>
      <c r="P17" s="274" t="str">
        <f t="shared" si="0"/>
        <v>Onedrive (6th)</v>
      </c>
      <c r="Q17" s="282">
        <f t="shared" si="1"/>
        <v>0</v>
      </c>
    </row>
    <row r="18" spans="2:20" ht="15" customHeight="1" outlineLevel="1">
      <c r="B18" s="734"/>
      <c r="C18" s="734"/>
      <c r="D18" s="201" t="s">
        <v>788</v>
      </c>
      <c r="E18" s="365">
        <v>0</v>
      </c>
      <c r="F18" s="365">
        <f>11.55</f>
        <v>11.55</v>
      </c>
      <c r="G18">
        <v>13.2</v>
      </c>
      <c r="H18" s="305"/>
      <c r="J18" s="305"/>
      <c r="L18" s="305"/>
      <c r="N18" s="305"/>
      <c r="O18" s="274">
        <f t="shared" si="3"/>
        <v>-1.6499999999999986</v>
      </c>
      <c r="P18" s="274" t="str">
        <f t="shared" si="0"/>
        <v>Matt Phone</v>
      </c>
      <c r="Q18" s="282">
        <f t="shared" si="1"/>
        <v>1.6499999999999986</v>
      </c>
    </row>
    <row r="19" spans="2:20" ht="15" customHeight="1" outlineLevel="1">
      <c r="B19" s="734"/>
      <c r="C19" s="734"/>
      <c r="D19" s="201" t="s">
        <v>690</v>
      </c>
      <c r="E19" s="365">
        <v>0</v>
      </c>
      <c r="F19" s="365">
        <f>11.81+14.43+270.97+2.63</f>
        <v>299.84000000000003</v>
      </c>
      <c r="G19">
        <f>13.12+15.75</f>
        <v>28.869999999999997</v>
      </c>
      <c r="H19" s="305"/>
      <c r="J19" s="305"/>
      <c r="L19" s="305"/>
      <c r="M19">
        <v>270.97000000000003</v>
      </c>
      <c r="N19" s="305"/>
      <c r="O19" s="274">
        <f t="shared" si="3"/>
        <v>0</v>
      </c>
      <c r="P19" s="274" t="str">
        <f t="shared" si="0"/>
        <v>Cars</v>
      </c>
      <c r="Q19" s="282">
        <f t="shared" si="1"/>
        <v>0</v>
      </c>
    </row>
    <row r="20" spans="2:20" ht="15" customHeight="1" outlineLevel="1">
      <c r="B20" s="734"/>
      <c r="C20" s="734"/>
      <c r="D20" s="201" t="s">
        <v>944</v>
      </c>
      <c r="E20" s="365">
        <v>0</v>
      </c>
      <c r="F20" s="365">
        <v>15</v>
      </c>
      <c r="G20">
        <v>15</v>
      </c>
      <c r="H20" s="305"/>
      <c r="J20" s="305"/>
      <c r="L20" s="305"/>
      <c r="N20" s="305"/>
      <c r="O20" s="274">
        <f t="shared" si="3"/>
        <v>0</v>
      </c>
      <c r="P20" s="274" t="str">
        <f t="shared" si="0"/>
        <v>Windows</v>
      </c>
      <c r="Q20" s="282">
        <f t="shared" si="1"/>
        <v>0</v>
      </c>
      <c r="R20" s="243">
        <f>1088-O24-136</f>
        <v>952</v>
      </c>
    </row>
    <row r="21" spans="2:20" ht="15" customHeight="1">
      <c r="B21" s="118"/>
      <c r="C21" s="118"/>
      <c r="D21" s="188"/>
      <c r="E21" s="365"/>
      <c r="F21" s="365"/>
      <c r="H21" s="305"/>
      <c r="J21" s="305"/>
      <c r="L21" s="305"/>
      <c r="N21" s="305"/>
      <c r="O21" s="273"/>
      <c r="P21" s="273"/>
      <c r="Q21" s="282"/>
    </row>
    <row r="22" spans="2:20" ht="15" customHeight="1">
      <c r="B22" s="736" t="str">
        <f>_xlfn.CONCAT("Savings - 20 - ",G36*0.2," / Actual = ",D23," (",ROUND((D23/G36)*100,2),")")</f>
        <v>Savings - 20 - 1061.606 / Actual = 2637.67 (49.69)</v>
      </c>
      <c r="C22" s="736"/>
      <c r="D22" s="736"/>
      <c r="E22" s="736"/>
      <c r="F22" s="320"/>
      <c r="H22" s="305"/>
      <c r="J22" s="305"/>
      <c r="L22" s="305"/>
      <c r="N22" s="305"/>
      <c r="O22" s="274"/>
      <c r="P22" s="274"/>
      <c r="Q22" s="282"/>
    </row>
    <row r="23" spans="2:20" ht="15" customHeight="1">
      <c r="B23" s="727" t="str">
        <f>IF(ISNUMBER((SEARCH("Over",C$5))),"Operating under budget","Operating over budget")</f>
        <v>Operating over budget</v>
      </c>
      <c r="C23" s="727"/>
      <c r="D23" s="759">
        <f>SUM(F24:F28)</f>
        <v>2637.67</v>
      </c>
      <c r="E23" s="759"/>
      <c r="F23" s="319"/>
      <c r="H23" s="305"/>
      <c r="J23" s="305"/>
      <c r="L23" s="305"/>
      <c r="N23" s="305"/>
      <c r="O23" s="285">
        <f>SUMIF(O24:O28,"&gt;0")-SUM(E24:E28)</f>
        <v>600.7800000000002</v>
      </c>
      <c r="P23" s="285" t="s">
        <v>895</v>
      </c>
      <c r="Q23" s="282">
        <f>SUM(Q24:Q24)</f>
        <v>0</v>
      </c>
      <c r="R23">
        <v>11700</v>
      </c>
      <c r="S23" t="s">
        <v>1463</v>
      </c>
    </row>
    <row r="24" spans="2:20" ht="15" customHeight="1" outlineLevel="1">
      <c r="B24" s="7" t="str">
        <f>"20% : " &amp; E$36*0.2</f>
        <v>20% : 1329.01</v>
      </c>
      <c r="C24" s="7" t="str">
        <f>"20% : " &amp; E$36*0.2</f>
        <v>20% : 1329.01</v>
      </c>
      <c r="D24" s="300" t="s">
        <v>183</v>
      </c>
      <c r="E24" s="365">
        <v>0</v>
      </c>
      <c r="F24" s="365">
        <f>1113.67</f>
        <v>1113.67</v>
      </c>
      <c r="H24" s="305">
        <f>293.55+204.84</f>
        <v>498.39</v>
      </c>
      <c r="J24" s="305"/>
      <c r="L24">
        <f>320+98+136.63+41.52</f>
        <v>596.15</v>
      </c>
      <c r="N24" s="315"/>
      <c r="O24" s="274">
        <f>SUM(E24:F24)-SUM(G24:N24)-Q36</f>
        <v>7.1054273576010019E-14</v>
      </c>
      <c r="P24" s="274" t="str">
        <f t="shared" ref="P24" si="4">D24</f>
        <v>Savings</v>
      </c>
      <c r="Q24" s="282">
        <v>0</v>
      </c>
      <c r="R24">
        <f>ROUND(O26/468.84,1)</f>
        <v>5.3</v>
      </c>
      <c r="S24" t="s">
        <v>1458</v>
      </c>
    </row>
    <row r="25" spans="2:20" ht="15" customHeight="1" outlineLevel="1">
      <c r="B25" s="7"/>
      <c r="C25" s="7"/>
      <c r="D25" s="300" t="s">
        <v>1367</v>
      </c>
      <c r="E25" s="365">
        <v>0</v>
      </c>
      <c r="F25" s="365">
        <v>0</v>
      </c>
      <c r="H25" s="305"/>
      <c r="J25" s="305"/>
      <c r="L25" s="315"/>
      <c r="N25" s="305"/>
      <c r="O25" s="274">
        <f>SUM(E25:F25)-SUM(G25:N25)</f>
        <v>0</v>
      </c>
      <c r="P25" s="274" t="str">
        <f>D25</f>
        <v>Su</v>
      </c>
      <c r="Q25" s="282">
        <v>0</v>
      </c>
      <c r="R25" s="343" t="s">
        <v>1426</v>
      </c>
      <c r="S25" s="7" t="s">
        <v>1427</v>
      </c>
    </row>
    <row r="26" spans="2:20" ht="15" customHeight="1" outlineLevel="1">
      <c r="B26" s="7"/>
      <c r="C26" s="7"/>
      <c r="D26" s="300" t="s">
        <v>1015</v>
      </c>
      <c r="E26" s="365">
        <v>1865.69</v>
      </c>
      <c r="F26" s="365">
        <f>1000+20+288.17+215.83</f>
        <v>1524</v>
      </c>
      <c r="G26">
        <v>468.84</v>
      </c>
      <c r="H26" s="305">
        <f>25+398+(51.78+89.2+2.62+72.23)-456.79</f>
        <v>182.04000000000002</v>
      </c>
      <c r="J26" s="305"/>
      <c r="L26" s="315">
        <v>272.33999999999997</v>
      </c>
      <c r="N26" s="305"/>
      <c r="O26" s="274">
        <f>SUM(E26:F26)-SUM(G26:N26)</f>
        <v>2466.4700000000003</v>
      </c>
      <c r="P26" s="274" t="str">
        <f>D26</f>
        <v>Tesco</v>
      </c>
      <c r="Q26" s="282">
        <v>0</v>
      </c>
      <c r="R26" s="243">
        <v>11500</v>
      </c>
      <c r="S26">
        <v>4975</v>
      </c>
    </row>
    <row r="27" spans="2:20" ht="15" customHeight="1" outlineLevel="1">
      <c r="B27" s="7"/>
      <c r="C27" s="7"/>
      <c r="D27" s="300" t="s">
        <v>1364</v>
      </c>
      <c r="E27" s="432">
        <v>0</v>
      </c>
      <c r="F27" s="432">
        <v>0</v>
      </c>
      <c r="H27" s="305"/>
      <c r="J27" s="305"/>
      <c r="L27" s="315"/>
      <c r="N27" s="305"/>
      <c r="O27" s="274">
        <f>SUM(E27:F27)-SUM(G27:N27)</f>
        <v>0</v>
      </c>
      <c r="P27" s="274" t="str">
        <f t="shared" ref="P27:P28" si="5">D27</f>
        <v>Renovation</v>
      </c>
      <c r="Q27" s="282">
        <v>0</v>
      </c>
      <c r="S27" s="243">
        <f>R26-S26</f>
        <v>6525</v>
      </c>
    </row>
    <row r="28" spans="2:20" ht="15" customHeight="1" outlineLevel="1">
      <c r="B28" s="7"/>
      <c r="C28" s="7"/>
      <c r="D28" s="300" t="s">
        <v>1366</v>
      </c>
      <c r="E28" s="432">
        <v>0</v>
      </c>
      <c r="F28" s="432">
        <v>0</v>
      </c>
      <c r="H28" s="305"/>
      <c r="J28" s="305"/>
      <c r="L28" s="315"/>
      <c r="N28" s="305"/>
      <c r="O28" s="274">
        <f t="shared" ref="O28" si="6">SUM(E28:F28)-SUM(G28:N28)</f>
        <v>0</v>
      </c>
      <c r="P28" s="274" t="str">
        <f t="shared" si="5"/>
        <v>Bedroom</v>
      </c>
      <c r="Q28" s="282"/>
      <c r="S28" s="243">
        <f>S27-E26-1800-182.57</f>
        <v>2676.7399999999993</v>
      </c>
    </row>
    <row r="29" spans="2:20" ht="15" customHeight="1">
      <c r="B29" s="118"/>
      <c r="C29" s="118"/>
      <c r="E29" s="365"/>
      <c r="F29" s="365"/>
      <c r="H29" s="305"/>
      <c r="J29" s="305"/>
      <c r="L29" s="305"/>
      <c r="N29" s="305"/>
      <c r="O29" s="273"/>
      <c r="P29" s="273"/>
      <c r="Q29" s="282"/>
      <c r="R29" s="243"/>
    </row>
    <row r="30" spans="2:20" ht="15" customHeight="1">
      <c r="B30" s="727" t="str">
        <f>_xlfn.CONCAT("Wants - 30 - ",G36*0.3," / Actual = ",D31," (",ROUND((D31/G36)*100,2),")")</f>
        <v>Wants - 30 - 1592.409 / Actual = 1500.96 (28.28)</v>
      </c>
      <c r="C30" s="727"/>
      <c r="D30" s="727"/>
      <c r="E30" s="727"/>
      <c r="F30" s="318"/>
      <c r="H30" s="305"/>
      <c r="J30" s="305"/>
      <c r="L30" s="305"/>
      <c r="N30" s="305"/>
      <c r="O30" s="273"/>
      <c r="P30" s="273"/>
      <c r="Q30" s="282"/>
      <c r="S30" s="243">
        <f>S28+R20</f>
        <v>3628.7399999999993</v>
      </c>
      <c r="T30" t="s">
        <v>1478</v>
      </c>
    </row>
    <row r="31" spans="2:20" ht="15" customHeight="1">
      <c r="B31" s="727" t="str">
        <f>IF(ISNUMBER((SEARCH("Over",B$5))),"Operating under budget","Operating over budget")</f>
        <v>Operating over budget</v>
      </c>
      <c r="C31" s="727"/>
      <c r="D31" s="759">
        <f>(E$36-D5-D23-E35)</f>
        <v>1500.9600000000014</v>
      </c>
      <c r="E31" s="727"/>
      <c r="F31" s="319">
        <f>SUM(F32:F33)</f>
        <v>712.61000000000138</v>
      </c>
      <c r="H31" s="305"/>
      <c r="J31" s="305"/>
      <c r="L31" s="305"/>
      <c r="N31" s="305"/>
      <c r="O31" s="285">
        <f>SUMIF(O32:O32,"&gt;0")</f>
        <v>0</v>
      </c>
      <c r="P31" s="285" t="s">
        <v>899</v>
      </c>
      <c r="Q31" s="282">
        <f>SUM(Q32:Q33)</f>
        <v>0</v>
      </c>
      <c r="S31" s="243">
        <f>S30-509</f>
        <v>3119.7399999999993</v>
      </c>
      <c r="T31" t="s">
        <v>1477</v>
      </c>
    </row>
    <row r="32" spans="2:20" ht="15.75" customHeight="1" outlineLevel="1">
      <c r="B32" s="734"/>
      <c r="C32" s="760"/>
      <c r="D32" s="13" t="s">
        <v>781</v>
      </c>
      <c r="E32" s="365">
        <v>0</v>
      </c>
      <c r="F32" s="365">
        <f>13+6.99+0.99+7.99+8.99+25</f>
        <v>62.96</v>
      </c>
      <c r="G32" s="11">
        <f>13+7.99+0.99+25+6.99</f>
        <v>53.970000000000006</v>
      </c>
      <c r="H32" s="305"/>
      <c r="J32" s="305"/>
      <c r="L32" s="305"/>
      <c r="M32">
        <v>8.99</v>
      </c>
      <c r="N32" s="305"/>
      <c r="O32" s="274">
        <f t="shared" ref="O32" si="7">SUM(E32:F32)-SUM(G32:N32)</f>
        <v>0</v>
      </c>
      <c r="P32" s="274" t="str">
        <f t="shared" ref="P32:P34" si="8">D32</f>
        <v>Subscriptions</v>
      </c>
      <c r="Q32" s="282">
        <f>IF(O32&lt;0,O32*-1,0)</f>
        <v>0</v>
      </c>
      <c r="S32" s="349">
        <f>S31-400</f>
        <v>2719.7399999999993</v>
      </c>
      <c r="T32" t="s">
        <v>1476</v>
      </c>
    </row>
    <row r="33" spans="2:20" ht="18" outlineLevel="1">
      <c r="B33" s="734"/>
      <c r="C33" s="760"/>
      <c r="D33" s="13" t="s">
        <v>922</v>
      </c>
      <c r="E33" s="365">
        <v>0</v>
      </c>
      <c r="F33" s="365">
        <f>(D31-SUM(F32:F32))-F34</f>
        <v>649.65000000000134</v>
      </c>
      <c r="G33" s="11"/>
      <c r="H33">
        <f>40+23.48+69+15.34+1+4+4+2.2+3.19-10.01+17+4.7+5.2+1.55+30+25.74+15.54+8.15+42.87</f>
        <v>302.95</v>
      </c>
      <c r="J33" s="305">
        <f>14+8.5</f>
        <v>22.5</v>
      </c>
      <c r="K33">
        <f>10</f>
        <v>10</v>
      </c>
      <c r="L33">
        <f>35+16-15.57+13+84+3.09+33.07+17.24+5.5+10.88+4.25+19.47+11.6+2.6+10.4+20</f>
        <v>270.52999999999997</v>
      </c>
      <c r="M33">
        <f>1.1+3.99</f>
        <v>5.09</v>
      </c>
      <c r="N33" s="305"/>
      <c r="O33" s="274">
        <f>SUM(E33:F33)-SUM(G33:N33)</f>
        <v>38.580000000001291</v>
      </c>
      <c r="P33" s="274" t="str">
        <f t="shared" si="8"/>
        <v>Matt Fun</v>
      </c>
      <c r="Q33" s="282">
        <f>IF(SUM(E33:F33)-SUM(G33:N33)&lt;=0,(SUM(E33:F33)-SUM(G33:N33))*-1,0)</f>
        <v>0</v>
      </c>
      <c r="S33" s="349">
        <f>S32-40</f>
        <v>2679.7399999999993</v>
      </c>
      <c r="T33" t="s">
        <v>1475</v>
      </c>
    </row>
    <row r="34" spans="2:20" ht="18" outlineLevel="1">
      <c r="B34" s="7"/>
      <c r="C34" s="284"/>
      <c r="D34" s="13" t="s">
        <v>152</v>
      </c>
      <c r="E34" s="365">
        <v>0</v>
      </c>
      <c r="F34" s="365">
        <f>200+138.86+70+50+85+25-67.01+20+45+148.5+93-20</f>
        <v>788.35</v>
      </c>
      <c r="G34" s="11"/>
      <c r="H34" s="306">
        <f>42.99+14.66-0.04+72+49.99+55-42-27</f>
        <v>165.60000000000002</v>
      </c>
      <c r="J34" s="305"/>
      <c r="L34" s="305">
        <f>23.55+24.3+21.42+(8.23*3)+10.6+4.22+47.33+17.55+107.59+30+25+45+38+55+148.5</f>
        <v>622.75</v>
      </c>
      <c r="N34" s="305"/>
      <c r="O34" s="274">
        <f>SUM(E34:F34)-SUM(G34:N34)</f>
        <v>0</v>
      </c>
      <c r="P34" s="274" t="str">
        <f t="shared" si="8"/>
        <v>Kris</v>
      </c>
      <c r="Q34" s="271">
        <f>IF(F34-SUM(G34:N34)&lt;=0,(F34-SUM(G34:N34))*-1,0)</f>
        <v>0</v>
      </c>
      <c r="S34" s="349">
        <f>S33-200</f>
        <v>2479.7399999999993</v>
      </c>
      <c r="T34" t="s">
        <v>1474</v>
      </c>
    </row>
    <row r="35" spans="2:20">
      <c r="B35" s="118"/>
      <c r="C35" s="118"/>
      <c r="E35" s="365">
        <f>264.35</f>
        <v>264.35000000000002</v>
      </c>
      <c r="F35" s="365"/>
      <c r="G35" s="349"/>
      <c r="H35" t="s">
        <v>986</v>
      </c>
      <c r="J35" s="7" t="s">
        <v>986</v>
      </c>
      <c r="L35" s="7" t="s">
        <v>986</v>
      </c>
      <c r="N35" s="7"/>
      <c r="O35" s="273"/>
      <c r="P35" s="273"/>
      <c r="Q35" s="282"/>
      <c r="S35" s="349">
        <f>S34-50</f>
        <v>2429.7399999999993</v>
      </c>
      <c r="T35" t="s">
        <v>1479</v>
      </c>
    </row>
    <row r="36" spans="2:20" ht="18">
      <c r="B36" s="728" t="s">
        <v>817</v>
      </c>
      <c r="C36" s="728"/>
      <c r="D36" s="728"/>
      <c r="E36" s="375">
        <f>G36+I36+K36+M36+N36+E35</f>
        <v>6645.0500000000011</v>
      </c>
      <c r="F36" s="379"/>
      <c r="G36" s="271">
        <f>3258.03+850+1000+200</f>
        <v>5308.0300000000007</v>
      </c>
      <c r="H36" s="282"/>
      <c r="I36" s="271"/>
      <c r="J36" s="271"/>
      <c r="K36" s="271">
        <f>20+70+50+85</f>
        <v>225</v>
      </c>
      <c r="L36" s="271"/>
      <c r="M36" s="271">
        <f>25+288.17+20+45+148.5+93+228</f>
        <v>847.67000000000007</v>
      </c>
      <c r="N36" s="271"/>
      <c r="O36" s="314" t="str">
        <f>"£" &amp; ROUND(O5+O31+O23+IF(O33&lt;0,0,O33)+O34+O4,2) &amp; " / " &amp; "£" &amp; E36</f>
        <v>£639.36 / £6645.05</v>
      </c>
      <c r="P36" s="274"/>
      <c r="Q36" s="282">
        <f>SUM(Q31,Q23,Q5)</f>
        <v>19.130000000000038</v>
      </c>
      <c r="S36" s="349">
        <f>S35-450</f>
        <v>1979.7399999999993</v>
      </c>
      <c r="T36" t="s">
        <v>1271</v>
      </c>
    </row>
    <row r="37" spans="2:20" ht="18">
      <c r="B37" s="118"/>
      <c r="C37" s="7"/>
      <c r="D37" s="13" t="s">
        <v>1451</v>
      </c>
      <c r="E37" s="365"/>
      <c r="F37" s="365"/>
      <c r="G37" s="384"/>
      <c r="H37" s="243"/>
      <c r="L37" s="243">
        <f>SUM(L39:L49)+L4</f>
        <v>2239.9899999999998</v>
      </c>
      <c r="S37" s="349">
        <f>S36-200</f>
        <v>1779.7399999999993</v>
      </c>
      <c r="T37" t="s">
        <v>1480</v>
      </c>
    </row>
    <row r="38" spans="2:20" ht="14.4">
      <c r="B38" s="729"/>
      <c r="C38" s="729"/>
      <c r="D38" s="729"/>
      <c r="E38" s="729"/>
      <c r="F38" s="729"/>
      <c r="G38" s="729"/>
      <c r="H38" s="297"/>
      <c r="K38" s="729"/>
      <c r="L38" s="729"/>
      <c r="M38" s="729"/>
      <c r="N38" s="729"/>
      <c r="O38" s="729"/>
      <c r="P38" s="297"/>
    </row>
    <row r="39" spans="2:20" ht="15" customHeight="1">
      <c r="B39" s="726" t="s">
        <v>955</v>
      </c>
      <c r="C39" s="726"/>
      <c r="D39" s="726"/>
      <c r="E39" s="726"/>
      <c r="F39" s="348"/>
      <c r="K39" s="212" t="s">
        <v>1463</v>
      </c>
      <c r="L39" s="212">
        <v>25</v>
      </c>
      <c r="N39" s="118" t="s">
        <v>1464</v>
      </c>
      <c r="O39" s="316">
        <v>45222</v>
      </c>
      <c r="P39" s="7">
        <f ca="1">DATEDIF(O39,NOW(),"d")</f>
        <v>1029</v>
      </c>
      <c r="Q39">
        <v>24</v>
      </c>
      <c r="R39" t="s">
        <v>1196</v>
      </c>
    </row>
    <row r="40" spans="2:20">
      <c r="B40" s="365"/>
      <c r="C40" s="38"/>
      <c r="D40" s="212"/>
      <c r="E40" s="310"/>
      <c r="F40" s="11"/>
      <c r="G40" s="367"/>
      <c r="I40" s="243"/>
      <c r="K40" s="11" t="s">
        <v>1468</v>
      </c>
      <c r="L40">
        <v>110</v>
      </c>
      <c r="N40" s="322" t="s">
        <v>1465</v>
      </c>
      <c r="O40" s="42">
        <v>45222</v>
      </c>
      <c r="P40" s="7">
        <f ca="1">DATEDIF(O40,NOW(),"d")</f>
        <v>1029</v>
      </c>
      <c r="Q40">
        <v>42</v>
      </c>
      <c r="R40" t="s">
        <v>1317</v>
      </c>
    </row>
    <row r="41" spans="2:20">
      <c r="E41" s="409"/>
      <c r="F41" s="365"/>
      <c r="G41" s="445"/>
      <c r="J41" s="243"/>
      <c r="K41" t="s">
        <v>1469</v>
      </c>
      <c r="L41" s="243">
        <v>5</v>
      </c>
      <c r="N41" t="s">
        <v>1473</v>
      </c>
      <c r="O41" s="316">
        <v>45214</v>
      </c>
      <c r="P41" s="7">
        <f ca="1">DATEDIF(O41,NOW(),"d")</f>
        <v>1037</v>
      </c>
      <c r="Q41">
        <v>41.52</v>
      </c>
      <c r="R41" t="s">
        <v>1462</v>
      </c>
    </row>
    <row r="42" spans="2:20" ht="16.2" customHeight="1">
      <c r="E42" s="384"/>
      <c r="H42" s="243"/>
      <c r="I42" s="243"/>
      <c r="J42" s="213"/>
      <c r="K42" s="213" t="s">
        <v>1470</v>
      </c>
      <c r="L42" s="243">
        <v>30.16</v>
      </c>
      <c r="N42" t="s">
        <v>1457</v>
      </c>
      <c r="O42" s="316">
        <v>45214</v>
      </c>
      <c r="P42" s="7">
        <f ca="1">DATEDIF(O42,NOW(),"d")</f>
        <v>1037</v>
      </c>
    </row>
    <row r="43" spans="2:20">
      <c r="B43" s="378"/>
      <c r="E43" s="79"/>
      <c r="F43" s="278"/>
      <c r="G43" s="243"/>
      <c r="J43" s="243"/>
      <c r="K43" t="s">
        <v>1471</v>
      </c>
      <c r="L43" s="243">
        <v>8.5</v>
      </c>
      <c r="P43" s="56"/>
    </row>
    <row r="44" spans="2:20" ht="14.4">
      <c r="E44" s="409"/>
      <c r="F44" s="361"/>
      <c r="J44" s="243"/>
      <c r="K44" s="369" t="s">
        <v>1469</v>
      </c>
      <c r="L44" s="243">
        <v>6</v>
      </c>
      <c r="N44">
        <f>4080.11-4262.68</f>
        <v>-182.57000000000016</v>
      </c>
      <c r="P44"/>
    </row>
    <row r="45" spans="2:20" ht="14.4">
      <c r="E45" s="412"/>
      <c r="F45" s="361"/>
      <c r="G45" s="243"/>
      <c r="J45" s="243"/>
      <c r="K45" s="369" t="s">
        <v>1469</v>
      </c>
      <c r="L45" s="243">
        <v>4</v>
      </c>
      <c r="M45" s="243"/>
      <c r="P45" s="212"/>
      <c r="Q45" s="212"/>
    </row>
    <row r="46" spans="2:20" ht="15" customHeight="1">
      <c r="E46" s="412"/>
      <c r="F46" s="361"/>
      <c r="G46" s="243"/>
      <c r="K46" s="353" t="s">
        <v>1472</v>
      </c>
      <c r="L46" s="243">
        <v>17.989999999999998</v>
      </c>
      <c r="M46" s="243"/>
      <c r="O46" s="7" t="s">
        <v>1481</v>
      </c>
      <c r="P46" s="243">
        <f>E26+182.57+400+40+200+50+200+1800+1000</f>
        <v>5738.26</v>
      </c>
      <c r="Q46" s="38">
        <f>P46+S26</f>
        <v>10713.26</v>
      </c>
      <c r="R46" s="243">
        <f>R26-Q46</f>
        <v>786.73999999999978</v>
      </c>
    </row>
    <row r="47" spans="2:20" ht="14.4">
      <c r="E47" s="412"/>
      <c r="F47" s="360"/>
      <c r="K47" t="s">
        <v>1441</v>
      </c>
      <c r="L47">
        <f>13.5+10.09</f>
        <v>23.59</v>
      </c>
      <c r="O47" t="s">
        <v>1482</v>
      </c>
      <c r="P47">
        <f>P46/468.84</f>
        <v>12.239271393225835</v>
      </c>
      <c r="R47">
        <f>R46/P47</f>
        <v>64.279970165172003</v>
      </c>
    </row>
    <row r="48" spans="2:20" ht="15" customHeight="1">
      <c r="E48" s="413"/>
      <c r="F48" s="360"/>
      <c r="H48" s="243"/>
      <c r="K48" t="s">
        <v>1466</v>
      </c>
      <c r="L48" s="243">
        <v>14.1</v>
      </c>
      <c r="O48"/>
      <c r="P48"/>
    </row>
    <row r="49" spans="2:16">
      <c r="E49" s="778"/>
      <c r="F49" s="778"/>
      <c r="H49" s="243"/>
      <c r="K49" t="s">
        <v>1467</v>
      </c>
      <c r="L49" s="243">
        <v>28</v>
      </c>
      <c r="O49"/>
      <c r="P49"/>
    </row>
    <row r="50" spans="2:16">
      <c r="B50" s="11"/>
      <c r="E50" s="405"/>
      <c r="G50" t="s">
        <v>1460</v>
      </c>
      <c r="H50" t="s">
        <v>1461</v>
      </c>
      <c r="I50" s="407"/>
      <c r="O50"/>
      <c r="P50"/>
    </row>
    <row r="51" spans="2:16" ht="14.4">
      <c r="B51" s="11"/>
      <c r="E51" s="734" t="s">
        <v>1459</v>
      </c>
      <c r="F51" s="734"/>
      <c r="G51" s="441">
        <f ca="1">(DATEDIF("20/8/2023",NOW(),"m")+1)*20</f>
        <v>720</v>
      </c>
      <c r="H51">
        <f>31306+886</f>
        <v>32192</v>
      </c>
      <c r="J51" s="79"/>
      <c r="O51"/>
      <c r="P51"/>
    </row>
    <row r="52" spans="2:16">
      <c r="E52" s="405">
        <v>10000</v>
      </c>
      <c r="F52" s="384">
        <f>E52-E53</f>
        <v>5207</v>
      </c>
      <c r="L52" s="243"/>
      <c r="M52" s="243"/>
      <c r="O52"/>
      <c r="P52"/>
    </row>
    <row r="53" spans="2:16">
      <c r="B53" s="212"/>
      <c r="C53" s="212"/>
      <c r="E53" s="405">
        <v>4793</v>
      </c>
      <c r="F53" s="384">
        <f>F52-2000</f>
        <v>3207</v>
      </c>
      <c r="O53"/>
      <c r="P53"/>
    </row>
    <row r="54" spans="2:16" ht="14.4">
      <c r="C54" s="56"/>
      <c r="D54" s="726"/>
      <c r="E54" s="726"/>
      <c r="F54" s="726"/>
      <c r="G54" s="726"/>
      <c r="O54"/>
      <c r="P54"/>
    </row>
    <row r="55" spans="2:16" ht="15.75" customHeight="1">
      <c r="C55" s="56"/>
      <c r="E55" s="726" t="s">
        <v>887</v>
      </c>
      <c r="F55" s="726"/>
      <c r="J55" s="243"/>
      <c r="M55" s="243"/>
      <c r="O55"/>
      <c r="P55"/>
    </row>
    <row r="56" spans="2:16" ht="14.4">
      <c r="C56" s="56"/>
      <c r="E56">
        <v>10000</v>
      </c>
      <c r="F56">
        <f>E56-E57-400</f>
        <v>300</v>
      </c>
      <c r="M56" s="243"/>
      <c r="O56"/>
      <c r="P56" s="771"/>
    </row>
    <row r="57" spans="2:16" ht="14.4">
      <c r="C57" s="56"/>
      <c r="D57" s="79"/>
      <c r="E57">
        <v>9300</v>
      </c>
      <c r="F57" s="79"/>
      <c r="O57"/>
      <c r="P57" s="771"/>
    </row>
    <row r="58" spans="2:16" ht="14.4">
      <c r="C58" s="56"/>
      <c r="E58"/>
      <c r="F58"/>
      <c r="I58" s="407"/>
      <c r="K58" s="243"/>
      <c r="O58"/>
      <c r="P58" s="771"/>
    </row>
    <row r="59" spans="2:16" ht="14.4">
      <c r="C59" s="56"/>
      <c r="E59" s="407"/>
      <c r="F59"/>
      <c r="G59" s="407"/>
      <c r="O59"/>
      <c r="P59" s="771"/>
    </row>
    <row r="60" spans="2:16" ht="14.4">
      <c r="C60" s="56"/>
      <c r="E60"/>
      <c r="F60"/>
      <c r="O60"/>
      <c r="P60"/>
    </row>
    <row r="61" spans="2:16">
      <c r="C61" s="56"/>
      <c r="E61" s="347"/>
      <c r="F61" s="778"/>
      <c r="G61" s="779"/>
      <c r="O61"/>
      <c r="P61"/>
    </row>
    <row r="62" spans="2:16" ht="14.4">
      <c r="C62" s="56"/>
      <c r="E62" s="332"/>
      <c r="F62"/>
      <c r="O62"/>
      <c r="P62" s="771"/>
    </row>
    <row r="63" spans="2:16" ht="14.4">
      <c r="C63" s="56"/>
      <c r="E63"/>
      <c r="F63"/>
      <c r="O63"/>
      <c r="P63" s="771"/>
    </row>
    <row r="64" spans="2:16">
      <c r="C64" s="56"/>
      <c r="F64" s="79"/>
      <c r="O64"/>
      <c r="P64" s="771"/>
    </row>
    <row r="65" spans="2:16" ht="14.4">
      <c r="E65"/>
      <c r="F65"/>
      <c r="O65"/>
      <c r="P65" s="771"/>
    </row>
    <row r="66" spans="2:16">
      <c r="B66" s="212"/>
      <c r="C66" s="294"/>
      <c r="E66" s="365"/>
      <c r="F66"/>
      <c r="G66" s="407"/>
      <c r="O66"/>
      <c r="P66"/>
    </row>
    <row r="67" spans="2:16">
      <c r="C67" s="56"/>
      <c r="D67" s="56"/>
      <c r="E67" s="56"/>
      <c r="O67"/>
      <c r="P67"/>
    </row>
    <row r="68" spans="2:16" ht="14.4">
      <c r="C68" s="56"/>
      <c r="D68" s="56"/>
      <c r="E68" s="56"/>
      <c r="F68" s="56"/>
      <c r="O68"/>
      <c r="P68" s="771"/>
    </row>
    <row r="69" spans="2:16" ht="14.4">
      <c r="C69" s="56"/>
      <c r="D69" s="56"/>
      <c r="E69" s="56"/>
      <c r="F69" s="56"/>
      <c r="O69"/>
      <c r="P69" s="771"/>
    </row>
    <row r="70" spans="2:16" ht="14.4">
      <c r="C70" s="56"/>
      <c r="D70" s="56"/>
      <c r="E70" s="56"/>
      <c r="F70"/>
      <c r="O70"/>
      <c r="P70" s="771"/>
    </row>
    <row r="71" spans="2:16" ht="14.4">
      <c r="C71" s="56"/>
      <c r="D71" s="56"/>
      <c r="E71" s="56"/>
      <c r="F71" s="332"/>
      <c r="O71"/>
      <c r="P71" s="771"/>
    </row>
    <row r="72" spans="2:16" ht="14.4">
      <c r="C72" s="56"/>
      <c r="E72" s="56"/>
      <c r="F72"/>
      <c r="O72"/>
      <c r="P72"/>
    </row>
    <row r="73" spans="2:16">
      <c r="F73"/>
      <c r="O73"/>
      <c r="P73"/>
    </row>
    <row r="74" spans="2:16">
      <c r="E74" s="212"/>
      <c r="F74" s="365"/>
      <c r="O74"/>
      <c r="P74" s="771"/>
    </row>
    <row r="75" spans="2:16" ht="14.4">
      <c r="E75" s="56"/>
      <c r="F75" s="212"/>
      <c r="O75"/>
      <c r="P75" s="771"/>
    </row>
    <row r="76" spans="2:16" ht="14.4">
      <c r="E76" s="56"/>
      <c r="F76" s="56"/>
      <c r="O76"/>
      <c r="P76" s="771"/>
    </row>
    <row r="77" spans="2:16" ht="14.4">
      <c r="E77" s="56"/>
      <c r="F77" s="56"/>
      <c r="O77"/>
      <c r="P77" s="771"/>
    </row>
    <row r="78" spans="2:16" ht="14.4">
      <c r="E78" s="56"/>
      <c r="F78" s="56"/>
      <c r="O78"/>
      <c r="P78"/>
    </row>
    <row r="79" spans="2:16" ht="14.4">
      <c r="E79" s="56"/>
      <c r="F79" s="56"/>
      <c r="O79"/>
      <c r="P79"/>
    </row>
    <row r="80" spans="2:16" ht="14.4">
      <c r="E80" s="56"/>
      <c r="F80" s="56"/>
      <c r="O80"/>
      <c r="P80" s="771"/>
    </row>
    <row r="81" spans="5:16">
      <c r="O81"/>
      <c r="P81" s="771"/>
    </row>
    <row r="82" spans="5:16" ht="14.4">
      <c r="E82" s="212"/>
      <c r="F82" s="212"/>
      <c r="O82"/>
      <c r="P82" s="771"/>
    </row>
    <row r="83" spans="5:16" ht="14.4">
      <c r="E83" s="56"/>
      <c r="F83" s="56"/>
      <c r="O83"/>
      <c r="P83" s="771"/>
    </row>
    <row r="84" spans="5:16" ht="14.4">
      <c r="E84" s="56"/>
      <c r="F84" s="56"/>
      <c r="O84"/>
      <c r="P84"/>
    </row>
    <row r="85" spans="5:16" ht="14.4">
      <c r="E85" s="56"/>
      <c r="F85" s="56"/>
      <c r="G85" s="407"/>
      <c r="O85"/>
      <c r="P85"/>
    </row>
    <row r="86" spans="5:16" ht="14.4">
      <c r="E86" s="56"/>
      <c r="F86" s="56"/>
      <c r="G86" s="407"/>
      <c r="O86"/>
      <c r="P86" s="771"/>
    </row>
    <row r="87" spans="5:16" ht="14.4">
      <c r="E87" s="56"/>
      <c r="F87" s="56"/>
      <c r="G87" s="407"/>
      <c r="O87"/>
      <c r="P87" s="771"/>
    </row>
    <row r="88" spans="5:16" ht="14.4">
      <c r="E88" s="56"/>
      <c r="F88" s="56"/>
      <c r="G88" s="407"/>
      <c r="O88"/>
      <c r="P88" s="771"/>
    </row>
    <row r="89" spans="5:16">
      <c r="E89" s="365"/>
      <c r="F89" s="365"/>
      <c r="G89" s="407"/>
      <c r="O89"/>
      <c r="P89" s="771"/>
    </row>
    <row r="90" spans="5:16">
      <c r="G90" s="407"/>
      <c r="O90"/>
      <c r="P90"/>
    </row>
    <row r="91" spans="5:16">
      <c r="G91" s="407"/>
      <c r="O91"/>
      <c r="P91"/>
    </row>
    <row r="92" spans="5:16">
      <c r="G92" s="407"/>
    </row>
    <row r="96" spans="5:16">
      <c r="F96" s="384"/>
    </row>
    <row r="97" spans="6:6">
      <c r="F97" s="384"/>
    </row>
  </sheetData>
  <mergeCells count="35">
    <mergeCell ref="E55:F55"/>
    <mergeCell ref="P86:P89"/>
    <mergeCell ref="P56:P59"/>
    <mergeCell ref="F61:G61"/>
    <mergeCell ref="P62:P65"/>
    <mergeCell ref="P68:P71"/>
    <mergeCell ref="P74:P77"/>
    <mergeCell ref="P80:P83"/>
    <mergeCell ref="B38:G38"/>
    <mergeCell ref="K38:O38"/>
    <mergeCell ref="B39:C39"/>
    <mergeCell ref="D39:E39"/>
    <mergeCell ref="D54:E54"/>
    <mergeCell ref="F54:G54"/>
    <mergeCell ref="E49:F49"/>
    <mergeCell ref="E51:F51"/>
    <mergeCell ref="B36:D36"/>
    <mergeCell ref="B5:C5"/>
    <mergeCell ref="D5:E5"/>
    <mergeCell ref="B6:B20"/>
    <mergeCell ref="C6:C20"/>
    <mergeCell ref="B22:E22"/>
    <mergeCell ref="B23:C23"/>
    <mergeCell ref="D23:E23"/>
    <mergeCell ref="B30:E30"/>
    <mergeCell ref="B31:C31"/>
    <mergeCell ref="D31:E31"/>
    <mergeCell ref="B32:B33"/>
    <mergeCell ref="C32:C33"/>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EF1F-A8FF-D442-93CB-01EDBAC6E30E}">
  <dimension ref="A1:T100"/>
  <sheetViews>
    <sheetView topLeftCell="H28" zoomScale="80" zoomScaleNormal="80" workbookViewId="0">
      <selection activeCell="K59" sqref="K59"/>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SEP-OCT V 23</v>
      </c>
      <c r="B1" s="730" t="str">
        <f ca="1">MID(CELL("filename",B1),FIND("]",CELL("filename",B1))+1,255)</f>
        <v>OCT-NOV 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ROUND(O5+O34+O23+IF(O36&lt;0,0,O36)+O37+O4,2) &amp; " / " &amp; "£" &amp; E39</f>
        <v>£1449.1 / £5747.26</v>
      </c>
      <c r="E3" s="365"/>
      <c r="F3" s="365"/>
      <c r="G3" s="732">
        <v>45224</v>
      </c>
      <c r="H3" s="732"/>
      <c r="I3" s="732">
        <f>G3+7</f>
        <v>45231</v>
      </c>
      <c r="J3" s="732"/>
      <c r="K3" s="732">
        <f>I3+7</f>
        <v>45238</v>
      </c>
      <c r="L3" s="732"/>
      <c r="M3" s="732">
        <f>K3+7</f>
        <v>45245</v>
      </c>
      <c r="N3" s="732"/>
      <c r="O3" s="308">
        <v>0</v>
      </c>
      <c r="P3" s="325" t="s">
        <v>1224</v>
      </c>
      <c r="Q3" s="282"/>
    </row>
    <row r="4" spans="1:20" ht="15" customHeight="1">
      <c r="B4" s="727" t="str">
        <f>_xlfn.CONCAT("Expenses - 50 - ",G39*0.5," / Actual = ",ROUND(D5,2)," (",ROUND((D5/G39)*100,2),")")</f>
        <v>Expenses - 50 - 2609.63 / Actual = 2409.88 (46.17)</v>
      </c>
      <c r="C4" s="727"/>
      <c r="D4" s="727"/>
      <c r="E4" s="727"/>
      <c r="F4" s="318"/>
      <c r="G4" s="243"/>
      <c r="H4" s="304">
        <f>SUM(H5:H37)</f>
        <v>66.599999999999994</v>
      </c>
      <c r="I4" s="243"/>
      <c r="J4" s="304">
        <f>SUM(J5:J37)</f>
        <v>0</v>
      </c>
      <c r="K4" s="243"/>
      <c r="L4" s="304">
        <f>SUM(L5:L37)</f>
        <v>1884.0600000000002</v>
      </c>
      <c r="M4" s="243"/>
      <c r="N4" s="304">
        <f>SUM(N5:N37)-SUM(N26:N31)</f>
        <v>0</v>
      </c>
      <c r="O4" s="308">
        <f>IF(H38&lt;&gt;"PAID",H4,0)+IF(J38&lt;&gt;"PAID",J4,0)+IF(L38&lt;&gt;"PAID",L4,0)+IF(N38&lt;&gt;"PAID",N4,0)</f>
        <v>0</v>
      </c>
      <c r="P4" s="309" t="s">
        <v>973</v>
      </c>
      <c r="Q4" s="408">
        <f>O4+402.34</f>
        <v>402.34</v>
      </c>
      <c r="R4" s="243"/>
      <c r="S4" s="243"/>
    </row>
    <row r="5" spans="1:20" ht="15" customHeight="1">
      <c r="B5" s="733" t="str">
        <f>IF(D5&gt;E$39*0.5,ROUND(D5-E$39*0.5,2) &amp; " Over",ROUND(E$39*0.5-D5,2) &amp; " Under")</f>
        <v>463.75 Under</v>
      </c>
      <c r="C5" s="733"/>
      <c r="D5" s="761">
        <f>ROUND(SUM(F6:F20),2)</f>
        <v>2409.88</v>
      </c>
      <c r="E5" s="761"/>
      <c r="F5" s="321"/>
      <c r="G5" s="284"/>
      <c r="H5" s="306"/>
      <c r="I5" s="79"/>
      <c r="J5" s="306"/>
      <c r="K5" s="79"/>
      <c r="L5" s="306"/>
      <c r="M5" s="79"/>
      <c r="N5" s="305"/>
      <c r="O5" s="285">
        <f>SUMIF(O6:O20,"&gt;0")</f>
        <v>49.1</v>
      </c>
      <c r="P5" s="285" t="s">
        <v>892</v>
      </c>
      <c r="Q5" s="282">
        <f>SUM(Q6:Q20)</f>
        <v>28.410000000000082</v>
      </c>
      <c r="R5" s="243"/>
    </row>
    <row r="6" spans="1:20" ht="15" customHeight="1">
      <c r="B6" s="734" t="str">
        <f>"50%: " &amp; E$39*0.5</f>
        <v>50%: 2873.63</v>
      </c>
      <c r="C6" s="734" t="str">
        <f>ROUND((D5/E$39)*100,2) &amp; "%: " &amp;D5</f>
        <v>41.93%: 2409.88</v>
      </c>
      <c r="D6" s="13" t="s">
        <v>805</v>
      </c>
      <c r="E6" s="365">
        <v>0</v>
      </c>
      <c r="F6" s="374">
        <v>150</v>
      </c>
      <c r="H6" s="304"/>
      <c r="J6" s="305"/>
      <c r="L6" s="305">
        <f>32.41+21.1+18.53+31.81+25.06+31.41</f>
        <v>160.32</v>
      </c>
      <c r="N6" s="305"/>
      <c r="O6" s="274">
        <f>SUM(E6:F6)-SUM(G6:N6)</f>
        <v>-10.319999999999993</v>
      </c>
      <c r="P6" s="274" t="str">
        <f t="shared" ref="P6:P20" si="0">D6</f>
        <v>Car Petrol / commuting</v>
      </c>
      <c r="Q6" s="282">
        <f t="shared" ref="Q6:Q20" si="1">IF(O6&lt;0,O6*-1,0)</f>
        <v>10.319999999999993</v>
      </c>
      <c r="R6" s="243"/>
    </row>
    <row r="7" spans="1:20" ht="15" customHeight="1">
      <c r="B7" s="734"/>
      <c r="C7" s="734"/>
      <c r="D7" s="13" t="s">
        <v>169</v>
      </c>
      <c r="E7" s="365">
        <v>0</v>
      </c>
      <c r="F7" s="365">
        <f>400</f>
        <v>400</v>
      </c>
      <c r="H7" s="304"/>
      <c r="J7" s="305"/>
      <c r="L7" s="305">
        <f>(62.83+4.7+27.81+2.3+2.36)+(27.31+19.41+40.16+15.55+6.47)+(5.68+2.8+3.38+6.6+4.55+22.53)+3.35+37.61+57.06+15.17+25.78+10.75+7.85+3.45</f>
        <v>415.46000000000009</v>
      </c>
      <c r="N7" s="305"/>
      <c r="O7" s="274">
        <f>SUM(E7:F7)-SUM(G7:N7)</f>
        <v>-15.460000000000093</v>
      </c>
      <c r="P7" s="274" t="str">
        <f t="shared" si="0"/>
        <v>Food</v>
      </c>
      <c r="Q7" s="282">
        <f t="shared" si="1"/>
        <v>15.460000000000093</v>
      </c>
      <c r="R7" s="243"/>
    </row>
    <row r="8" spans="1:20" ht="15" customHeight="1">
      <c r="B8" s="734"/>
      <c r="C8" s="734"/>
      <c r="D8" s="13" t="s">
        <v>153</v>
      </c>
      <c r="E8" s="365">
        <v>0</v>
      </c>
      <c r="F8" s="365">
        <f>100</f>
        <v>100</v>
      </c>
      <c r="H8" s="305"/>
      <c r="J8" s="305"/>
      <c r="L8" s="305">
        <f>(32.05-13)+13.98+14.17+14.91</f>
        <v>62.11</v>
      </c>
      <c r="N8" s="305"/>
      <c r="O8" s="274">
        <f>SUM(E8:F8)-SUM(G8:N8)</f>
        <v>37.89</v>
      </c>
      <c r="P8" s="274" t="str">
        <f t="shared" si="0"/>
        <v>Luna</v>
      </c>
      <c r="Q8" s="282">
        <f t="shared" si="1"/>
        <v>0</v>
      </c>
    </row>
    <row r="9" spans="1:20" ht="15" customHeight="1">
      <c r="B9" s="734"/>
      <c r="C9" s="734"/>
      <c r="D9" s="13" t="s">
        <v>1079</v>
      </c>
      <c r="E9" s="365">
        <v>0</v>
      </c>
      <c r="F9" s="365">
        <f>40</f>
        <v>40</v>
      </c>
      <c r="H9" s="305">
        <v>15.79</v>
      </c>
      <c r="J9" s="305"/>
      <c r="L9" s="305">
        <v>13</v>
      </c>
      <c r="N9" s="305"/>
      <c r="O9" s="274">
        <f>SUM(E9:F9)-SUM(G9:N9)</f>
        <v>11.21</v>
      </c>
      <c r="P9" s="274" t="str">
        <f t="shared" si="0"/>
        <v>Creamy</v>
      </c>
      <c r="Q9" s="282">
        <f t="shared" si="1"/>
        <v>0</v>
      </c>
      <c r="R9" s="243"/>
    </row>
    <row r="10" spans="1:20" ht="15" customHeight="1" outlineLevel="1">
      <c r="B10" s="734"/>
      <c r="C10" s="734"/>
      <c r="D10" s="201" t="s">
        <v>595</v>
      </c>
      <c r="E10" s="365">
        <v>0</v>
      </c>
      <c r="F10" s="365">
        <v>835.29</v>
      </c>
      <c r="G10">
        <v>835.29</v>
      </c>
      <c r="H10" s="304"/>
      <c r="J10" s="305"/>
      <c r="L10" s="305"/>
      <c r="N10" s="305"/>
      <c r="O10" s="274">
        <f t="shared" ref="O10:O15" si="2">SUM(E10:F10)-SUM(G10:N10)</f>
        <v>0</v>
      </c>
      <c r="P10" s="274" t="str">
        <f t="shared" si="0"/>
        <v>Mortgage</v>
      </c>
      <c r="Q10" s="282">
        <f t="shared" si="1"/>
        <v>0</v>
      </c>
      <c r="R10" s="243"/>
    </row>
    <row r="11" spans="1:20" ht="15" customHeight="1" outlineLevel="1">
      <c r="B11" s="734"/>
      <c r="C11" s="734"/>
      <c r="D11" s="201" t="s">
        <v>596</v>
      </c>
      <c r="E11" s="365">
        <v>0</v>
      </c>
      <c r="F11" s="365">
        <v>147</v>
      </c>
      <c r="H11" s="305"/>
      <c r="J11" s="305"/>
      <c r="L11" s="305"/>
      <c r="M11">
        <v>147</v>
      </c>
      <c r="N11" s="305"/>
      <c r="O11" s="274">
        <f t="shared" si="2"/>
        <v>0</v>
      </c>
      <c r="P11" s="274" t="str">
        <f t="shared" si="0"/>
        <v>Council tax</v>
      </c>
      <c r="Q11" s="282">
        <f t="shared" si="1"/>
        <v>0</v>
      </c>
    </row>
    <row r="12" spans="1:20" ht="15" customHeight="1" outlineLevel="1">
      <c r="B12" s="734"/>
      <c r="C12" s="734"/>
      <c r="D12" s="201" t="s">
        <v>1002</v>
      </c>
      <c r="E12" s="365">
        <v>0</v>
      </c>
      <c r="F12" s="365">
        <f>24+90.73</f>
        <v>114.73</v>
      </c>
      <c r="G12">
        <f>90.73</f>
        <v>90.73</v>
      </c>
      <c r="H12" s="305"/>
      <c r="J12" s="305"/>
      <c r="L12" s="305"/>
      <c r="M12">
        <v>24</v>
      </c>
      <c r="N12" s="305"/>
      <c r="O12" s="274">
        <f>SUM(E12:F12)-SUM(G12:N12)</f>
        <v>0</v>
      </c>
      <c r="P12" s="274" t="str">
        <f t="shared" si="0"/>
        <v>Utilities (G,W,E,HTB)</v>
      </c>
      <c r="Q12" s="282">
        <f t="shared" si="1"/>
        <v>0</v>
      </c>
    </row>
    <row r="13" spans="1:20" ht="15" customHeight="1" outlineLevel="1">
      <c r="B13" s="734"/>
      <c r="C13" s="734"/>
      <c r="D13" s="201" t="s">
        <v>996</v>
      </c>
      <c r="E13" s="365">
        <v>0</v>
      </c>
      <c r="F13" s="365">
        <v>14</v>
      </c>
      <c r="G13">
        <v>14</v>
      </c>
      <c r="H13" s="305"/>
      <c r="J13" s="305"/>
      <c r="L13" s="305"/>
      <c r="N13" s="305"/>
      <c r="O13" s="274">
        <f>SUM(E13:F13)-SUM(G13:N13)</f>
        <v>0</v>
      </c>
      <c r="P13" s="274" t="str">
        <f t="shared" si="0"/>
        <v>Home Insurance</v>
      </c>
      <c r="Q13" s="282">
        <f t="shared" si="1"/>
        <v>0</v>
      </c>
    </row>
    <row r="14" spans="1:20" ht="15" customHeight="1" outlineLevel="1">
      <c r="B14" s="734"/>
      <c r="C14" s="734"/>
      <c r="D14" s="201" t="s">
        <v>1056</v>
      </c>
      <c r="E14" s="365">
        <v>0</v>
      </c>
      <c r="F14" s="365">
        <f>8+17.2+17.99</f>
        <v>43.19</v>
      </c>
      <c r="G14">
        <f>17.2+17.99</f>
        <v>35.19</v>
      </c>
      <c r="H14" s="305"/>
      <c r="J14" s="305"/>
      <c r="L14" s="305"/>
      <c r="M14">
        <v>8</v>
      </c>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4.52+15.97+30.8+1</f>
        <v>52.290000000000006</v>
      </c>
      <c r="G15">
        <f>21.49+30.8</f>
        <v>52.29</v>
      </c>
      <c r="H15" s="305"/>
      <c r="I15" s="11"/>
      <c r="J15" s="305"/>
      <c r="L15" s="305"/>
      <c r="N15" s="305"/>
      <c r="O15" s="274">
        <f t="shared" si="2"/>
        <v>0</v>
      </c>
      <c r="P15" s="274" t="str">
        <f t="shared" si="0"/>
        <v>Life / Income Insurance</v>
      </c>
      <c r="Q15" s="282">
        <f t="shared" si="1"/>
        <v>0</v>
      </c>
    </row>
    <row r="16" spans="1:20" ht="15" customHeight="1" outlineLevel="1">
      <c r="B16" s="734"/>
      <c r="C16" s="734"/>
      <c r="D16" s="201" t="s">
        <v>602</v>
      </c>
      <c r="E16" s="365">
        <v>0</v>
      </c>
      <c r="F16" s="365">
        <v>28.6</v>
      </c>
      <c r="G16">
        <v>28.6</v>
      </c>
      <c r="H16" s="305"/>
      <c r="J16" s="305"/>
      <c r="L16" s="305"/>
      <c r="N16" s="305"/>
      <c r="O16" s="274">
        <f t="shared" ref="O16:O20" si="3">SUM(E16:F16)-SUM(G16:N16)</f>
        <v>0</v>
      </c>
      <c r="P16" s="274" t="str">
        <f t="shared" si="0"/>
        <v>Broadband / TV</v>
      </c>
      <c r="Q16" s="282">
        <f t="shared" si="1"/>
        <v>0</v>
      </c>
    </row>
    <row r="17" spans="2:20" ht="15" customHeight="1" outlineLevel="1">
      <c r="B17" s="734"/>
      <c r="C17" s="734"/>
      <c r="D17" s="201" t="s">
        <v>582</v>
      </c>
      <c r="E17" s="365">
        <v>0</v>
      </c>
      <c r="F17" s="365">
        <v>7.99</v>
      </c>
      <c r="G17">
        <f>7.99</f>
        <v>7.99</v>
      </c>
      <c r="H17" s="305"/>
      <c r="J17" s="305"/>
      <c r="L17" s="305"/>
      <c r="N17" s="305"/>
      <c r="O17" s="274">
        <f t="shared" si="3"/>
        <v>0</v>
      </c>
      <c r="P17" s="274" t="str">
        <f t="shared" si="0"/>
        <v>Onedrive (6th)</v>
      </c>
      <c r="Q17" s="282">
        <f t="shared" si="1"/>
        <v>0</v>
      </c>
    </row>
    <row r="18" spans="2:20" ht="15" customHeight="1" outlineLevel="1">
      <c r="B18" s="734"/>
      <c r="C18" s="734"/>
      <c r="D18" s="201" t="s">
        <v>788</v>
      </c>
      <c r="E18" s="365">
        <v>0</v>
      </c>
      <c r="F18" s="365">
        <v>13.2</v>
      </c>
      <c r="G18">
        <v>13.2</v>
      </c>
      <c r="H18" s="305"/>
      <c r="J18" s="305"/>
      <c r="L18" s="305"/>
      <c r="N18" s="305"/>
      <c r="O18" s="274">
        <f t="shared" si="3"/>
        <v>0</v>
      </c>
      <c r="P18" s="274" t="str">
        <f t="shared" si="0"/>
        <v>Matt Phone</v>
      </c>
      <c r="Q18" s="282">
        <f t="shared" si="1"/>
        <v>0</v>
      </c>
    </row>
    <row r="19" spans="2:20" ht="15" customHeight="1" outlineLevel="1">
      <c r="B19" s="734"/>
      <c r="C19" s="734"/>
      <c r="D19" s="201" t="s">
        <v>690</v>
      </c>
      <c r="E19" s="365">
        <v>0</v>
      </c>
      <c r="F19" s="365">
        <f>11.81+14.43+270.97+46.72+89.66</f>
        <v>433.59000000000003</v>
      </c>
      <c r="G19">
        <f>13.12+15.75+89.66+46.72</f>
        <v>165.25</v>
      </c>
      <c r="H19" s="305"/>
      <c r="J19" s="305"/>
      <c r="L19" s="305"/>
      <c r="M19">
        <v>270.97000000000003</v>
      </c>
      <c r="N19" s="305"/>
      <c r="O19" s="274">
        <f t="shared" si="3"/>
        <v>-2.6299999999999955</v>
      </c>
      <c r="P19" s="274" t="str">
        <f t="shared" si="0"/>
        <v>Cars</v>
      </c>
      <c r="Q19" s="282">
        <f t="shared" si="1"/>
        <v>2.6299999999999955</v>
      </c>
    </row>
    <row r="20" spans="2:20" ht="15" customHeight="1" outlineLevel="1">
      <c r="B20" s="734"/>
      <c r="C20" s="734"/>
      <c r="D20" s="201" t="s">
        <v>944</v>
      </c>
      <c r="E20" s="365">
        <v>0</v>
      </c>
      <c r="F20" s="365">
        <v>30</v>
      </c>
      <c r="G20">
        <f>15+15</f>
        <v>30</v>
      </c>
      <c r="H20" s="305"/>
      <c r="J20" s="305"/>
      <c r="L20" s="305"/>
      <c r="N20" s="305"/>
      <c r="O20" s="274">
        <f t="shared" si="3"/>
        <v>0</v>
      </c>
      <c r="P20" s="274" t="str">
        <f t="shared" si="0"/>
        <v>Windows</v>
      </c>
      <c r="Q20" s="282">
        <f t="shared" si="1"/>
        <v>0</v>
      </c>
      <c r="R20" s="243"/>
    </row>
    <row r="21" spans="2:20" ht="15" customHeight="1">
      <c r="B21" s="118"/>
      <c r="C21" s="118"/>
      <c r="D21" s="188"/>
      <c r="E21" s="365"/>
      <c r="F21" s="365"/>
      <c r="H21" s="305"/>
      <c r="J21" s="305"/>
      <c r="L21" s="305"/>
      <c r="N21" s="305"/>
      <c r="O21" s="273"/>
      <c r="P21" s="273"/>
      <c r="Q21" s="282"/>
    </row>
    <row r="22" spans="2:20" ht="15" customHeight="1">
      <c r="B22" s="736" t="str">
        <f>_xlfn.CONCAT("Savings - 20 - ",G39*0.2," / Actual = ",D23," (",ROUND((D23/G39)*100,2),")")</f>
        <v>Savings - 20 - 1043.852 / Actual = 2297.64 (44.02)</v>
      </c>
      <c r="C22" s="736"/>
      <c r="D22" s="736"/>
      <c r="E22" s="736"/>
      <c r="F22" s="320"/>
      <c r="H22" s="305"/>
      <c r="J22" s="305"/>
      <c r="L22" s="305"/>
      <c r="N22" s="305"/>
      <c r="O22" s="274"/>
      <c r="P22" s="274"/>
      <c r="Q22" s="282"/>
    </row>
    <row r="23" spans="2:20" ht="15" customHeight="1">
      <c r="B23" s="727" t="str">
        <f>IF(ISNUMBER((SEARCH("Over",C$5))),"Operating under budget","Operating over budget")</f>
        <v>Operating over budget</v>
      </c>
      <c r="C23" s="727"/>
      <c r="D23" s="759">
        <f>SUM(F24:F25)</f>
        <v>2297.64</v>
      </c>
      <c r="E23" s="759"/>
      <c r="F23" s="319"/>
      <c r="H23" s="305"/>
      <c r="J23" s="305"/>
      <c r="L23" s="305"/>
      <c r="N23" s="305"/>
      <c r="O23" s="285">
        <f>SUMIF(O24:O25,"&gt;0")-SUM(E24:E25)</f>
        <v>1224</v>
      </c>
      <c r="P23" s="285" t="s">
        <v>895</v>
      </c>
      <c r="Q23" s="282">
        <f>SUM(Q24:Q24)</f>
        <v>0</v>
      </c>
    </row>
    <row r="24" spans="2:20" ht="15" customHeight="1" outlineLevel="1">
      <c r="B24" s="7" t="str">
        <f>"20% : " &amp; E$39*0.2</f>
        <v>20% : 1149.452</v>
      </c>
      <c r="C24" s="7" t="str">
        <f>"20% : " &amp; E$39*0.2</f>
        <v>20% : 1149.452</v>
      </c>
      <c r="D24" s="300" t="s">
        <v>183</v>
      </c>
      <c r="E24" s="365">
        <v>0</v>
      </c>
      <c r="F24" s="365">
        <f>SUM(F26:F31)</f>
        <v>2297.64</v>
      </c>
      <c r="H24" s="305"/>
      <c r="J24" s="305"/>
      <c r="L24" s="305"/>
      <c r="N24" s="305"/>
      <c r="O24" s="274">
        <f>SUM(O26:O31)</f>
        <v>1692.8400000000001</v>
      </c>
      <c r="P24" s="274" t="str">
        <f t="shared" ref="P24:P31" si="4">D24</f>
        <v>Savings</v>
      </c>
      <c r="Q24" s="282">
        <v>0</v>
      </c>
    </row>
    <row r="25" spans="2:20" ht="15" customHeight="1" outlineLevel="1">
      <c r="B25" s="7"/>
      <c r="C25" s="7"/>
      <c r="D25" s="300" t="s">
        <v>1015</v>
      </c>
      <c r="E25" s="365">
        <f>1865.69+639.36+81.07+4100</f>
        <v>6686.1200000000008</v>
      </c>
      <c r="F25" s="365">
        <v>0</v>
      </c>
      <c r="G25">
        <v>468.84</v>
      </c>
      <c r="H25" s="305"/>
      <c r="J25" s="305"/>
      <c r="L25" s="315"/>
      <c r="N25" s="305"/>
      <c r="O25" s="274">
        <f>SUM(E25:F25)-SUM(G25:N25)</f>
        <v>6217.2800000000007</v>
      </c>
      <c r="P25" s="274" t="str">
        <f>D25</f>
        <v>Tesco</v>
      </c>
      <c r="Q25" s="282">
        <v>0</v>
      </c>
      <c r="R25" s="243"/>
    </row>
    <row r="26" spans="2:20" ht="15" customHeight="1" outlineLevel="1">
      <c r="B26" s="7"/>
      <c r="C26" s="7"/>
      <c r="D26" s="300" t="s">
        <v>1485</v>
      </c>
      <c r="E26" s="365">
        <v>0</v>
      </c>
      <c r="F26" s="365">
        <v>40</v>
      </c>
      <c r="H26" s="305"/>
      <c r="J26" s="305"/>
      <c r="L26" s="362"/>
      <c r="N26" s="315"/>
      <c r="O26" s="274">
        <f>SUM(E26:F26)-SUM(G26:N26)</f>
        <v>40</v>
      </c>
      <c r="P26" s="274" t="str">
        <f t="shared" si="4"/>
        <v>MOT / Service</v>
      </c>
      <c r="Q26" s="282"/>
      <c r="R26" s="243"/>
    </row>
    <row r="27" spans="2:20" ht="15" customHeight="1" outlineLevel="1">
      <c r="B27" s="7"/>
      <c r="C27" s="7"/>
      <c r="D27" s="300" t="s">
        <v>590</v>
      </c>
      <c r="E27" s="365">
        <v>0</v>
      </c>
      <c r="F27" s="365">
        <v>165</v>
      </c>
      <c r="H27" s="305">
        <f>31.83</f>
        <v>31.83</v>
      </c>
      <c r="J27" s="305"/>
      <c r="L27" s="362">
        <f>54+4.5+31.58+23.04+3.34</f>
        <v>116.46000000000001</v>
      </c>
      <c r="N27" s="315"/>
      <c r="O27" s="274">
        <f>SUM(E27:F27)-SUM(G27:N27)-Q39</f>
        <v>-35.559999999999889</v>
      </c>
      <c r="P27" s="274" t="str">
        <f t="shared" si="4"/>
        <v>Contingency</v>
      </c>
      <c r="Q27" s="282"/>
      <c r="T27" s="243"/>
    </row>
    <row r="28" spans="2:20" ht="15" customHeight="1" outlineLevel="1">
      <c r="B28" s="7"/>
      <c r="C28" s="7"/>
      <c r="D28" s="300" t="s">
        <v>1486</v>
      </c>
      <c r="E28" s="365">
        <v>0</v>
      </c>
      <c r="F28" s="365">
        <v>13.67</v>
      </c>
      <c r="H28" s="305"/>
      <c r="J28" s="305"/>
      <c r="L28" s="362"/>
      <c r="M28">
        <v>41</v>
      </c>
      <c r="N28" s="315"/>
      <c r="O28" s="274">
        <f>SUM(E28:F28)-SUM(G28:N28)</f>
        <v>-27.33</v>
      </c>
      <c r="P28" s="274" t="str">
        <f t="shared" si="4"/>
        <v>TV</v>
      </c>
      <c r="Q28" s="282"/>
    </row>
    <row r="29" spans="2:20" ht="15" customHeight="1" outlineLevel="1">
      <c r="B29" s="7"/>
      <c r="C29" s="7"/>
      <c r="D29" s="300" t="s">
        <v>1296</v>
      </c>
      <c r="E29" s="365">
        <v>0</v>
      </c>
      <c r="F29" s="365">
        <v>15</v>
      </c>
      <c r="H29" s="305"/>
      <c r="J29" s="305"/>
      <c r="L29" s="362"/>
      <c r="N29" s="315"/>
      <c r="O29" s="274">
        <f>SUM(E29:F29)-SUM(G29:N29)</f>
        <v>15</v>
      </c>
      <c r="P29" s="274" t="str">
        <f t="shared" si="4"/>
        <v>Offset</v>
      </c>
      <c r="Q29" s="282"/>
    </row>
    <row r="30" spans="2:20" ht="15" customHeight="1" outlineLevel="1">
      <c r="B30" s="7"/>
      <c r="C30" s="7"/>
      <c r="D30" s="300" t="s">
        <v>332</v>
      </c>
      <c r="E30" s="365">
        <v>0</v>
      </c>
      <c r="F30" s="365">
        <v>625</v>
      </c>
      <c r="H30" s="305"/>
      <c r="J30" s="305"/>
      <c r="L30" s="362">
        <f>25.11+25.01+20.08</f>
        <v>70.2</v>
      </c>
      <c r="N30" s="315"/>
      <c r="O30" s="274">
        <f>SUM(E30:F30)-SUM(G30:N30)</f>
        <v>554.79999999999995</v>
      </c>
      <c r="P30" s="274" t="str">
        <f t="shared" si="4"/>
        <v>Holidays</v>
      </c>
      <c r="Q30" s="282"/>
    </row>
    <row r="31" spans="2:20" ht="15" customHeight="1" outlineLevel="1">
      <c r="B31" s="7"/>
      <c r="C31" s="7"/>
      <c r="D31" s="300" t="s">
        <v>701</v>
      </c>
      <c r="E31" s="365">
        <v>0</v>
      </c>
      <c r="F31" s="365">
        <f>250+600+508.97+80</f>
        <v>1438.97</v>
      </c>
      <c r="H31" s="305">
        <v>18.98</v>
      </c>
      <c r="J31" s="305"/>
      <c r="L31" s="362">
        <f>107.26+3.99+20+122.81</f>
        <v>254.06</v>
      </c>
      <c r="M31">
        <v>20</v>
      </c>
      <c r="N31" s="315"/>
      <c r="O31" s="274">
        <f>SUM(E31:F31)-SUM(G31:N31)</f>
        <v>1145.93</v>
      </c>
      <c r="P31" s="274" t="str">
        <f t="shared" si="4"/>
        <v>Gift</v>
      </c>
      <c r="Q31" s="282"/>
    </row>
    <row r="32" spans="2:20" ht="15" customHeight="1">
      <c r="B32" s="118"/>
      <c r="C32" s="118"/>
      <c r="E32" s="365"/>
      <c r="F32" s="365"/>
      <c r="H32" s="305"/>
      <c r="J32" s="305"/>
      <c r="L32" s="305"/>
      <c r="N32" s="305"/>
      <c r="O32" s="273"/>
      <c r="P32" s="273"/>
      <c r="Q32" s="282"/>
      <c r="R32" s="243"/>
    </row>
    <row r="33" spans="2:19" ht="15" customHeight="1">
      <c r="B33" s="727" t="str">
        <f>_xlfn.CONCAT("Wants - 30 - ",G39*0.3," / Actual = ",D34," (",ROUND((D34/G39)*100,2),")")</f>
        <v>Wants - 30 - 1565.778 / Actual = 1039.74 (19.92)</v>
      </c>
      <c r="C33" s="727"/>
      <c r="D33" s="727"/>
      <c r="E33" s="727"/>
      <c r="F33" s="318"/>
      <c r="H33" s="305"/>
      <c r="J33" s="305"/>
      <c r="L33" s="305"/>
      <c r="N33" s="305"/>
      <c r="O33" s="273"/>
      <c r="P33" s="273"/>
      <c r="Q33" s="282"/>
      <c r="S33" s="243"/>
    </row>
    <row r="34" spans="2:19" ht="15" customHeight="1">
      <c r="B34" s="727" t="str">
        <f>IF(ISNUMBER((SEARCH("Over",B$5))),"Operating under budget","Operating over budget")</f>
        <v>Operating over budget</v>
      </c>
      <c r="C34" s="727"/>
      <c r="D34" s="759">
        <f>(E$39-D5-D23-E38)</f>
        <v>1039.7400000000002</v>
      </c>
      <c r="E34" s="727"/>
      <c r="F34" s="319">
        <f>SUM(F35:F36)</f>
        <v>498.74000000000018</v>
      </c>
      <c r="H34" s="305"/>
      <c r="J34" s="305"/>
      <c r="L34" s="305"/>
      <c r="N34" s="305"/>
      <c r="O34" s="285">
        <f>SUMIF(O35:O35,"&gt;0")</f>
        <v>0</v>
      </c>
      <c r="P34" s="285" t="s">
        <v>899</v>
      </c>
      <c r="Q34" s="282">
        <f>SUM(Q35:Q36)</f>
        <v>23.859999999999786</v>
      </c>
      <c r="S34" s="243"/>
    </row>
    <row r="35" spans="2:19" ht="15.75" customHeight="1" outlineLevel="1">
      <c r="B35" s="734"/>
      <c r="C35" s="760"/>
      <c r="D35" s="13" t="s">
        <v>781</v>
      </c>
      <c r="E35" s="365">
        <v>0</v>
      </c>
      <c r="F35" s="365">
        <f>13+6.99+0.99+7.99+8.99+25</f>
        <v>62.96</v>
      </c>
      <c r="G35" s="11">
        <f>13+7.99+0.99+25+6.99+8.99</f>
        <v>62.960000000000008</v>
      </c>
      <c r="H35" s="305"/>
      <c r="J35" s="305"/>
      <c r="L35" s="305"/>
      <c r="N35" s="305"/>
      <c r="O35" s="274">
        <f t="shared" ref="O35" si="5">SUM(E35:F35)-SUM(G35:N35)</f>
        <v>0</v>
      </c>
      <c r="P35" s="274" t="str">
        <f t="shared" ref="P35:P37" si="6">D35</f>
        <v>Subscriptions</v>
      </c>
      <c r="Q35" s="282">
        <f>IF(O35&lt;0,O35*-1,0)</f>
        <v>0</v>
      </c>
      <c r="S35" s="349"/>
    </row>
    <row r="36" spans="2:19" ht="18" outlineLevel="1">
      <c r="B36" s="734"/>
      <c r="C36" s="760"/>
      <c r="D36" s="13" t="s">
        <v>922</v>
      </c>
      <c r="E36" s="365">
        <v>0</v>
      </c>
      <c r="F36" s="365">
        <f>(D34-SUM(F35:F35))-F37</f>
        <v>435.7800000000002</v>
      </c>
      <c r="G36" s="11">
        <v>1.1000000000000001</v>
      </c>
      <c r="J36" s="305"/>
      <c r="K36">
        <v>20</v>
      </c>
      <c r="L36">
        <f>4.5+19.8+44+29.75+25.29+8.38+13.05+24.98+13+(10.87-2.36)+2+4.5+24.05+32+9.5+35+16+31.98-9.99+45.9+12.5+32.75</f>
        <v>427.45</v>
      </c>
      <c r="M36">
        <f>9.99+1.1</f>
        <v>11.09</v>
      </c>
      <c r="N36" s="305"/>
      <c r="O36" s="274">
        <f>SUM(E36:F36)-SUM(G36:N36)</f>
        <v>-23.859999999999786</v>
      </c>
      <c r="P36" s="274" t="str">
        <f t="shared" si="6"/>
        <v>Matt Fun</v>
      </c>
      <c r="Q36" s="282">
        <f>IF(SUM(E36:F36)-SUM(G36:N36)&lt;=0,(SUM(E36:F36)-SUM(G36:N36))*-1,0)</f>
        <v>23.859999999999786</v>
      </c>
    </row>
    <row r="37" spans="2:19" ht="18" outlineLevel="1">
      <c r="B37" s="7"/>
      <c r="C37" s="284"/>
      <c r="D37" s="13" t="s">
        <v>152</v>
      </c>
      <c r="E37" s="365">
        <v>0</v>
      </c>
      <c r="F37" s="365">
        <f>55+44+44+130+55+100+38+20+55</f>
        <v>541</v>
      </c>
      <c r="G37" s="11"/>
      <c r="H37" s="306"/>
      <c r="J37" s="305"/>
      <c r="L37" s="305">
        <f>88+55+55+100+38+29</f>
        <v>365</v>
      </c>
      <c r="N37" s="305"/>
      <c r="O37" s="274">
        <f>SUM(E37:F37)-SUM(G37:N37)</f>
        <v>176</v>
      </c>
      <c r="P37" s="274" t="str">
        <f t="shared" si="6"/>
        <v>Kris</v>
      </c>
      <c r="Q37" s="271">
        <f>IF(F37-SUM(G37:N37)&lt;=0,(F37-SUM(G37:N37))*-1,0)</f>
        <v>0</v>
      </c>
    </row>
    <row r="38" spans="2:19">
      <c r="B38" s="118"/>
      <c r="C38" s="118"/>
      <c r="E38" s="365">
        <v>0</v>
      </c>
      <c r="F38" s="365"/>
      <c r="G38" s="349"/>
      <c r="H38" t="s">
        <v>986</v>
      </c>
      <c r="J38" s="7"/>
      <c r="L38" s="7" t="s">
        <v>986</v>
      </c>
      <c r="N38" s="7"/>
      <c r="O38" s="273"/>
      <c r="P38" s="273"/>
      <c r="Q38" s="282"/>
    </row>
    <row r="39" spans="2:19" ht="18">
      <c r="B39" s="728" t="s">
        <v>817</v>
      </c>
      <c r="C39" s="728"/>
      <c r="D39" s="728"/>
      <c r="E39" s="375">
        <f>G39+I39+K39+M39+N39+E38</f>
        <v>5747.26</v>
      </c>
      <c r="F39" s="379"/>
      <c r="G39" s="271">
        <f>3705.29+1+508.97+850+55+44+20+35</f>
        <v>5219.26</v>
      </c>
      <c r="H39" s="282"/>
      <c r="I39" s="271"/>
      <c r="J39" s="271"/>
      <c r="K39" s="271">
        <f>100+130+55+100+38+20+30+55</f>
        <v>528</v>
      </c>
      <c r="L39" s="271"/>
      <c r="M39" s="271"/>
      <c r="N39" s="271"/>
      <c r="O39" s="314">
        <f>ROUND(O5+O34+O23+IF(O36&lt;0,0,O36)+O37+O4,2)</f>
        <v>1449.1</v>
      </c>
      <c r="P39" s="274"/>
      <c r="Q39" s="282">
        <f>SUM(Q34,Q23,Q5)</f>
        <v>52.269999999999868</v>
      </c>
    </row>
    <row r="40" spans="2:19" ht="18">
      <c r="B40" s="118"/>
      <c r="C40" s="7"/>
      <c r="D40" s="13" t="s">
        <v>1451</v>
      </c>
      <c r="E40" s="365"/>
      <c r="F40" s="365"/>
      <c r="G40" s="384"/>
      <c r="H40" s="243"/>
      <c r="L40" s="243"/>
    </row>
    <row r="41" spans="2:19" ht="14.4">
      <c r="B41" s="729"/>
      <c r="C41" s="729"/>
      <c r="D41" s="729"/>
      <c r="E41" s="729"/>
      <c r="F41" s="729"/>
      <c r="G41" s="729"/>
      <c r="H41" s="297"/>
      <c r="K41" s="729"/>
      <c r="L41" s="729"/>
      <c r="M41" s="729"/>
      <c r="N41" s="729"/>
      <c r="O41" s="729"/>
      <c r="P41" s="297"/>
    </row>
    <row r="42" spans="2:19" ht="15" customHeight="1">
      <c r="B42" s="726" t="s">
        <v>955</v>
      </c>
      <c r="C42" s="726"/>
      <c r="D42" s="726"/>
      <c r="E42" s="726"/>
      <c r="F42" s="348"/>
      <c r="K42" s="212"/>
      <c r="L42" s="212"/>
      <c r="N42" s="118" t="s">
        <v>1498</v>
      </c>
      <c r="O42" s="316">
        <v>45255</v>
      </c>
      <c r="P42" s="7">
        <f ca="1">DATEDIF(O42,NOW(),"d")</f>
        <v>996</v>
      </c>
      <c r="Q42">
        <v>55</v>
      </c>
      <c r="R42" t="s">
        <v>1342</v>
      </c>
    </row>
    <row r="43" spans="2:19">
      <c r="B43" s="365"/>
      <c r="C43" s="38"/>
      <c r="D43" s="212"/>
      <c r="E43" s="310"/>
      <c r="F43" s="11"/>
      <c r="G43" s="367"/>
      <c r="I43" s="243"/>
      <c r="K43" s="11"/>
      <c r="L43" s="243">
        <f>J44-456.79</f>
        <v>992.31000000000017</v>
      </c>
      <c r="N43" s="322" t="s">
        <v>1487</v>
      </c>
      <c r="O43" s="42">
        <v>45242</v>
      </c>
      <c r="P43" s="7">
        <f ca="1">DATEDIF(O43,NOW(),"d")</f>
        <v>1009</v>
      </c>
      <c r="Q43">
        <v>15.79</v>
      </c>
      <c r="R43" t="s">
        <v>1488</v>
      </c>
    </row>
    <row r="44" spans="2:19">
      <c r="E44" s="409"/>
      <c r="F44" s="365"/>
      <c r="G44" s="445"/>
      <c r="J44" s="243">
        <f>3399.76-L4-H4</f>
        <v>1449.1000000000001</v>
      </c>
      <c r="L44" s="243"/>
      <c r="N44" t="s">
        <v>1489</v>
      </c>
      <c r="O44" s="316">
        <v>45242</v>
      </c>
      <c r="P44" s="7">
        <f ca="1">DATEDIF(O44,NOW(),"d")</f>
        <v>1009</v>
      </c>
    </row>
    <row r="45" spans="2:19" ht="16.2" customHeight="1">
      <c r="E45" s="384"/>
      <c r="H45" s="243"/>
      <c r="I45" s="243"/>
      <c r="J45" s="213"/>
      <c r="K45" s="369" t="s">
        <v>1499</v>
      </c>
      <c r="L45" s="243">
        <f>L48+SUM(L53:L63)+L4</f>
        <v>2191.37</v>
      </c>
      <c r="N45" t="s">
        <v>1483</v>
      </c>
      <c r="O45" s="316">
        <v>45214</v>
      </c>
      <c r="P45" s="7">
        <f ca="1">DATEDIF(O45,NOW(),"d")</f>
        <v>1037</v>
      </c>
    </row>
    <row r="46" spans="2:19">
      <c r="B46" s="378"/>
      <c r="E46" s="79"/>
      <c r="F46" s="278"/>
      <c r="G46" s="243"/>
      <c r="J46" s="243"/>
      <c r="L46" s="243"/>
      <c r="P46" s="56"/>
    </row>
    <row r="47" spans="2:19" ht="14.4">
      <c r="E47" s="409"/>
      <c r="F47" s="451"/>
      <c r="J47" s="243"/>
      <c r="N47" s="243">
        <f>3399.76-L4-H4</f>
        <v>1449.1000000000001</v>
      </c>
      <c r="P47"/>
    </row>
    <row r="48" spans="2:19" ht="14.4">
      <c r="E48" s="412"/>
      <c r="F48" s="451"/>
      <c r="G48" s="243"/>
      <c r="J48" s="243"/>
      <c r="K48" s="369" t="s">
        <v>1271</v>
      </c>
      <c r="L48" s="243">
        <f>32.97+129.22+107.47+37.65</f>
        <v>307.30999999999995</v>
      </c>
      <c r="M48" s="243"/>
      <c r="P48" s="212"/>
      <c r="Q48" s="212"/>
    </row>
    <row r="49" spans="2:17" ht="15" customHeight="1">
      <c r="E49" s="412"/>
      <c r="F49" s="451"/>
      <c r="H49" s="243"/>
      <c r="K49" s="353" t="s">
        <v>1342</v>
      </c>
      <c r="L49" s="243">
        <f>L48-100</f>
        <v>207.30999999999995</v>
      </c>
      <c r="M49" s="243"/>
      <c r="P49" s="56"/>
      <c r="Q49" s="38"/>
    </row>
    <row r="50" spans="2:17" ht="14.4">
      <c r="E50" s="412"/>
      <c r="F50" s="451"/>
      <c r="K50" t="s">
        <v>1490</v>
      </c>
      <c r="L50" s="243">
        <f>L49-50</f>
        <v>157.30999999999995</v>
      </c>
      <c r="O50"/>
      <c r="P50"/>
    </row>
    <row r="51" spans="2:17" ht="15" customHeight="1">
      <c r="E51" s="413"/>
      <c r="F51" s="451"/>
      <c r="H51" s="243"/>
      <c r="K51" t="s">
        <v>1491</v>
      </c>
      <c r="L51" s="243">
        <f>L50-45.56</f>
        <v>111.74999999999994</v>
      </c>
      <c r="O51"/>
      <c r="P51"/>
    </row>
    <row r="52" spans="2:17">
      <c r="E52" s="446"/>
      <c r="F52" s="446"/>
      <c r="H52" s="243"/>
      <c r="K52" t="s">
        <v>1492</v>
      </c>
      <c r="L52" s="243">
        <f>L51-90</f>
        <v>21.749999999999943</v>
      </c>
      <c r="O52"/>
      <c r="P52"/>
    </row>
    <row r="53" spans="2:17">
      <c r="B53" s="11"/>
      <c r="E53" s="405"/>
      <c r="I53" s="407"/>
      <c r="O53"/>
      <c r="P53"/>
    </row>
    <row r="54" spans="2:17" ht="14.4">
      <c r="B54" s="11"/>
      <c r="E54" s="118"/>
      <c r="F54" s="118"/>
      <c r="G54" s="441"/>
      <c r="J54" s="79"/>
      <c r="O54"/>
      <c r="P54"/>
    </row>
    <row r="55" spans="2:17">
      <c r="E55" s="405"/>
      <c r="F55" s="384"/>
      <c r="L55" s="243"/>
      <c r="M55" s="243"/>
      <c r="O55"/>
      <c r="P55"/>
    </row>
    <row r="56" spans="2:17">
      <c r="B56" s="212"/>
      <c r="C56" s="212"/>
      <c r="E56" s="405"/>
      <c r="F56" s="384"/>
      <c r="K56">
        <f>2250.32-850</f>
        <v>1400.3200000000002</v>
      </c>
      <c r="O56"/>
      <c r="P56"/>
    </row>
    <row r="57" spans="2:17" ht="14.4">
      <c r="C57" s="56"/>
      <c r="E57"/>
      <c r="F57"/>
      <c r="O57"/>
      <c r="P57"/>
    </row>
    <row r="58" spans="2:17" ht="15.75" customHeight="1">
      <c r="C58" s="56"/>
      <c r="E58"/>
      <c r="F58"/>
      <c r="J58" s="243"/>
      <c r="M58" s="243"/>
      <c r="O58"/>
      <c r="P58"/>
    </row>
    <row r="59" spans="2:17" ht="14.4">
      <c r="C59" s="56"/>
      <c r="E59"/>
      <c r="F59"/>
      <c r="M59" s="243"/>
      <c r="O59"/>
      <c r="P59" s="771"/>
    </row>
    <row r="60" spans="2:17" ht="14.4">
      <c r="C60" s="56"/>
      <c r="D60" s="79"/>
      <c r="E60"/>
      <c r="F60" s="79"/>
      <c r="O60"/>
      <c r="P60" s="771"/>
    </row>
    <row r="61" spans="2:17" ht="14.4">
      <c r="C61" s="56"/>
      <c r="E61"/>
      <c r="F61"/>
      <c r="I61" s="407"/>
      <c r="K61" s="243"/>
      <c r="O61"/>
      <c r="P61" s="771"/>
    </row>
    <row r="62" spans="2:17" ht="14.4">
      <c r="C62" s="56"/>
      <c r="E62" s="407"/>
      <c r="F62"/>
      <c r="G62" s="407"/>
      <c r="O62"/>
      <c r="P62" s="771"/>
    </row>
    <row r="63" spans="2:17" ht="14.4">
      <c r="C63" s="56"/>
      <c r="E63"/>
      <c r="F63"/>
      <c r="O63"/>
      <c r="P63"/>
    </row>
    <row r="64" spans="2:17">
      <c r="C64" s="56"/>
      <c r="E64" s="347"/>
      <c r="F64" s="446"/>
      <c r="G64" s="447"/>
      <c r="O64"/>
      <c r="P64"/>
    </row>
    <row r="65" spans="2:16" ht="14.4">
      <c r="C65" s="56"/>
      <c r="E65" s="332"/>
      <c r="F65"/>
      <c r="O65"/>
      <c r="P65" s="771"/>
    </row>
    <row r="66" spans="2:16" ht="14.4">
      <c r="C66" s="56"/>
      <c r="E66"/>
      <c r="F66"/>
      <c r="O66"/>
      <c r="P66" s="771"/>
    </row>
    <row r="67" spans="2:16">
      <c r="C67" s="56"/>
      <c r="F67" s="79"/>
      <c r="O67"/>
      <c r="P67" s="771"/>
    </row>
    <row r="68" spans="2:16" ht="14.4">
      <c r="E68"/>
      <c r="F68"/>
      <c r="O68"/>
      <c r="P68" s="771"/>
    </row>
    <row r="69" spans="2:16">
      <c r="B69" s="212"/>
      <c r="C69" s="294"/>
      <c r="E69" s="365"/>
      <c r="F69"/>
      <c r="G69" s="407"/>
      <c r="O69"/>
      <c r="P69"/>
    </row>
    <row r="70" spans="2:16">
      <c r="C70" s="56"/>
      <c r="D70" s="56"/>
      <c r="E70" s="56"/>
      <c r="O70"/>
      <c r="P70"/>
    </row>
    <row r="71" spans="2:16" ht="14.4">
      <c r="C71" s="56"/>
      <c r="D71" s="56"/>
      <c r="E71" s="56"/>
      <c r="F71" s="56"/>
      <c r="O71"/>
      <c r="P71" s="771"/>
    </row>
    <row r="72" spans="2:16" ht="14.4">
      <c r="C72" s="56"/>
      <c r="D72" s="56"/>
      <c r="E72" s="56"/>
      <c r="F72" s="56"/>
      <c r="O72"/>
      <c r="P72" s="771"/>
    </row>
    <row r="73" spans="2:16" ht="14.4">
      <c r="C73" s="56"/>
      <c r="D73" s="56"/>
      <c r="E73" s="56"/>
      <c r="F73"/>
      <c r="O73"/>
      <c r="P73" s="771"/>
    </row>
    <row r="74" spans="2:16" ht="14.4">
      <c r="C74" s="56"/>
      <c r="D74" s="56"/>
      <c r="E74" s="56"/>
      <c r="F74" s="332"/>
      <c r="O74"/>
      <c r="P74" s="771"/>
    </row>
    <row r="75" spans="2:16" ht="14.4">
      <c r="C75" s="56"/>
      <c r="E75" s="56"/>
      <c r="F75"/>
      <c r="O75"/>
      <c r="P75"/>
    </row>
    <row r="76" spans="2:16">
      <c r="F76"/>
      <c r="O76"/>
      <c r="P76"/>
    </row>
    <row r="77" spans="2:16">
      <c r="E77" s="212"/>
      <c r="F77" s="365"/>
      <c r="O77"/>
      <c r="P77" s="771"/>
    </row>
    <row r="78" spans="2:16" ht="14.4">
      <c r="E78" s="56"/>
      <c r="F78" s="212"/>
      <c r="O78"/>
      <c r="P78" s="771"/>
    </row>
    <row r="79" spans="2:16" ht="14.4">
      <c r="E79" s="56"/>
      <c r="F79" s="56"/>
      <c r="O79"/>
      <c r="P79" s="771"/>
    </row>
    <row r="80" spans="2:16" ht="14.4">
      <c r="E80" s="56"/>
      <c r="F80" s="56"/>
      <c r="O80"/>
      <c r="P80" s="771"/>
    </row>
    <row r="81" spans="5:16" ht="14.4">
      <c r="E81" s="56"/>
      <c r="F81" s="56"/>
      <c r="O81"/>
      <c r="P81"/>
    </row>
    <row r="82" spans="5:16" ht="14.4">
      <c r="E82" s="56"/>
      <c r="F82" s="56"/>
      <c r="O82"/>
      <c r="P82"/>
    </row>
    <row r="83" spans="5:16" ht="14.4">
      <c r="E83" s="56"/>
      <c r="F83" s="56"/>
      <c r="O83"/>
      <c r="P83" s="771"/>
    </row>
    <row r="84" spans="5:16">
      <c r="O84"/>
      <c r="P84" s="771"/>
    </row>
    <row r="85" spans="5:16" ht="14.4">
      <c r="E85" s="212"/>
      <c r="F85" s="212"/>
      <c r="O85"/>
      <c r="P85" s="771"/>
    </row>
    <row r="86" spans="5:16" ht="14.4">
      <c r="E86" s="56"/>
      <c r="F86" s="56"/>
      <c r="O86"/>
      <c r="P86" s="771"/>
    </row>
    <row r="87" spans="5:16" ht="14.4">
      <c r="E87" s="56"/>
      <c r="F87" s="56"/>
      <c r="O87"/>
      <c r="P87"/>
    </row>
    <row r="88" spans="5:16" ht="14.4">
      <c r="E88" s="56"/>
      <c r="F88" s="56"/>
      <c r="G88" s="407"/>
      <c r="O88"/>
      <c r="P88"/>
    </row>
    <row r="89" spans="5:16" ht="14.4">
      <c r="E89" s="56"/>
      <c r="F89" s="56"/>
      <c r="G89" s="407"/>
      <c r="O89"/>
      <c r="P89" s="771"/>
    </row>
    <row r="90" spans="5:16" ht="14.4">
      <c r="E90" s="56"/>
      <c r="F90" s="56"/>
      <c r="G90" s="407"/>
      <c r="O90"/>
      <c r="P90" s="771"/>
    </row>
    <row r="91" spans="5:16" ht="14.4">
      <c r="E91" s="56"/>
      <c r="F91" s="56"/>
      <c r="G91" s="407"/>
      <c r="O91"/>
      <c r="P91" s="771"/>
    </row>
    <row r="92" spans="5:16">
      <c r="E92" s="365"/>
      <c r="F92" s="365"/>
      <c r="G92" s="407"/>
      <c r="O92"/>
      <c r="P92" s="771"/>
    </row>
    <row r="93" spans="5:16">
      <c r="G93" s="407"/>
      <c r="O93"/>
      <c r="P93"/>
    </row>
    <row r="94" spans="5:16">
      <c r="G94" s="407"/>
      <c r="O94"/>
      <c r="P94"/>
    </row>
    <row r="95" spans="5:16">
      <c r="G95" s="407"/>
    </row>
    <row r="99" spans="6:6">
      <c r="F99" s="384"/>
    </row>
    <row r="100" spans="6:6">
      <c r="F100" s="384"/>
    </row>
  </sheetData>
  <mergeCells count="29">
    <mergeCell ref="B4:E4"/>
    <mergeCell ref="B1:O1"/>
    <mergeCell ref="G3:H3"/>
    <mergeCell ref="I3:J3"/>
    <mergeCell ref="K3:L3"/>
    <mergeCell ref="M3:N3"/>
    <mergeCell ref="B39:D39"/>
    <mergeCell ref="B5:C5"/>
    <mergeCell ref="D5:E5"/>
    <mergeCell ref="B6:B20"/>
    <mergeCell ref="C6:C20"/>
    <mergeCell ref="B22:E22"/>
    <mergeCell ref="B23:C23"/>
    <mergeCell ref="D23:E23"/>
    <mergeCell ref="B33:E33"/>
    <mergeCell ref="B34:C34"/>
    <mergeCell ref="D34:E34"/>
    <mergeCell ref="B35:B36"/>
    <mergeCell ref="C35:C36"/>
    <mergeCell ref="P71:P74"/>
    <mergeCell ref="P77:P80"/>
    <mergeCell ref="P83:P86"/>
    <mergeCell ref="P89:P92"/>
    <mergeCell ref="B41:G41"/>
    <mergeCell ref="K41:O41"/>
    <mergeCell ref="B42:C42"/>
    <mergeCell ref="D42:E42"/>
    <mergeCell ref="P59:P62"/>
    <mergeCell ref="P65:P68"/>
  </mergeCells>
  <pageMargins left="0.7" right="0.7" top="0.75" bottom="0.75" header="0.3" footer="0.3"/>
  <pageSetup orientation="portrait" r:id="rId1"/>
  <legacyDrawing r:id="rId2"/>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57342-F888-9C4D-B0CD-C4612EF2561A}">
  <dimension ref="A1:T100"/>
  <sheetViews>
    <sheetView topLeftCell="D3" zoomScale="90" zoomScaleNormal="90" workbookViewId="0">
      <selection activeCell="F27" sqref="F27"/>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OCT-NOV C 23</v>
      </c>
      <c r="B1" s="730" t="str">
        <f ca="1">MID(CELL("filename",B1),FIND("]",CELL("filename",B1))+1,255)</f>
        <v>NOV-DEC 23</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ROUND(O5+O34+O23+IF(O36&lt;0,0,O36)+O37+O4,2) &amp; " / " &amp; "£" &amp; E39</f>
        <v>£3605.06 / £5882.49</v>
      </c>
      <c r="E3" s="365"/>
      <c r="F3" s="365"/>
      <c r="G3" s="732">
        <v>45194</v>
      </c>
      <c r="H3" s="732"/>
      <c r="I3" s="732">
        <f>G3+7</f>
        <v>45201</v>
      </c>
      <c r="J3" s="732"/>
      <c r="K3" s="732">
        <f>I3+7</f>
        <v>45208</v>
      </c>
      <c r="L3" s="732"/>
      <c r="M3" s="732">
        <f>K3+7</f>
        <v>45215</v>
      </c>
      <c r="N3" s="732"/>
      <c r="O3" s="308">
        <v>0</v>
      </c>
      <c r="P3" s="325" t="s">
        <v>1224</v>
      </c>
      <c r="Q3" s="282"/>
    </row>
    <row r="4" spans="1:20" ht="15" customHeight="1">
      <c r="B4" s="727" t="str">
        <f>_xlfn.CONCAT("Expenses - 50 - ",G39*0.5," / Actual = ",ROUND(D5,2)," (",ROUND((D5/G39)*100,2),")")</f>
        <v>Expenses - 50 - 2310.09 / Actual = 2494.88 (54)</v>
      </c>
      <c r="C4" s="727"/>
      <c r="D4" s="727"/>
      <c r="E4" s="727"/>
      <c r="F4" s="318"/>
      <c r="G4" s="243"/>
      <c r="H4" s="304">
        <f>SUM(H5:H37)</f>
        <v>863.40000000000009</v>
      </c>
      <c r="I4" s="243">
        <f>J4+238.3</f>
        <v>3872.8100000000004</v>
      </c>
      <c r="J4" s="304">
        <f>SUM(J5:J37)</f>
        <v>3634.51</v>
      </c>
      <c r="K4" s="243">
        <f>3032.69-J4</f>
        <v>-601.82000000000016</v>
      </c>
      <c r="L4" s="304">
        <f>SUM(L5:L37)</f>
        <v>0</v>
      </c>
      <c r="M4" s="243"/>
      <c r="N4" s="304">
        <f>SUM(N5:N37)-SUM(N26:N31)</f>
        <v>0</v>
      </c>
      <c r="O4" s="308">
        <f>IF(H38&lt;&gt;"PAID",H4,0)+IF(J38&lt;&gt;"PAID",J4,0)+IF(L38&lt;&gt;"PAID",L4,0)+IF(N38&lt;&gt;"PAID",N4,0)</f>
        <v>4497.91</v>
      </c>
      <c r="P4" s="309" t="s">
        <v>973</v>
      </c>
      <c r="Q4" s="408">
        <f>O4+402.34</f>
        <v>4900.25</v>
      </c>
      <c r="R4" s="243"/>
      <c r="S4" s="243"/>
    </row>
    <row r="5" spans="1:20" ht="15" customHeight="1">
      <c r="B5" s="733" t="str">
        <f>IF(D5&gt;E$39*0.5,ROUND(D5-E$39*0.5,2) &amp; " Over",ROUND(E$39*0.5-D5,2) &amp; " Under")</f>
        <v>446.37 Under</v>
      </c>
      <c r="C5" s="733"/>
      <c r="D5" s="761">
        <f>ROUND(SUM(F6:F20),2)</f>
        <v>2494.88</v>
      </c>
      <c r="E5" s="761"/>
      <c r="F5" s="321"/>
      <c r="G5" s="284"/>
      <c r="H5" s="306"/>
      <c r="I5" s="79"/>
      <c r="J5" s="306"/>
      <c r="K5" s="79"/>
      <c r="L5" s="306"/>
      <c r="M5" s="79"/>
      <c r="N5" s="305"/>
      <c r="O5" s="285">
        <f>SUMIF(O6:O20,"&gt;0")</f>
        <v>2.5200000000000031</v>
      </c>
      <c r="P5" s="285" t="s">
        <v>892</v>
      </c>
      <c r="Q5" s="282">
        <f>SUM(Q6:Q20)</f>
        <v>99.9</v>
      </c>
      <c r="R5" s="243"/>
    </row>
    <row r="6" spans="1:20" ht="15" customHeight="1">
      <c r="B6" s="734" t="str">
        <f>"50%: " &amp; E$39*0.5</f>
        <v>50%: 2941.245</v>
      </c>
      <c r="C6" s="734" t="str">
        <f>ROUND((D5/E$39)*100,2) &amp; "%: " &amp;D5</f>
        <v>42.41%: 2494.88</v>
      </c>
      <c r="D6" s="13" t="s">
        <v>805</v>
      </c>
      <c r="E6" s="365">
        <v>0</v>
      </c>
      <c r="F6" s="374">
        <v>150</v>
      </c>
      <c r="H6" s="304"/>
      <c r="J6" s="305">
        <f>25.13+46.94+25.03+25.23+20.04+25.03+25+30</f>
        <v>222.4</v>
      </c>
      <c r="L6" s="305"/>
      <c r="N6" s="305"/>
      <c r="O6" s="274">
        <f>SUM(E6:F6)-SUM(G6:N6)</f>
        <v>-72.400000000000006</v>
      </c>
      <c r="P6" s="274" t="str">
        <f t="shared" ref="P6:P20" si="0">D6</f>
        <v>Car Petrol / commuting</v>
      </c>
      <c r="Q6" s="282">
        <f t="shared" ref="Q6:Q20" si="1">IF(O6&lt;0,O6*-1,0)</f>
        <v>72.400000000000006</v>
      </c>
      <c r="R6" s="243"/>
    </row>
    <row r="7" spans="1:20" ht="15" customHeight="1">
      <c r="B7" s="734"/>
      <c r="C7" s="734"/>
      <c r="D7" s="13" t="s">
        <v>169</v>
      </c>
      <c r="E7" s="365">
        <v>0</v>
      </c>
      <c r="F7" s="365">
        <f>460+100</f>
        <v>560</v>
      </c>
      <c r="H7" s="304">
        <f>20.89</f>
        <v>20.89</v>
      </c>
      <c r="J7" s="305">
        <f>110.6+70.76+5.55+27.61+0.5+(9.17+50.8+75.6+15.43+69.08+4.25+19.75)+(82.75+22.38)</f>
        <v>564.23</v>
      </c>
      <c r="L7" s="305"/>
      <c r="N7" s="305"/>
      <c r="O7" s="274">
        <f>SUM(E7:F7)-SUM(G7:N7)</f>
        <v>-25.120000000000005</v>
      </c>
      <c r="P7" s="274" t="str">
        <f t="shared" si="0"/>
        <v>Food</v>
      </c>
      <c r="Q7" s="282">
        <f t="shared" si="1"/>
        <v>25.120000000000005</v>
      </c>
      <c r="R7" s="243"/>
    </row>
    <row r="8" spans="1:20" ht="15" customHeight="1">
      <c r="B8" s="734"/>
      <c r="C8" s="734"/>
      <c r="D8" s="13" t="s">
        <v>153</v>
      </c>
      <c r="E8" s="365">
        <v>0</v>
      </c>
      <c r="F8" s="365">
        <f>60</f>
        <v>60</v>
      </c>
      <c r="H8" s="305">
        <f>24.15</f>
        <v>24.15</v>
      </c>
      <c r="J8" s="305">
        <f>20.04+14.3</f>
        <v>34.340000000000003</v>
      </c>
      <c r="L8" s="305"/>
      <c r="N8" s="305"/>
      <c r="O8" s="274">
        <f>SUM(E8:F8)-SUM(G8:N8)</f>
        <v>1.509999999999998</v>
      </c>
      <c r="P8" s="274" t="str">
        <f t="shared" si="0"/>
        <v>Luna</v>
      </c>
      <c r="Q8" s="282">
        <f t="shared" si="1"/>
        <v>0</v>
      </c>
    </row>
    <row r="9" spans="1:20" ht="15" customHeight="1">
      <c r="B9" s="734"/>
      <c r="C9" s="734"/>
      <c r="D9" s="13" t="s">
        <v>1079</v>
      </c>
      <c r="E9" s="365">
        <v>0</v>
      </c>
      <c r="F9" s="365">
        <f>20</f>
        <v>20</v>
      </c>
      <c r="H9" s="305"/>
      <c r="J9" s="305">
        <f>9.99+10</f>
        <v>19.990000000000002</v>
      </c>
      <c r="L9" s="305"/>
      <c r="N9" s="305"/>
      <c r="O9" s="274">
        <f>SUM(E9:F9)-SUM(G9:N9)</f>
        <v>9.9999999999980105E-3</v>
      </c>
      <c r="P9" s="274" t="str">
        <f t="shared" si="0"/>
        <v>Creamy</v>
      </c>
      <c r="Q9" s="282">
        <f t="shared" si="1"/>
        <v>0</v>
      </c>
      <c r="R9" s="243"/>
    </row>
    <row r="10" spans="1:20" ht="15" customHeight="1" outlineLevel="1">
      <c r="B10" s="734"/>
      <c r="C10" s="734"/>
      <c r="D10" s="201" t="s">
        <v>595</v>
      </c>
      <c r="E10" s="365">
        <v>0</v>
      </c>
      <c r="F10" s="365">
        <v>835.29</v>
      </c>
      <c r="G10">
        <v>835.29</v>
      </c>
      <c r="H10" s="304"/>
      <c r="J10" s="305"/>
      <c r="L10" s="305"/>
      <c r="N10" s="305"/>
      <c r="O10" s="274">
        <f t="shared" ref="O10:O15" si="2">SUM(E10:F10)-SUM(G10:N10)</f>
        <v>0</v>
      </c>
      <c r="P10" s="274" t="str">
        <f t="shared" si="0"/>
        <v>Mortgage</v>
      </c>
      <c r="Q10" s="282">
        <f t="shared" si="1"/>
        <v>0</v>
      </c>
      <c r="R10" s="243"/>
    </row>
    <row r="11" spans="1:20" ht="15" customHeight="1" outlineLevel="1">
      <c r="B11" s="734"/>
      <c r="C11" s="734"/>
      <c r="D11" s="201" t="s">
        <v>596</v>
      </c>
      <c r="E11" s="365">
        <v>0</v>
      </c>
      <c r="F11" s="365">
        <v>147</v>
      </c>
      <c r="H11" s="305"/>
      <c r="J11" s="305"/>
      <c r="K11">
        <v>147</v>
      </c>
      <c r="L11" s="305"/>
      <c r="N11" s="305"/>
      <c r="O11" s="274">
        <f t="shared" si="2"/>
        <v>0</v>
      </c>
      <c r="P11" s="274" t="str">
        <f t="shared" si="0"/>
        <v>Council tax</v>
      </c>
      <c r="Q11" s="282">
        <f t="shared" si="1"/>
        <v>0</v>
      </c>
    </row>
    <row r="12" spans="1:20" ht="15" customHeight="1" outlineLevel="1">
      <c r="B12" s="734"/>
      <c r="C12" s="734"/>
      <c r="D12" s="201" t="s">
        <v>1002</v>
      </c>
      <c r="E12" s="365">
        <v>0</v>
      </c>
      <c r="F12" s="365">
        <f>24+90.73</f>
        <v>114.73</v>
      </c>
      <c r="G12">
        <v>90.73</v>
      </c>
      <c r="H12" s="305"/>
      <c r="J12" s="305"/>
      <c r="L12" s="305"/>
      <c r="M12">
        <v>24</v>
      </c>
      <c r="N12" s="305"/>
      <c r="O12" s="274">
        <f>SUM(E12:F12)-SUM(G12:N12)</f>
        <v>0</v>
      </c>
      <c r="P12" s="274" t="str">
        <f t="shared" si="0"/>
        <v>Utilities (G,W,E,HTB)</v>
      </c>
      <c r="Q12" s="282">
        <f t="shared" si="1"/>
        <v>0</v>
      </c>
    </row>
    <row r="13" spans="1:20" ht="15" customHeight="1" outlineLevel="1">
      <c r="B13" s="734"/>
      <c r="C13" s="734"/>
      <c r="D13" s="201" t="s">
        <v>996</v>
      </c>
      <c r="E13" s="365">
        <v>0</v>
      </c>
      <c r="F13" s="365">
        <v>14</v>
      </c>
      <c r="G13">
        <v>14</v>
      </c>
      <c r="H13" s="305"/>
      <c r="J13" s="305"/>
      <c r="L13" s="305"/>
      <c r="N13" s="305"/>
      <c r="O13" s="274">
        <f>SUM(E13:F13)-SUM(G13:N13)</f>
        <v>0</v>
      </c>
      <c r="P13" s="274" t="str">
        <f t="shared" si="0"/>
        <v>Home Insurance</v>
      </c>
      <c r="Q13" s="282">
        <f t="shared" si="1"/>
        <v>0</v>
      </c>
    </row>
    <row r="14" spans="1:20" ht="15" customHeight="1" outlineLevel="1">
      <c r="B14" s="734"/>
      <c r="C14" s="734"/>
      <c r="D14" s="201" t="s">
        <v>1056</v>
      </c>
      <c r="E14" s="365">
        <v>0</v>
      </c>
      <c r="F14" s="365">
        <f>8+17.2+17.99</f>
        <v>43.19</v>
      </c>
      <c r="G14">
        <f>17.2+17.99</f>
        <v>35.19</v>
      </c>
      <c r="H14" s="305"/>
      <c r="J14" s="305"/>
      <c r="K14">
        <v>8</v>
      </c>
      <c r="L14" s="305"/>
      <c r="N14" s="305"/>
      <c r="O14" s="274">
        <f>SUM(E14:F14)-SUM(G14:N14)</f>
        <v>0</v>
      </c>
      <c r="P14" s="274" t="str">
        <f t="shared" si="0"/>
        <v>Pet Health / Insurance</v>
      </c>
      <c r="Q14" s="282">
        <f t="shared" si="1"/>
        <v>0</v>
      </c>
    </row>
    <row r="15" spans="1:20" ht="15" customHeight="1" outlineLevel="1">
      <c r="B15" s="734"/>
      <c r="C15" s="734"/>
      <c r="D15" s="201" t="s">
        <v>1057</v>
      </c>
      <c r="E15" s="365">
        <v>0</v>
      </c>
      <c r="F15" s="365">
        <f>4.52+15.97+30.8+1</f>
        <v>52.290000000000006</v>
      </c>
      <c r="G15">
        <f>20.49+30.8</f>
        <v>51.29</v>
      </c>
      <c r="H15" s="305"/>
      <c r="I15" s="11"/>
      <c r="J15" s="305"/>
      <c r="L15" s="305"/>
      <c r="N15" s="305"/>
      <c r="O15" s="274">
        <f t="shared" si="2"/>
        <v>1.0000000000000071</v>
      </c>
      <c r="P15" s="274" t="str">
        <f t="shared" si="0"/>
        <v>Life / Income Insurance</v>
      </c>
      <c r="Q15" s="282">
        <f t="shared" si="1"/>
        <v>0</v>
      </c>
    </row>
    <row r="16" spans="1:20" ht="15" customHeight="1" outlineLevel="1">
      <c r="B16" s="734"/>
      <c r="C16" s="734"/>
      <c r="D16" s="201" t="s">
        <v>602</v>
      </c>
      <c r="E16" s="365">
        <v>0</v>
      </c>
      <c r="F16" s="365">
        <v>28.6</v>
      </c>
      <c r="H16" s="305"/>
      <c r="J16" s="305"/>
      <c r="K16">
        <v>28.6</v>
      </c>
      <c r="L16" s="305"/>
      <c r="N16" s="305"/>
      <c r="O16" s="274">
        <f t="shared" ref="O16:O20" si="3">SUM(E16:F16)-SUM(G16:N16)</f>
        <v>0</v>
      </c>
      <c r="P16" s="274" t="str">
        <f t="shared" si="0"/>
        <v>Broadband / TV</v>
      </c>
      <c r="Q16" s="282">
        <f t="shared" si="1"/>
        <v>0</v>
      </c>
    </row>
    <row r="17" spans="2:20" ht="15" customHeight="1" outlineLevel="1">
      <c r="B17" s="734"/>
      <c r="C17" s="734"/>
      <c r="D17" s="201" t="s">
        <v>582</v>
      </c>
      <c r="E17" s="365">
        <v>0</v>
      </c>
      <c r="F17" s="365">
        <v>7.99</v>
      </c>
      <c r="G17">
        <v>7.99</v>
      </c>
      <c r="H17" s="305"/>
      <c r="J17" s="305"/>
      <c r="L17" s="305"/>
      <c r="N17" s="305"/>
      <c r="O17" s="274">
        <f t="shared" si="3"/>
        <v>0</v>
      </c>
      <c r="P17" s="274" t="str">
        <f t="shared" si="0"/>
        <v>Onedrive (6th)</v>
      </c>
      <c r="Q17" s="282">
        <f t="shared" si="1"/>
        <v>0</v>
      </c>
    </row>
    <row r="18" spans="2:20" ht="15" customHeight="1" outlineLevel="1">
      <c r="B18" s="734"/>
      <c r="C18" s="734"/>
      <c r="D18" s="201" t="s">
        <v>788</v>
      </c>
      <c r="E18" s="365">
        <v>0</v>
      </c>
      <c r="F18" s="365">
        <v>13.2</v>
      </c>
      <c r="G18">
        <v>13.2</v>
      </c>
      <c r="H18" s="305"/>
      <c r="J18" s="305"/>
      <c r="L18" s="305"/>
      <c r="N18" s="305"/>
      <c r="O18" s="274">
        <f t="shared" si="3"/>
        <v>0</v>
      </c>
      <c r="P18" s="274" t="str">
        <f t="shared" si="0"/>
        <v>Matt Phone</v>
      </c>
      <c r="Q18" s="282">
        <f t="shared" si="1"/>
        <v>0</v>
      </c>
    </row>
    <row r="19" spans="2:20" ht="15" customHeight="1" outlineLevel="1">
      <c r="B19" s="734"/>
      <c r="C19" s="734"/>
      <c r="D19" s="201" t="s">
        <v>690</v>
      </c>
      <c r="E19" s="365">
        <v>0</v>
      </c>
      <c r="F19" s="365">
        <f>11.81+14.43+270.97+46.72+89.66</f>
        <v>433.59000000000003</v>
      </c>
      <c r="G19">
        <f>13.12+15.75+89.64+46.49</f>
        <v>165</v>
      </c>
      <c r="H19" s="305"/>
      <c r="J19" s="305"/>
      <c r="K19">
        <v>270.97000000000003</v>
      </c>
      <c r="L19" s="305"/>
      <c r="N19" s="305"/>
      <c r="O19" s="274">
        <f t="shared" si="3"/>
        <v>-2.3799999999999955</v>
      </c>
      <c r="P19" s="274" t="str">
        <f t="shared" si="0"/>
        <v>Cars</v>
      </c>
      <c r="Q19" s="282">
        <f t="shared" si="1"/>
        <v>2.3799999999999955</v>
      </c>
    </row>
    <row r="20" spans="2:20" ht="15" customHeight="1" outlineLevel="1">
      <c r="B20" s="734"/>
      <c r="C20" s="734"/>
      <c r="D20" s="201" t="s">
        <v>944</v>
      </c>
      <c r="E20" s="365">
        <v>0</v>
      </c>
      <c r="F20" s="365">
        <v>15</v>
      </c>
      <c r="G20">
        <v>15</v>
      </c>
      <c r="H20" s="305"/>
      <c r="J20" s="305"/>
      <c r="L20" s="305"/>
      <c r="N20" s="305"/>
      <c r="O20" s="274">
        <f t="shared" si="3"/>
        <v>0</v>
      </c>
      <c r="P20" s="274" t="str">
        <f t="shared" si="0"/>
        <v>Windows</v>
      </c>
      <c r="Q20" s="282">
        <f t="shared" si="1"/>
        <v>0</v>
      </c>
      <c r="R20" s="243"/>
    </row>
    <row r="21" spans="2:20" ht="15" customHeight="1">
      <c r="B21" s="118"/>
      <c r="C21" s="118"/>
      <c r="D21" s="188"/>
      <c r="E21" s="365"/>
      <c r="F21" s="365"/>
      <c r="H21" s="305"/>
      <c r="J21" s="305"/>
      <c r="L21" s="305"/>
      <c r="N21" s="305"/>
      <c r="O21" s="273"/>
      <c r="P21" s="273"/>
      <c r="Q21" s="282"/>
    </row>
    <row r="22" spans="2:20" ht="15" customHeight="1">
      <c r="B22" s="736" t="str">
        <f>_xlfn.CONCAT("Savings - 20 - ",G39*0.2," / Actual = ",D23," (",ROUND((D23/G39)*100,2),")")</f>
        <v>Savings - 20 - 924.036 / Actual = 1108.67 (24)</v>
      </c>
      <c r="C22" s="736"/>
      <c r="D22" s="736"/>
      <c r="E22" s="736"/>
      <c r="F22" s="320"/>
      <c r="H22" s="305"/>
      <c r="J22" s="305"/>
      <c r="L22" s="305"/>
      <c r="N22" s="305"/>
      <c r="O22" s="274"/>
      <c r="P22" s="274"/>
      <c r="Q22" s="282"/>
    </row>
    <row r="23" spans="2:20" ht="15" customHeight="1">
      <c r="B23" s="727" t="str">
        <f>IF(ISNUMBER((SEARCH("Over",C$5))),"Operating under budget","Operating over budget")</f>
        <v>Operating over budget</v>
      </c>
      <c r="C23" s="727"/>
      <c r="D23" s="759">
        <f>SUM(F24:F25)</f>
        <v>1108.67</v>
      </c>
      <c r="E23" s="759"/>
      <c r="F23" s="319"/>
      <c r="H23" s="305"/>
      <c r="J23" s="305"/>
      <c r="L23" s="305"/>
      <c r="N23" s="305"/>
      <c r="O23" s="285">
        <f>SUMIF(O24:O25,"&gt;0")-E25</f>
        <v>-829.1200000000008</v>
      </c>
      <c r="P23" s="285" t="s">
        <v>895</v>
      </c>
      <c r="Q23" s="282">
        <f>SUM(Q24:Q24)</f>
        <v>0</v>
      </c>
    </row>
    <row r="24" spans="2:20" ht="15" customHeight="1" outlineLevel="1">
      <c r="B24" s="7" t="str">
        <f>"20% : " &amp; E$39*0.2</f>
        <v>20% : 1176.498</v>
      </c>
      <c r="C24" s="7" t="str">
        <f>"20% : " &amp; E$39*0.2</f>
        <v>20% : 1176.498</v>
      </c>
      <c r="D24" s="300" t="s">
        <v>183</v>
      </c>
      <c r="E24" s="365">
        <v>992.31</v>
      </c>
      <c r="F24" s="365">
        <f>SUM(F26:F31)</f>
        <v>1108.67</v>
      </c>
      <c r="H24" s="305"/>
      <c r="J24" s="305"/>
      <c r="L24" s="305"/>
      <c r="N24" s="305"/>
      <c r="O24" s="274">
        <f>SUM(O26:O31)+E24</f>
        <v>170.96999999999935</v>
      </c>
      <c r="P24" s="274" t="str">
        <f t="shared" ref="P24:P31" si="4">D24</f>
        <v>Savings</v>
      </c>
      <c r="Q24" s="282">
        <v>0</v>
      </c>
      <c r="S24" s="243"/>
    </row>
    <row r="25" spans="2:20" ht="15" customHeight="1" outlineLevel="1">
      <c r="B25" s="7"/>
      <c r="C25" s="7"/>
      <c r="D25" s="300" t="s">
        <v>1015</v>
      </c>
      <c r="E25" s="365">
        <f>1865.69+639.36+81.07+4100</f>
        <v>6686.1200000000008</v>
      </c>
      <c r="F25" s="365">
        <v>0</v>
      </c>
      <c r="G25">
        <v>468.84</v>
      </c>
      <c r="H25" s="305"/>
      <c r="J25" s="305">
        <f>531.25</f>
        <v>531.25</v>
      </c>
      <c r="L25" s="315"/>
      <c r="N25" s="305"/>
      <c r="O25" s="274">
        <f>SUM(E25:F25)-SUM(G25:N25)</f>
        <v>5686.0300000000007</v>
      </c>
      <c r="P25" s="274" t="str">
        <f>D25</f>
        <v>Tesco</v>
      </c>
      <c r="Q25" s="282"/>
      <c r="R25" s="243">
        <f>O25/468.84</f>
        <v>12.12786878252709</v>
      </c>
    </row>
    <row r="26" spans="2:20" ht="15" customHeight="1" outlineLevel="1">
      <c r="B26" s="7"/>
      <c r="C26" s="7"/>
      <c r="D26" s="300" t="s">
        <v>1485</v>
      </c>
      <c r="E26" s="365">
        <v>0</v>
      </c>
      <c r="F26" s="365">
        <v>40</v>
      </c>
      <c r="H26" s="305"/>
      <c r="J26" s="305"/>
      <c r="L26" s="362"/>
      <c r="N26" s="315"/>
      <c r="O26" s="274">
        <f>SUM(E26:F26)-SUM(G26:N26)</f>
        <v>40</v>
      </c>
      <c r="P26" s="274" t="str">
        <f t="shared" si="4"/>
        <v>MOT / Service</v>
      </c>
      <c r="Q26" s="282"/>
      <c r="R26" s="243"/>
      <c r="S26" s="243">
        <f>10783-O25-2800-200-200-200</f>
        <v>1696.9699999999993</v>
      </c>
    </row>
    <row r="27" spans="2:20" ht="15" customHeight="1" outlineLevel="1">
      <c r="B27" s="7"/>
      <c r="C27" s="7"/>
      <c r="D27" s="300" t="s">
        <v>590</v>
      </c>
      <c r="E27" s="365">
        <v>0</v>
      </c>
      <c r="F27" s="365">
        <v>165</v>
      </c>
      <c r="H27" s="305"/>
      <c r="J27" s="305">
        <f>20+30.19</f>
        <v>50.19</v>
      </c>
      <c r="L27" s="362"/>
      <c r="N27" s="315"/>
      <c r="O27" s="274">
        <f>SUM(E27:F27)-SUM(G27:N27)-Q39</f>
        <v>3.6099999999994736</v>
      </c>
      <c r="P27" s="274" t="str">
        <f t="shared" si="4"/>
        <v>Contingency</v>
      </c>
      <c r="Q27" s="282"/>
      <c r="T27" s="243"/>
    </row>
    <row r="28" spans="2:20" ht="15" customHeight="1" outlineLevel="1">
      <c r="B28" s="7"/>
      <c r="C28" s="7"/>
      <c r="D28" s="300" t="s">
        <v>1486</v>
      </c>
      <c r="E28" s="365">
        <v>0</v>
      </c>
      <c r="F28" s="365">
        <v>13.67</v>
      </c>
      <c r="H28" s="305"/>
      <c r="J28" s="305"/>
      <c r="L28" s="362"/>
      <c r="N28" s="315"/>
      <c r="O28" s="274">
        <f>SUM(E28:F28)-SUM(G28:N28)</f>
        <v>13.67</v>
      </c>
      <c r="P28" s="274" t="str">
        <f t="shared" si="4"/>
        <v>TV</v>
      </c>
      <c r="Q28" s="282"/>
    </row>
    <row r="29" spans="2:20" ht="15" customHeight="1" outlineLevel="1">
      <c r="B29" s="7"/>
      <c r="C29" s="7"/>
      <c r="D29" s="300" t="s">
        <v>1296</v>
      </c>
      <c r="E29" s="365">
        <v>0</v>
      </c>
      <c r="F29" s="365">
        <v>15</v>
      </c>
      <c r="H29" s="305"/>
      <c r="J29" s="305"/>
      <c r="L29" s="362"/>
      <c r="N29" s="315"/>
      <c r="O29" s="274">
        <f>SUM(E29:F29)-SUM(G29:N29)</f>
        <v>15</v>
      </c>
      <c r="P29" s="274" t="str">
        <f t="shared" si="4"/>
        <v>Offset</v>
      </c>
      <c r="Q29" s="282"/>
    </row>
    <row r="30" spans="2:20" ht="15" customHeight="1" outlineLevel="1">
      <c r="B30" s="7"/>
      <c r="C30" s="7"/>
      <c r="D30" s="300" t="s">
        <v>332</v>
      </c>
      <c r="E30" s="365">
        <v>0</v>
      </c>
      <c r="F30" s="365">
        <v>625</v>
      </c>
      <c r="H30" s="305">
        <f>379.94+58.45</f>
        <v>438.39</v>
      </c>
      <c r="J30" s="305">
        <v>500.41</v>
      </c>
      <c r="L30" s="362"/>
      <c r="N30" s="315"/>
      <c r="O30" s="274">
        <f>SUM(E30:F30)-SUM(G30:N30)</f>
        <v>-313.79999999999995</v>
      </c>
      <c r="P30" s="274" t="str">
        <f t="shared" si="4"/>
        <v>Holidays</v>
      </c>
      <c r="Q30" s="282"/>
    </row>
    <row r="31" spans="2:20" ht="15" customHeight="1" outlineLevel="1">
      <c r="B31" s="7"/>
      <c r="C31" s="7"/>
      <c r="D31" s="300" t="s">
        <v>701</v>
      </c>
      <c r="E31" s="365">
        <v>0</v>
      </c>
      <c r="F31" s="365">
        <f>250</f>
        <v>250</v>
      </c>
      <c r="H31" s="305">
        <f>22.49+6.49+5.99+310</f>
        <v>344.97</v>
      </c>
      <c r="J31" s="305">
        <f>110-42.39-13.99+69.25+49.9+58.77-20.99+19.99+24.99+33.83+23.1+75+26.97+47.64+22.78</f>
        <v>484.85</v>
      </c>
      <c r="L31" s="362"/>
      <c r="N31" s="315"/>
      <c r="O31" s="274">
        <f>SUM(E31:F31)-SUM(G31:N31)</f>
        <v>-579.82000000000005</v>
      </c>
      <c r="P31" s="274" t="str">
        <f t="shared" si="4"/>
        <v>Gift</v>
      </c>
      <c r="Q31" s="282"/>
    </row>
    <row r="32" spans="2:20" ht="15" customHeight="1">
      <c r="B32" s="118"/>
      <c r="C32" s="118"/>
      <c r="E32" s="365"/>
      <c r="F32" s="365"/>
      <c r="H32" s="305"/>
      <c r="J32" s="305"/>
      <c r="L32" s="305"/>
      <c r="N32" s="305"/>
      <c r="O32" s="273"/>
      <c r="P32" s="273"/>
      <c r="Q32" s="282"/>
      <c r="R32" s="243"/>
    </row>
    <row r="33" spans="2:19" ht="15" customHeight="1">
      <c r="B33" s="727" t="str">
        <f>_xlfn.CONCAT("Wants - 30 - ",G39*0.3," / Actual = ",D34," (",ROUND((D34/G39)*100,2),")")</f>
        <v>Wants - 30 - 1386.054 / Actual = 1286.63 (27.85)</v>
      </c>
      <c r="C33" s="727"/>
      <c r="D33" s="727"/>
      <c r="E33" s="727"/>
      <c r="F33" s="318"/>
      <c r="H33" s="305"/>
      <c r="J33" s="305"/>
      <c r="L33" s="305"/>
      <c r="N33" s="305"/>
      <c r="O33" s="273"/>
      <c r="P33" s="273"/>
      <c r="Q33" s="282"/>
      <c r="S33" s="243"/>
    </row>
    <row r="34" spans="2:19" ht="15" customHeight="1">
      <c r="B34" s="727" t="str">
        <f>IF(ISNUMBER((SEARCH("Over",B$5))),"Operating under budget","Operating over budget")</f>
        <v>Operating over budget</v>
      </c>
      <c r="C34" s="727"/>
      <c r="D34" s="759">
        <f>(E$39-D5-D23-E38)</f>
        <v>1286.6299999999997</v>
      </c>
      <c r="E34" s="727"/>
      <c r="F34" s="319">
        <f>SUM(F35:F36)</f>
        <v>542.62999999999965</v>
      </c>
      <c r="H34" s="305"/>
      <c r="J34" s="305"/>
      <c r="L34" s="305"/>
      <c r="N34" s="305"/>
      <c r="O34" s="285">
        <f>SUMIF(O35:O35,"&gt;0")</f>
        <v>0</v>
      </c>
      <c r="P34" s="285" t="s">
        <v>899</v>
      </c>
      <c r="Q34" s="282">
        <f>SUM(Q35:Q36)</f>
        <v>11.30000000000053</v>
      </c>
      <c r="S34" s="243"/>
    </row>
    <row r="35" spans="2:19" ht="15.75" customHeight="1" outlineLevel="1">
      <c r="B35" s="734"/>
      <c r="C35" s="760"/>
      <c r="D35" s="13" t="s">
        <v>781</v>
      </c>
      <c r="E35" s="365">
        <v>0</v>
      </c>
      <c r="F35" s="365">
        <f>13+6.99+0.99+7.99+8.99+25</f>
        <v>62.96</v>
      </c>
      <c r="G35" s="11">
        <f>13+7.99+0.99+25+8.99+7.99+1</f>
        <v>64.960000000000008</v>
      </c>
      <c r="H35" s="305"/>
      <c r="J35" s="305"/>
      <c r="L35" s="305"/>
      <c r="N35" s="305"/>
      <c r="O35" s="274">
        <f t="shared" ref="O35" si="5">SUM(E35:F35)-SUM(G35:N35)</f>
        <v>-2.0000000000000071</v>
      </c>
      <c r="P35" s="274" t="str">
        <f t="shared" ref="P35:P37" si="6">D35</f>
        <v>Subscriptions</v>
      </c>
      <c r="Q35" s="282">
        <f>IF(O35&lt;0,O35*-1,0)</f>
        <v>2.0000000000000071</v>
      </c>
      <c r="S35" s="349"/>
    </row>
    <row r="36" spans="2:19" ht="18" outlineLevel="1">
      <c r="B36" s="734"/>
      <c r="C36" s="760"/>
      <c r="D36" s="13" t="s">
        <v>922</v>
      </c>
      <c r="E36" s="365">
        <v>0</v>
      </c>
      <c r="F36" s="365">
        <f>(D34-SUM(F35:F35))-F37</f>
        <v>479.66999999999962</v>
      </c>
      <c r="G36" s="11">
        <v>2.99</v>
      </c>
      <c r="J36" s="305">
        <f>4.5+2.25+51.5+0.95+30.63+60.97+7.5+2.15+28+3.99+20.99+34.99+58.73+1.99+11.05+8.99+3.3+11.05+21.38+3.5+8.17+6.99+5.6+10.43+12+40</f>
        <v>451.60000000000014</v>
      </c>
      <c r="K36">
        <f>-0.8+1.1+9.99</f>
        <v>10.290000000000001</v>
      </c>
      <c r="M36">
        <f>20+1.1+2.99</f>
        <v>24.090000000000003</v>
      </c>
      <c r="N36" s="305"/>
      <c r="O36" s="274">
        <f>SUM(E36:F36)-SUM(G36:N36)</f>
        <v>-9.300000000000523</v>
      </c>
      <c r="P36" s="274" t="str">
        <f t="shared" si="6"/>
        <v>Matt Fun</v>
      </c>
      <c r="Q36" s="282">
        <f>IF(SUM(E36:F36)-SUM(G36:N36)&lt;=0,(SUM(E36:F36)-SUM(G36:N36))*-1,0)</f>
        <v>9.300000000000523</v>
      </c>
    </row>
    <row r="37" spans="2:19" ht="18" outlineLevel="1">
      <c r="B37" s="7"/>
      <c r="C37" s="284"/>
      <c r="D37" s="13" t="s">
        <v>152</v>
      </c>
      <c r="E37" s="365">
        <v>0</v>
      </c>
      <c r="F37" s="365">
        <f>30+9.5+148.5+45+23+155+35+30+35+15+38+100+25+55</f>
        <v>744</v>
      </c>
      <c r="G37" s="11"/>
      <c r="H37" s="306">
        <v>35</v>
      </c>
      <c r="J37" s="305">
        <f>96+39.75+55+28+45+148.5+9.5+8.1+14.75+68+100+14.65+55+38+25+30</f>
        <v>775.25</v>
      </c>
      <c r="L37" s="305"/>
      <c r="N37" s="305"/>
      <c r="O37" s="274">
        <f>SUM(E37:F37)-SUM(G37:N37)</f>
        <v>-66.25</v>
      </c>
      <c r="P37" s="274" t="str">
        <f t="shared" si="6"/>
        <v>Kris</v>
      </c>
      <c r="Q37" s="271">
        <f>IF(F37-SUM(G37:N37)&lt;=0,(F37-SUM(G37:N37))*-1,0)</f>
        <v>66.25</v>
      </c>
    </row>
    <row r="38" spans="2:19">
      <c r="B38" s="118"/>
      <c r="C38" s="118"/>
      <c r="E38" s="365">
        <f>E24</f>
        <v>992.31</v>
      </c>
      <c r="F38" s="365"/>
      <c r="G38" s="349"/>
      <c r="J38" s="7"/>
      <c r="L38" s="7"/>
      <c r="N38" s="7"/>
      <c r="O38" s="273"/>
      <c r="P38" s="273"/>
      <c r="Q38" s="282"/>
    </row>
    <row r="39" spans="2:19" ht="18">
      <c r="B39" s="728" t="s">
        <v>817</v>
      </c>
      <c r="C39" s="728"/>
      <c r="D39" s="728"/>
      <c r="E39" s="375">
        <f>G39+I39+K39+M39+N39+E38</f>
        <v>5882.49</v>
      </c>
      <c r="F39" s="379"/>
      <c r="G39" s="271">
        <f>3106.18+850+30+9.5+148.5+45+23+155+35+30+35+100+15+38</f>
        <v>4620.18</v>
      </c>
      <c r="H39" s="282"/>
      <c r="I39" s="271"/>
      <c r="J39" s="271"/>
      <c r="K39" s="271">
        <f>100+25+55</f>
        <v>180</v>
      </c>
      <c r="L39" s="271"/>
      <c r="M39" s="271">
        <f>40+50</f>
        <v>90</v>
      </c>
      <c r="N39" s="271"/>
      <c r="O39" s="314">
        <f>ROUND(O5+O34+O23+IF(O36&lt;0,0,O36)+O37+O4,2)</f>
        <v>3605.06</v>
      </c>
      <c r="P39" s="274"/>
      <c r="Q39" s="282">
        <f>SUM(Q34,Q23,Q5)</f>
        <v>111.20000000000053</v>
      </c>
    </row>
    <row r="40" spans="2:19" ht="18">
      <c r="B40" s="118"/>
      <c r="C40" s="7"/>
      <c r="D40" s="13" t="s">
        <v>1451</v>
      </c>
      <c r="E40" s="365"/>
      <c r="F40" s="365"/>
      <c r="G40" s="384"/>
      <c r="H40" s="243"/>
      <c r="L40" s="243"/>
    </row>
    <row r="41" spans="2:19" ht="14.4">
      <c r="B41" s="729"/>
      <c r="C41" s="729"/>
      <c r="D41" s="729"/>
      <c r="E41" s="729"/>
      <c r="F41" s="729"/>
      <c r="G41" s="729"/>
      <c r="H41" s="297"/>
      <c r="K41" s="729"/>
      <c r="L41" s="729"/>
      <c r="M41" s="729"/>
      <c r="N41" s="729"/>
      <c r="O41" s="729"/>
      <c r="P41" s="297"/>
    </row>
    <row r="42" spans="2:19" ht="15" customHeight="1">
      <c r="B42" s="726" t="s">
        <v>955</v>
      </c>
      <c r="C42" s="726"/>
      <c r="D42" s="726"/>
      <c r="E42" s="726"/>
      <c r="F42" s="348"/>
      <c r="K42" s="212"/>
      <c r="L42" s="212"/>
      <c r="N42" s="118" t="s">
        <v>1509</v>
      </c>
      <c r="O42" s="316">
        <v>45287</v>
      </c>
      <c r="P42" s="7">
        <f ca="1">DATEDIF(O42,NOW(),"d")</f>
        <v>964</v>
      </c>
      <c r="Q42">
        <v>2.99</v>
      </c>
      <c r="R42" t="s">
        <v>1510</v>
      </c>
    </row>
    <row r="43" spans="2:19">
      <c r="B43" s="365"/>
      <c r="C43" s="38"/>
      <c r="D43" s="212"/>
      <c r="E43" s="310"/>
      <c r="F43" s="11"/>
      <c r="G43" s="367"/>
      <c r="I43" s="243"/>
      <c r="K43" s="11"/>
      <c r="L43" s="243"/>
      <c r="N43" s="322" t="s">
        <v>1501</v>
      </c>
      <c r="O43" s="42">
        <v>45277</v>
      </c>
      <c r="P43" s="7">
        <f ca="1">DATEDIF(O43,NOW(),"d")</f>
        <v>974</v>
      </c>
      <c r="Q43">
        <v>24</v>
      </c>
      <c r="R43" t="s">
        <v>1441</v>
      </c>
    </row>
    <row r="44" spans="2:19">
      <c r="E44" s="409"/>
      <c r="F44" s="365"/>
      <c r="G44" s="445"/>
      <c r="J44" s="243"/>
      <c r="L44" s="243"/>
      <c r="N44" t="s">
        <v>1502</v>
      </c>
      <c r="O44" s="316">
        <v>45277</v>
      </c>
      <c r="P44" s="7">
        <f ca="1">DATEDIF(O44,NOW(),"d")</f>
        <v>974</v>
      </c>
      <c r="Q44">
        <v>82</v>
      </c>
      <c r="R44" t="s">
        <v>1105</v>
      </c>
    </row>
    <row r="45" spans="2:19" ht="16.2" customHeight="1">
      <c r="E45" s="384"/>
      <c r="H45" s="243"/>
      <c r="I45" s="243"/>
      <c r="J45" s="213"/>
      <c r="K45" s="213"/>
      <c r="L45" s="243"/>
      <c r="N45" t="s">
        <v>1483</v>
      </c>
      <c r="O45" s="316">
        <v>45214</v>
      </c>
      <c r="P45" s="7">
        <f ca="1">DATEDIF(O45,NOW(),"d")</f>
        <v>1037</v>
      </c>
    </row>
    <row r="46" spans="2:19">
      <c r="B46" s="378"/>
      <c r="E46" s="79"/>
      <c r="F46" s="278"/>
      <c r="G46" s="243"/>
      <c r="J46" s="243"/>
      <c r="L46" s="243"/>
      <c r="P46" s="56"/>
    </row>
    <row r="47" spans="2:19" ht="14.4">
      <c r="E47" s="409"/>
      <c r="F47" s="451"/>
      <c r="J47" s="243"/>
      <c r="K47" s="369"/>
      <c r="L47" s="243"/>
      <c r="N47" s="243"/>
      <c r="P47"/>
    </row>
    <row r="48" spans="2:19" ht="14.4">
      <c r="E48" s="412"/>
      <c r="F48" s="451"/>
      <c r="G48" s="243"/>
      <c r="I48" t="s">
        <v>1503</v>
      </c>
      <c r="J48" s="243">
        <f>90</f>
        <v>90</v>
      </c>
      <c r="K48" s="369"/>
      <c r="L48" s="243">
        <f>Q39+Q37</f>
        <v>177.45000000000053</v>
      </c>
      <c r="M48" s="243"/>
      <c r="P48" s="212"/>
      <c r="Q48" s="212"/>
    </row>
    <row r="49" spans="2:17" ht="15" customHeight="1">
      <c r="E49" s="412"/>
      <c r="F49" s="451"/>
      <c r="H49" s="243"/>
      <c r="I49" t="s">
        <v>724</v>
      </c>
      <c r="J49">
        <f>58+398</f>
        <v>456</v>
      </c>
      <c r="K49" s="353"/>
      <c r="L49" s="243"/>
      <c r="M49" s="243"/>
      <c r="P49" s="56"/>
      <c r="Q49" s="38"/>
    </row>
    <row r="50" spans="2:17" ht="14.4">
      <c r="E50" s="412"/>
      <c r="F50" s="451"/>
      <c r="I50" t="s">
        <v>1475</v>
      </c>
      <c r="J50">
        <v>100</v>
      </c>
      <c r="L50" s="243"/>
      <c r="O50"/>
      <c r="P50"/>
    </row>
    <row r="51" spans="2:17" ht="15" customHeight="1">
      <c r="E51" s="413"/>
      <c r="F51" s="451"/>
      <c r="H51" s="243"/>
      <c r="I51" t="s">
        <v>1504</v>
      </c>
      <c r="J51">
        <v>50</v>
      </c>
      <c r="L51" s="243"/>
      <c r="O51"/>
      <c r="P51"/>
    </row>
    <row r="52" spans="2:17">
      <c r="E52" s="446"/>
      <c r="F52" s="446"/>
      <c r="H52" s="243"/>
      <c r="I52" t="s">
        <v>1505</v>
      </c>
      <c r="J52">
        <v>90</v>
      </c>
      <c r="L52" s="243"/>
      <c r="O52"/>
      <c r="P52"/>
    </row>
    <row r="53" spans="2:17">
      <c r="B53" s="11"/>
      <c r="E53" s="405"/>
      <c r="I53" t="s">
        <v>1506</v>
      </c>
      <c r="J53">
        <v>90</v>
      </c>
      <c r="O53"/>
      <c r="P53"/>
    </row>
    <row r="54" spans="2:17" ht="14.4">
      <c r="B54" s="11"/>
      <c r="E54" s="118"/>
      <c r="F54" s="118"/>
      <c r="G54" s="441"/>
      <c r="J54" s="243">
        <f>SUM(J48:J52)</f>
        <v>786</v>
      </c>
      <c r="L54">
        <f>4497.91-3605.06</f>
        <v>892.84999999999991</v>
      </c>
      <c r="O54"/>
      <c r="P54"/>
    </row>
    <row r="55" spans="2:17">
      <c r="E55" s="405"/>
      <c r="F55" s="384"/>
      <c r="J55" s="243">
        <f>J54-L48</f>
        <v>608.5499999999995</v>
      </c>
      <c r="L55" s="243"/>
      <c r="M55" s="243"/>
      <c r="O55"/>
      <c r="P55"/>
    </row>
    <row r="56" spans="2:17">
      <c r="B56" s="212"/>
      <c r="C56" s="212"/>
      <c r="E56" s="405"/>
      <c r="F56" s="384"/>
      <c r="J56" s="407">
        <f>O24+J55</f>
        <v>779.51999999999884</v>
      </c>
      <c r="O56"/>
      <c r="P56"/>
    </row>
    <row r="57" spans="2:17" ht="14.4">
      <c r="C57" s="56"/>
      <c r="E57"/>
      <c r="F57"/>
      <c r="I57" t="s">
        <v>1507</v>
      </c>
      <c r="J57" s="441">
        <f>J56-180</f>
        <v>599.51999999999884</v>
      </c>
      <c r="O57"/>
      <c r="P57"/>
    </row>
    <row r="58" spans="2:17" ht="15.75" customHeight="1">
      <c r="C58" s="56"/>
      <c r="E58"/>
      <c r="F58"/>
      <c r="I58" t="s">
        <v>1279</v>
      </c>
      <c r="J58" s="441">
        <f>J57-375</f>
        <v>224.51999999999884</v>
      </c>
      <c r="M58" s="243"/>
      <c r="O58"/>
      <c r="P58"/>
    </row>
    <row r="59" spans="2:17" ht="14.4">
      <c r="C59" s="56"/>
      <c r="E59"/>
      <c r="F59"/>
      <c r="J59" s="441">
        <v>530</v>
      </c>
      <c r="M59" s="243"/>
      <c r="O59"/>
      <c r="P59" s="771"/>
    </row>
    <row r="60" spans="2:17" ht="14.4">
      <c r="C60" s="56"/>
      <c r="D60" s="79"/>
      <c r="E60"/>
      <c r="F60" s="79"/>
      <c r="J60" s="407"/>
      <c r="O60"/>
      <c r="P60" s="771"/>
    </row>
    <row r="61" spans="2:17" ht="14.4">
      <c r="C61" s="56"/>
      <c r="E61"/>
      <c r="F61"/>
      <c r="I61" s="407"/>
      <c r="J61" s="407"/>
      <c r="K61" s="243"/>
      <c r="O61"/>
      <c r="P61" s="771"/>
    </row>
    <row r="62" spans="2:17" ht="14.4">
      <c r="C62" s="56"/>
      <c r="E62" s="407"/>
      <c r="F62"/>
      <c r="G62" s="407"/>
      <c r="J62" s="407"/>
      <c r="O62"/>
      <c r="P62" s="771"/>
    </row>
    <row r="63" spans="2:17" ht="14.4">
      <c r="C63" s="56"/>
      <c r="E63"/>
      <c r="F63"/>
      <c r="O63"/>
      <c r="P63"/>
    </row>
    <row r="64" spans="2:17">
      <c r="C64" s="56"/>
      <c r="E64" s="347"/>
      <c r="F64" s="446"/>
      <c r="G64" s="447"/>
      <c r="O64"/>
      <c r="P64"/>
    </row>
    <row r="65" spans="2:16" ht="14.4">
      <c r="C65" s="56"/>
      <c r="E65" s="332"/>
      <c r="F65"/>
      <c r="O65"/>
      <c r="P65" s="771"/>
    </row>
    <row r="66" spans="2:16" ht="14.4">
      <c r="C66" s="56"/>
      <c r="E66"/>
      <c r="F66"/>
      <c r="O66"/>
      <c r="P66" s="771"/>
    </row>
    <row r="67" spans="2:16">
      <c r="C67" s="56"/>
      <c r="F67" s="79"/>
      <c r="O67"/>
      <c r="P67" s="771"/>
    </row>
    <row r="68" spans="2:16" ht="14.4">
      <c r="E68"/>
      <c r="F68"/>
      <c r="O68"/>
      <c r="P68" s="771"/>
    </row>
    <row r="69" spans="2:16">
      <c r="B69" s="212"/>
      <c r="C69" s="294"/>
      <c r="E69" s="365"/>
      <c r="F69"/>
      <c r="G69" s="407"/>
      <c r="O69"/>
      <c r="P69"/>
    </row>
    <row r="70" spans="2:16">
      <c r="C70" s="56"/>
      <c r="D70" s="56"/>
      <c r="E70" s="56"/>
      <c r="O70"/>
      <c r="P70"/>
    </row>
    <row r="71" spans="2:16" ht="14.4">
      <c r="C71" s="56"/>
      <c r="D71" s="56"/>
      <c r="E71" s="56"/>
      <c r="F71" s="56"/>
      <c r="O71"/>
      <c r="P71" s="771"/>
    </row>
    <row r="72" spans="2:16" ht="14.4">
      <c r="C72" s="56"/>
      <c r="D72" s="56"/>
      <c r="E72" s="56"/>
      <c r="F72" s="56"/>
      <c r="O72"/>
      <c r="P72" s="771"/>
    </row>
    <row r="73" spans="2:16" ht="14.4">
      <c r="C73" s="56"/>
      <c r="D73" s="56"/>
      <c r="E73" s="56"/>
      <c r="F73"/>
      <c r="O73"/>
      <c r="P73" s="771"/>
    </row>
    <row r="74" spans="2:16" ht="14.4">
      <c r="C74" s="56"/>
      <c r="D74" s="56"/>
      <c r="E74" s="56"/>
      <c r="F74" s="332"/>
      <c r="O74"/>
      <c r="P74" s="771"/>
    </row>
    <row r="75" spans="2:16" ht="14.4">
      <c r="C75" s="56"/>
      <c r="E75" s="56"/>
      <c r="F75"/>
      <c r="O75"/>
      <c r="P75"/>
    </row>
    <row r="76" spans="2:16">
      <c r="F76"/>
      <c r="O76"/>
      <c r="P76"/>
    </row>
    <row r="77" spans="2:16">
      <c r="E77" s="212"/>
      <c r="F77" s="365"/>
      <c r="O77"/>
      <c r="P77" s="771"/>
    </row>
    <row r="78" spans="2:16" ht="14.4">
      <c r="E78" s="56"/>
      <c r="F78" s="212"/>
      <c r="O78"/>
      <c r="P78" s="771"/>
    </row>
    <row r="79" spans="2:16" ht="14.4">
      <c r="E79" s="56"/>
      <c r="F79" s="56"/>
      <c r="O79"/>
      <c r="P79" s="771"/>
    </row>
    <row r="80" spans="2:16" ht="14.4">
      <c r="E80" s="56"/>
      <c r="F80" s="56"/>
      <c r="O80"/>
      <c r="P80" s="771"/>
    </row>
    <row r="81" spans="5:16" ht="14.4">
      <c r="E81" s="56"/>
      <c r="F81" s="56"/>
      <c r="O81"/>
      <c r="P81"/>
    </row>
    <row r="82" spans="5:16" ht="14.4">
      <c r="E82" s="56"/>
      <c r="F82" s="56"/>
      <c r="O82"/>
      <c r="P82"/>
    </row>
    <row r="83" spans="5:16" ht="14.4">
      <c r="E83" s="56"/>
      <c r="F83" s="56"/>
      <c r="O83"/>
      <c r="P83" s="771"/>
    </row>
    <row r="84" spans="5:16">
      <c r="O84"/>
      <c r="P84" s="771"/>
    </row>
    <row r="85" spans="5:16" ht="14.4">
      <c r="E85" s="212"/>
      <c r="F85" s="212"/>
      <c r="O85"/>
      <c r="P85" s="771"/>
    </row>
    <row r="86" spans="5:16" ht="14.4">
      <c r="E86" s="56"/>
      <c r="F86" s="56"/>
      <c r="O86"/>
      <c r="P86" s="771"/>
    </row>
    <row r="87" spans="5:16" ht="14.4">
      <c r="E87" s="56"/>
      <c r="F87" s="56"/>
      <c r="O87"/>
      <c r="P87"/>
    </row>
    <row r="88" spans="5:16" ht="14.4">
      <c r="E88" s="56"/>
      <c r="F88" s="56"/>
      <c r="G88" s="407"/>
      <c r="O88"/>
      <c r="P88"/>
    </row>
    <row r="89" spans="5:16" ht="14.4">
      <c r="E89" s="56"/>
      <c r="F89" s="56"/>
      <c r="G89" s="407"/>
      <c r="O89"/>
      <c r="P89" s="771"/>
    </row>
    <row r="90" spans="5:16" ht="14.4">
      <c r="E90" s="56"/>
      <c r="F90" s="56"/>
      <c r="G90" s="407"/>
      <c r="O90"/>
      <c r="P90" s="771"/>
    </row>
    <row r="91" spans="5:16" ht="14.4">
      <c r="E91" s="56"/>
      <c r="F91" s="56"/>
      <c r="G91" s="407"/>
      <c r="O91"/>
      <c r="P91" s="771"/>
    </row>
    <row r="92" spans="5:16">
      <c r="E92" s="365"/>
      <c r="F92" s="365"/>
      <c r="G92" s="407"/>
      <c r="O92"/>
      <c r="P92" s="771"/>
    </row>
    <row r="93" spans="5:16">
      <c r="G93" s="407"/>
      <c r="O93"/>
      <c r="P93"/>
    </row>
    <row r="94" spans="5:16">
      <c r="G94" s="407"/>
      <c r="O94"/>
      <c r="P94"/>
    </row>
    <row r="95" spans="5:16">
      <c r="G95" s="407"/>
    </row>
    <row r="99" spans="6:6">
      <c r="F99" s="384"/>
    </row>
    <row r="100" spans="6:6">
      <c r="F100" s="384"/>
    </row>
  </sheetData>
  <mergeCells count="29">
    <mergeCell ref="B4:E4"/>
    <mergeCell ref="B1:O1"/>
    <mergeCell ref="G3:H3"/>
    <mergeCell ref="I3:J3"/>
    <mergeCell ref="K3:L3"/>
    <mergeCell ref="M3:N3"/>
    <mergeCell ref="B39:D39"/>
    <mergeCell ref="B5:C5"/>
    <mergeCell ref="D5:E5"/>
    <mergeCell ref="B6:B20"/>
    <mergeCell ref="C6:C20"/>
    <mergeCell ref="B22:E22"/>
    <mergeCell ref="B23:C23"/>
    <mergeCell ref="D23:E23"/>
    <mergeCell ref="B33:E33"/>
    <mergeCell ref="B34:C34"/>
    <mergeCell ref="D34:E34"/>
    <mergeCell ref="B35:B36"/>
    <mergeCell ref="C35:C36"/>
    <mergeCell ref="P71:P74"/>
    <mergeCell ref="P77:P80"/>
    <mergeCell ref="P83:P86"/>
    <mergeCell ref="P89:P92"/>
    <mergeCell ref="B41:G41"/>
    <mergeCell ref="K41:O41"/>
    <mergeCell ref="B42:C42"/>
    <mergeCell ref="D42:E42"/>
    <mergeCell ref="P59:P62"/>
    <mergeCell ref="P65:P68"/>
  </mergeCells>
  <pageMargins left="0.7" right="0.7" top="0.75" bottom="0.75" header="0.3" footer="0.3"/>
  <pageSetup orientation="portrait" r:id="rId1"/>
  <legacyDrawing r:id="rId2"/>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CBD2-0C94-8847-945B-1002B4C8491C}">
  <dimension ref="A1:T104"/>
  <sheetViews>
    <sheetView topLeftCell="D10" zoomScale="90" zoomScaleNormal="90" workbookViewId="0">
      <selection activeCell="H33" sqref="H33"/>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NOV-DEC N 24</v>
      </c>
      <c r="B1" s="730" t="str">
        <f ca="1">MID(CELL("filename",B1),FIND("]",CELL("filename",B1))+1,255)</f>
        <v>DEC-JAN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ROUND(O5+O39+O25+IF(O40&lt;0,0,O40)+O41+O4,2) &amp; " / " &amp; "£" &amp; E43</f>
        <v>£4380.12 / £5024.51</v>
      </c>
      <c r="E3" s="365"/>
      <c r="F3" s="365"/>
      <c r="G3" s="732">
        <v>45194</v>
      </c>
      <c r="H3" s="732"/>
      <c r="I3" s="732">
        <f>G3+7</f>
        <v>45201</v>
      </c>
      <c r="J3" s="732"/>
      <c r="K3" s="732">
        <f>I3+7</f>
        <v>45208</v>
      </c>
      <c r="L3" s="732"/>
      <c r="M3" s="732">
        <f>K3+7</f>
        <v>45215</v>
      </c>
      <c r="N3" s="732"/>
      <c r="O3" s="308">
        <v>0</v>
      </c>
      <c r="P3" s="325" t="s">
        <v>1224</v>
      </c>
      <c r="Q3" s="282"/>
    </row>
    <row r="4" spans="1:20" ht="15" customHeight="1">
      <c r="B4" s="727" t="str">
        <f>_xlfn.CONCAT("Expenses - 50 - ",G43*0.5," / Actual = ",ROUND(D5,2)," (",ROUND((D5/G43)*100,2),")")</f>
        <v>Expenses - 50 - 2512.255 / Actual = 2891.65 (57.55)</v>
      </c>
      <c r="C4" s="727"/>
      <c r="D4" s="727"/>
      <c r="E4" s="727"/>
      <c r="F4" s="318"/>
      <c r="G4" s="243"/>
      <c r="H4" s="304">
        <f>SUM(H5:H41)</f>
        <v>3582.9400000000005</v>
      </c>
      <c r="I4" s="243"/>
      <c r="J4" s="304">
        <f>SUM(J5:J41)</f>
        <v>517.19000000000005</v>
      </c>
      <c r="K4" s="243"/>
      <c r="L4" s="304">
        <f>SUM(L5:L41)</f>
        <v>0</v>
      </c>
      <c r="M4" s="243"/>
      <c r="N4" s="304">
        <f>SUM(N5:N41)-SUM(N29:N36)</f>
        <v>0</v>
      </c>
      <c r="O4" s="308">
        <f>IF(H42&lt;&gt;"PAID",H4,0)+IF(J42&lt;&gt;"PAID",J4,0)+IF(L42&lt;&gt;"PAID",L4,0)+IF(N42&lt;&gt;"PAID",N4,0)</f>
        <v>4100.130000000001</v>
      </c>
      <c r="P4" s="309" t="s">
        <v>973</v>
      </c>
      <c r="Q4" s="408">
        <f>O4+402.34</f>
        <v>4502.4700000000012</v>
      </c>
      <c r="R4" s="243"/>
      <c r="S4" s="243"/>
    </row>
    <row r="5" spans="1:20" ht="15" customHeight="1">
      <c r="B5" s="733" t="str">
        <f>IF(D5&gt;E$43*0.5,ROUND(D5-E$43*0.5,2) &amp; " Over",ROUND(E$43*0.5-D5,2) &amp; " Under")</f>
        <v>379.4 Over</v>
      </c>
      <c r="C5" s="733"/>
      <c r="D5" s="761">
        <f>ROUND(SUM(F6:F22),2)</f>
        <v>2891.65</v>
      </c>
      <c r="E5" s="761"/>
      <c r="F5" s="321"/>
      <c r="G5" s="284">
        <f>E10-1845.77</f>
        <v>395.87999999999965</v>
      </c>
      <c r="H5" s="306"/>
      <c r="I5" s="79"/>
      <c r="J5" s="306"/>
      <c r="K5" s="79"/>
      <c r="L5" s="306"/>
      <c r="M5" s="79"/>
      <c r="N5" s="305"/>
      <c r="O5" s="285">
        <f>SUMIF(O6:O22,"&gt;0")</f>
        <v>524.92000000000019</v>
      </c>
      <c r="P5" s="285" t="s">
        <v>892</v>
      </c>
      <c r="Q5" s="282">
        <f>SUM(Q6:Q21)</f>
        <v>20.410000000000018</v>
      </c>
      <c r="R5" s="243"/>
    </row>
    <row r="6" spans="1:20" ht="15" customHeight="1">
      <c r="B6" s="734" t="str">
        <f>"50%: " &amp; E$43*0.5</f>
        <v>50%: 2512.255</v>
      </c>
      <c r="C6" s="734" t="str">
        <f>ROUND((D5/E$43)*100,2) &amp; "%: " &amp;D5</f>
        <v>57.55%: 2891.65</v>
      </c>
      <c r="D6" s="13" t="s">
        <v>805</v>
      </c>
      <c r="E6" s="365">
        <v>0</v>
      </c>
      <c r="F6" s="374">
        <v>150</v>
      </c>
      <c r="H6" s="304">
        <f>20.1+28.81+30.05+30.12+15.91</f>
        <v>124.99</v>
      </c>
      <c r="J6" s="305">
        <f>25.38</f>
        <v>25.38</v>
      </c>
      <c r="L6" s="305"/>
      <c r="N6" s="305"/>
      <c r="O6" s="274">
        <f>SUM(E6:F6)-SUM(G6:N6)</f>
        <v>-0.37000000000000455</v>
      </c>
      <c r="P6" s="274" t="str">
        <f t="shared" ref="P6:P22" si="0">D6</f>
        <v>Car Petrol / commuting</v>
      </c>
      <c r="Q6" s="282">
        <f t="shared" ref="Q6:Q21" si="1">IF(O6&lt;0,O6*-1,0)</f>
        <v>0.37000000000000455</v>
      </c>
      <c r="R6" s="243"/>
    </row>
    <row r="7" spans="1:20" ht="15" customHeight="1">
      <c r="B7" s="734"/>
      <c r="C7" s="734"/>
      <c r="D7" s="13" t="s">
        <v>169</v>
      </c>
      <c r="E7" s="365">
        <v>0</v>
      </c>
      <c r="F7" s="365">
        <f>400</f>
        <v>400</v>
      </c>
      <c r="H7" s="304">
        <f>4.35+2.6+6.35+5.5+11+31.75+40.11+4.65+10.25+36.78+63.6+84.91+7.5</f>
        <v>309.35000000000002</v>
      </c>
      <c r="J7" s="305">
        <f>67.75+6.15+30.99+2</f>
        <v>106.89</v>
      </c>
      <c r="L7" s="305"/>
      <c r="N7" s="305"/>
      <c r="O7" s="274">
        <f>SUM(E7:F7)-SUM(G7:N7)</f>
        <v>-16.240000000000009</v>
      </c>
      <c r="P7" s="274" t="str">
        <f t="shared" si="0"/>
        <v>Food</v>
      </c>
      <c r="Q7" s="282">
        <f t="shared" si="1"/>
        <v>16.240000000000009</v>
      </c>
      <c r="R7" s="243"/>
    </row>
    <row r="8" spans="1:20" ht="15" customHeight="1">
      <c r="B8" s="734"/>
      <c r="C8" s="734"/>
      <c r="D8" s="13" t="s">
        <v>153</v>
      </c>
      <c r="E8" s="365">
        <v>0</v>
      </c>
      <c r="F8" s="365">
        <f>60</f>
        <v>60</v>
      </c>
      <c r="H8" s="305">
        <f>14.3+20.3+14.3+14.9</f>
        <v>63.800000000000004</v>
      </c>
      <c r="J8" s="305"/>
      <c r="L8" s="305"/>
      <c r="N8" s="305"/>
      <c r="O8" s="274">
        <f>SUM(E8:F8)-SUM(G8:N8)</f>
        <v>-3.8000000000000043</v>
      </c>
      <c r="P8" s="274" t="str">
        <f t="shared" si="0"/>
        <v>Luna</v>
      </c>
      <c r="Q8" s="282">
        <f t="shared" si="1"/>
        <v>3.8000000000000043</v>
      </c>
    </row>
    <row r="9" spans="1:20" ht="15" customHeight="1">
      <c r="B9" s="734"/>
      <c r="C9" s="734"/>
      <c r="D9" s="13" t="s">
        <v>1079</v>
      </c>
      <c r="E9" s="365">
        <v>0</v>
      </c>
      <c r="F9" s="365">
        <v>40</v>
      </c>
      <c r="H9" s="305">
        <f>8.98</f>
        <v>8.98</v>
      </c>
      <c r="J9" s="305">
        <v>14.24</v>
      </c>
      <c r="L9" s="305"/>
      <c r="N9" s="305"/>
      <c r="O9" s="274">
        <f>SUM(E9:F9)-SUM(G9:N9)</f>
        <v>16.78</v>
      </c>
      <c r="P9" s="274" t="str">
        <f t="shared" si="0"/>
        <v>Creamy</v>
      </c>
      <c r="Q9" s="282">
        <f t="shared" si="1"/>
        <v>0</v>
      </c>
      <c r="R9" s="243"/>
    </row>
    <row r="10" spans="1:20" ht="15" customHeight="1">
      <c r="B10" s="734"/>
      <c r="C10" s="734"/>
      <c r="D10" s="13" t="s">
        <v>189</v>
      </c>
      <c r="E10" s="780">
        <f>SUM(F11:F22)</f>
        <v>2241.6499999999996</v>
      </c>
      <c r="F10" s="780"/>
      <c r="H10" s="305"/>
      <c r="J10" s="305"/>
      <c r="L10" s="305"/>
      <c r="N10" s="305"/>
      <c r="O10" s="274"/>
      <c r="P10" s="274" t="str">
        <f t="shared" si="0"/>
        <v>Direct debits</v>
      </c>
      <c r="Q10" s="282"/>
      <c r="R10" s="243"/>
    </row>
    <row r="11" spans="1:20" ht="15" customHeight="1" outlineLevel="1">
      <c r="B11" s="734"/>
      <c r="C11" s="734"/>
      <c r="D11" s="201" t="s">
        <v>595</v>
      </c>
      <c r="E11" s="365">
        <v>0</v>
      </c>
      <c r="F11" s="365">
        <v>835.29</v>
      </c>
      <c r="G11">
        <v>835.29</v>
      </c>
      <c r="H11" s="304"/>
      <c r="J11" s="305"/>
      <c r="L11" s="305"/>
      <c r="N11" s="305"/>
      <c r="O11" s="274">
        <f t="shared" ref="O11:O16" si="2">SUM(E11:F11)-SUM(G11:N11)</f>
        <v>0</v>
      </c>
      <c r="P11" s="274" t="str">
        <f t="shared" si="0"/>
        <v>Mortgage</v>
      </c>
      <c r="Q11" s="282">
        <f t="shared" si="1"/>
        <v>0</v>
      </c>
      <c r="R11" s="243"/>
      <c r="S11" s="11">
        <f>SUM(O11:O22)</f>
        <v>508.14000000000021</v>
      </c>
    </row>
    <row r="12" spans="1:20" ht="15" customHeight="1" outlineLevel="1">
      <c r="B12" s="734"/>
      <c r="C12" s="734"/>
      <c r="D12" s="201" t="s">
        <v>596</v>
      </c>
      <c r="E12" s="365">
        <v>0</v>
      </c>
      <c r="F12" s="365">
        <v>147</v>
      </c>
      <c r="H12" s="305"/>
      <c r="J12" s="305"/>
      <c r="L12" s="305"/>
      <c r="N12" s="305"/>
      <c r="O12" s="274">
        <f t="shared" si="2"/>
        <v>147</v>
      </c>
      <c r="P12" s="274" t="str">
        <f t="shared" si="0"/>
        <v>Council tax</v>
      </c>
      <c r="Q12" s="282">
        <f t="shared" si="1"/>
        <v>0</v>
      </c>
      <c r="S12" s="349">
        <f>S11-S20</f>
        <v>18.170000000000243</v>
      </c>
    </row>
    <row r="13" spans="1:20" ht="15" customHeight="1" outlineLevel="1">
      <c r="B13" s="734"/>
      <c r="C13" s="734"/>
      <c r="D13" s="201" t="s">
        <v>1002</v>
      </c>
      <c r="E13" s="365">
        <v>0</v>
      </c>
      <c r="F13" s="365">
        <f>24+90.73</f>
        <v>114.73</v>
      </c>
      <c r="G13">
        <f>90.73</f>
        <v>90.73</v>
      </c>
      <c r="H13" s="305"/>
      <c r="J13" s="305"/>
      <c r="L13" s="305"/>
      <c r="N13" s="305"/>
      <c r="O13" s="274">
        <f>SUM(E13:F13)-SUM(G13:N13)</f>
        <v>24</v>
      </c>
      <c r="P13" s="274" t="str">
        <f t="shared" si="0"/>
        <v>Utilities (G,W,E,HTB)</v>
      </c>
      <c r="Q13" s="282">
        <f t="shared" si="1"/>
        <v>0</v>
      </c>
    </row>
    <row r="14" spans="1:20" ht="15" customHeight="1" outlineLevel="1">
      <c r="B14" s="734"/>
      <c r="C14" s="734"/>
      <c r="D14" s="201" t="s">
        <v>996</v>
      </c>
      <c r="E14" s="365">
        <v>0</v>
      </c>
      <c r="F14" s="365">
        <v>14</v>
      </c>
      <c r="G14">
        <v>14</v>
      </c>
      <c r="H14" s="305"/>
      <c r="J14" s="305"/>
      <c r="L14" s="305"/>
      <c r="N14" s="305"/>
      <c r="O14" s="274">
        <f>SUM(E14:F14)-SUM(G14:N14)</f>
        <v>0</v>
      </c>
      <c r="P14" s="274" t="str">
        <f t="shared" si="0"/>
        <v>Home Insurance</v>
      </c>
      <c r="Q14" s="282">
        <f t="shared" si="1"/>
        <v>0</v>
      </c>
    </row>
    <row r="15" spans="1:20" ht="15" customHeight="1" outlineLevel="1">
      <c r="B15" s="734"/>
      <c r="C15" s="734"/>
      <c r="D15" s="201" t="s">
        <v>1056</v>
      </c>
      <c r="E15" s="365">
        <v>0</v>
      </c>
      <c r="F15" s="365">
        <f>8+17.2+17.99</f>
        <v>43.19</v>
      </c>
      <c r="G15">
        <f>17.99+17.2</f>
        <v>35.19</v>
      </c>
      <c r="H15" s="305"/>
      <c r="J15" s="305"/>
      <c r="L15" s="305"/>
      <c r="N15" s="305"/>
      <c r="O15" s="274">
        <f>SUM(E15:F15)-SUM(G15:N15)</f>
        <v>8</v>
      </c>
      <c r="P15" s="274" t="str">
        <f t="shared" si="0"/>
        <v>Pet Health / Insurance</v>
      </c>
      <c r="Q15" s="282">
        <f t="shared" si="1"/>
        <v>0</v>
      </c>
    </row>
    <row r="16" spans="1:20" ht="15" customHeight="1" outlineLevel="1">
      <c r="B16" s="734"/>
      <c r="C16" s="734"/>
      <c r="D16" s="201" t="s">
        <v>1057</v>
      </c>
      <c r="E16" s="365">
        <v>0</v>
      </c>
      <c r="F16" s="365">
        <f>4.52+15.97+30.8</f>
        <v>51.290000000000006</v>
      </c>
      <c r="G16">
        <f>30.8+20.49</f>
        <v>51.29</v>
      </c>
      <c r="H16" s="305"/>
      <c r="I16" s="11"/>
      <c r="J16" s="305"/>
      <c r="L16" s="305"/>
      <c r="N16" s="305"/>
      <c r="O16" s="274">
        <f t="shared" si="2"/>
        <v>0</v>
      </c>
      <c r="P16" s="274" t="str">
        <f t="shared" si="0"/>
        <v>Life / Income Insurance</v>
      </c>
      <c r="Q16" s="282">
        <f t="shared" si="1"/>
        <v>0</v>
      </c>
    </row>
    <row r="17" spans="2:20" ht="15" customHeight="1" outlineLevel="1">
      <c r="B17" s="734"/>
      <c r="C17" s="734"/>
      <c r="D17" s="201" t="s">
        <v>602</v>
      </c>
      <c r="E17" s="365">
        <v>0</v>
      </c>
      <c r="F17" s="365">
        <v>28.6</v>
      </c>
      <c r="H17" s="305"/>
      <c r="J17" s="305"/>
      <c r="L17" s="305"/>
      <c r="N17" s="305"/>
      <c r="O17" s="274">
        <f t="shared" ref="O17:O21" si="3">SUM(E17:F17)-SUM(G17:N17)</f>
        <v>28.6</v>
      </c>
      <c r="P17" s="274" t="str">
        <f t="shared" si="0"/>
        <v>Broadband / TV</v>
      </c>
      <c r="Q17" s="282">
        <f t="shared" si="1"/>
        <v>0</v>
      </c>
    </row>
    <row r="18" spans="2:20" ht="15" customHeight="1" outlineLevel="1">
      <c r="B18" s="734"/>
      <c r="C18" s="734"/>
      <c r="D18" s="201" t="s">
        <v>582</v>
      </c>
      <c r="E18" s="365">
        <v>0</v>
      </c>
      <c r="F18" s="365">
        <v>7.99</v>
      </c>
      <c r="G18">
        <v>7.99</v>
      </c>
      <c r="H18" s="305"/>
      <c r="J18" s="305"/>
      <c r="L18" s="305"/>
      <c r="N18" s="305"/>
      <c r="O18" s="274">
        <f t="shared" si="3"/>
        <v>0</v>
      </c>
      <c r="P18" s="274" t="str">
        <f t="shared" si="0"/>
        <v>Onedrive (6th)</v>
      </c>
      <c r="Q18" s="282">
        <f t="shared" si="1"/>
        <v>0</v>
      </c>
    </row>
    <row r="19" spans="2:20" ht="15" customHeight="1" outlineLevel="1">
      <c r="B19" s="734"/>
      <c r="C19" s="734"/>
      <c r="D19" s="201" t="s">
        <v>788</v>
      </c>
      <c r="E19" s="365">
        <v>0</v>
      </c>
      <c r="F19" s="365">
        <v>13.2</v>
      </c>
      <c r="G19">
        <v>13.2</v>
      </c>
      <c r="H19" s="305"/>
      <c r="J19" s="305"/>
      <c r="L19" s="305"/>
      <c r="N19" s="305"/>
      <c r="O19" s="274">
        <f t="shared" si="3"/>
        <v>0</v>
      </c>
      <c r="P19" s="274" t="str">
        <f t="shared" si="0"/>
        <v>Matt Phone</v>
      </c>
      <c r="Q19" s="282">
        <f t="shared" si="1"/>
        <v>0</v>
      </c>
    </row>
    <row r="20" spans="2:20" ht="15" customHeight="1" outlineLevel="1">
      <c r="B20" s="734"/>
      <c r="C20" s="734"/>
      <c r="D20" s="201" t="s">
        <v>690</v>
      </c>
      <c r="E20" s="365">
        <v>0</v>
      </c>
      <c r="F20" s="365">
        <f>11.81+14.43+270.97+46.72+89.64+468.84</f>
        <v>902.41000000000008</v>
      </c>
      <c r="G20">
        <f>46.49+89.64+15.75+13.12+468.84</f>
        <v>633.83999999999992</v>
      </c>
      <c r="H20" s="305"/>
      <c r="J20" s="305"/>
      <c r="L20" s="305"/>
      <c r="N20" s="305"/>
      <c r="O20" s="274">
        <f t="shared" si="3"/>
        <v>268.57000000000016</v>
      </c>
      <c r="P20" s="274" t="str">
        <f t="shared" si="0"/>
        <v>Cars</v>
      </c>
      <c r="Q20" s="282">
        <f t="shared" si="1"/>
        <v>0</v>
      </c>
      <c r="S20">
        <f>468.84+21.13</f>
        <v>489.96999999999997</v>
      </c>
    </row>
    <row r="21" spans="2:20" ht="15" customHeight="1" outlineLevel="1">
      <c r="B21" s="734"/>
      <c r="C21" s="734"/>
      <c r="D21" s="201" t="s">
        <v>944</v>
      </c>
      <c r="E21" s="365">
        <v>0</v>
      </c>
      <c r="F21" s="365">
        <v>15</v>
      </c>
      <c r="G21">
        <v>15</v>
      </c>
      <c r="H21" s="305"/>
      <c r="J21" s="305"/>
      <c r="L21" s="305"/>
      <c r="N21" s="305"/>
      <c r="O21" s="274">
        <f t="shared" si="3"/>
        <v>0</v>
      </c>
      <c r="P21" s="274" t="str">
        <f t="shared" si="0"/>
        <v>Windows</v>
      </c>
      <c r="Q21" s="282">
        <f t="shared" si="1"/>
        <v>0</v>
      </c>
      <c r="R21" s="243"/>
    </row>
    <row r="22" spans="2:20" ht="15" customHeight="1" outlineLevel="1">
      <c r="B22" s="7"/>
      <c r="C22" s="7"/>
      <c r="D22" s="201" t="s">
        <v>781</v>
      </c>
      <c r="E22" s="365">
        <v>0</v>
      </c>
      <c r="F22" s="365">
        <f>13+6.99+0.99+10.99+8.99+25+2.99</f>
        <v>68.95</v>
      </c>
      <c r="G22" s="11">
        <f>25+0.99+10.99</f>
        <v>36.979999999999997</v>
      </c>
      <c r="H22" s="305"/>
      <c r="J22" s="305"/>
      <c r="L22" s="305"/>
      <c r="N22" s="305"/>
      <c r="O22" s="274">
        <f t="shared" ref="O22" si="4">SUM(E22:F22)-SUM(G22:N22)</f>
        <v>31.970000000000006</v>
      </c>
      <c r="P22" s="274" t="str">
        <f t="shared" si="0"/>
        <v>Subscriptions</v>
      </c>
      <c r="Q22" s="282"/>
      <c r="R22" s="243"/>
    </row>
    <row r="23" spans="2:20" ht="15" customHeight="1">
      <c r="B23" s="118"/>
      <c r="C23" s="118"/>
      <c r="D23" s="188"/>
      <c r="E23" s="365"/>
      <c r="F23" s="365"/>
      <c r="H23" s="305"/>
      <c r="J23" s="305"/>
      <c r="L23" s="305"/>
      <c r="N23" s="305"/>
      <c r="O23" s="273"/>
      <c r="P23" s="273"/>
      <c r="Q23" s="282"/>
    </row>
    <row r="24" spans="2:20" ht="15" customHeight="1">
      <c r="B24" s="736" t="str">
        <f>_xlfn.CONCAT("Savings - 20 - ",G43*0.2," / Actual = ",D25," (",ROUND((D25/G43)*100,2),")")</f>
        <v>Savings - 20 - 1004.902 / Actual = 1376.93 (27.4)</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SUM(F26:F28)</f>
        <v>1376.93</v>
      </c>
      <c r="E25" s="759"/>
      <c r="F25" s="319"/>
      <c r="H25" s="305"/>
      <c r="J25" s="305"/>
      <c r="L25" s="305"/>
      <c r="N25" s="305"/>
      <c r="O25" s="285">
        <f>0</f>
        <v>0</v>
      </c>
      <c r="P25" s="285" t="s">
        <v>895</v>
      </c>
      <c r="Q25" s="282">
        <f>SUM(Q26:Q26)</f>
        <v>0</v>
      </c>
    </row>
    <row r="26" spans="2:20" ht="15" customHeight="1" outlineLevel="1">
      <c r="B26" s="7" t="str">
        <f>"20% : " &amp; E$43*0.2</f>
        <v>20% : 1004.902</v>
      </c>
      <c r="C26" s="7" t="str">
        <f>"20% : " &amp; E$43*0.2</f>
        <v>20% : 1004.902</v>
      </c>
      <c r="D26" s="300" t="s">
        <v>183</v>
      </c>
      <c r="E26" s="365">
        <v>0</v>
      </c>
      <c r="F26" s="365">
        <f>SUM(F29:F36)</f>
        <v>639.83000000000004</v>
      </c>
      <c r="H26" s="305"/>
      <c r="J26" s="305"/>
      <c r="L26" s="305"/>
      <c r="N26" s="305"/>
      <c r="O26" s="274">
        <f>SUM(O29:O36)</f>
        <v>-1121.2799999999997</v>
      </c>
      <c r="P26" s="274" t="str">
        <f t="shared" ref="P26:P36" si="5">D26</f>
        <v>Savings</v>
      </c>
      <c r="Q26" s="282">
        <v>0</v>
      </c>
      <c r="S26" s="243"/>
    </row>
    <row r="27" spans="2:20" ht="15" customHeight="1" outlineLevel="1">
      <c r="B27" s="7"/>
      <c r="C27" s="7"/>
      <c r="D27" s="300" t="s">
        <v>1279</v>
      </c>
      <c r="E27" s="365">
        <v>0</v>
      </c>
      <c r="F27" s="365">
        <v>737.1</v>
      </c>
      <c r="H27" s="305"/>
      <c r="J27" s="305"/>
      <c r="L27" s="305"/>
      <c r="N27" s="305"/>
      <c r="O27" s="274">
        <f>SUM(E27:F27)-SUM(G27:N27)</f>
        <v>737.1</v>
      </c>
      <c r="P27" s="274" t="str">
        <f t="shared" si="5"/>
        <v>Watch</v>
      </c>
      <c r="Q27" s="282"/>
      <c r="S27" s="243"/>
    </row>
    <row r="28" spans="2:20" ht="15" customHeight="1" outlineLevel="1">
      <c r="B28" s="7"/>
      <c r="C28" s="7"/>
      <c r="D28" s="300" t="s">
        <v>1015</v>
      </c>
      <c r="E28" s="365">
        <v>5794.27</v>
      </c>
      <c r="F28" s="365">
        <v>0</v>
      </c>
      <c r="H28" s="305"/>
      <c r="J28" s="305"/>
      <c r="L28" s="315"/>
      <c r="N28" s="305"/>
      <c r="O28" s="274">
        <f>SUM(E28:F28)-SUM(G28:N28)</f>
        <v>5794.27</v>
      </c>
      <c r="P28" s="274" t="str">
        <f>D28</f>
        <v>Tesco</v>
      </c>
      <c r="Q28" s="282"/>
      <c r="R28" s="243"/>
    </row>
    <row r="29" spans="2:20" ht="15" customHeight="1" outlineLevel="1">
      <c r="B29" s="7"/>
      <c r="C29" s="7"/>
      <c r="D29" s="300" t="s">
        <v>1485</v>
      </c>
      <c r="E29" s="365">
        <v>0</v>
      </c>
      <c r="F29" s="365">
        <v>40</v>
      </c>
      <c r="H29" s="305"/>
      <c r="J29" s="305"/>
      <c r="L29" s="362"/>
      <c r="N29" s="315"/>
      <c r="O29" s="274">
        <f>SUM(E29:F29)-SUM(G29:N29)</f>
        <v>40</v>
      </c>
      <c r="P29" s="274" t="str">
        <f t="shared" si="5"/>
        <v>MOT / Service</v>
      </c>
      <c r="Q29" s="282"/>
      <c r="R29" s="243"/>
    </row>
    <row r="30" spans="2:20" ht="15" customHeight="1" outlineLevel="1">
      <c r="B30" s="7"/>
      <c r="C30" s="7"/>
      <c r="D30" s="300" t="s">
        <v>590</v>
      </c>
      <c r="E30" s="365">
        <v>0</v>
      </c>
      <c r="F30" s="365">
        <v>165</v>
      </c>
      <c r="H30" s="305"/>
      <c r="J30" s="305"/>
      <c r="L30" s="362"/>
      <c r="N30" s="315"/>
      <c r="O30" s="274">
        <f>SUM(E30:F30)-SUM(G30:N30)-Q43</f>
        <v>138.7000000000001</v>
      </c>
      <c r="P30" s="274" t="str">
        <f t="shared" si="5"/>
        <v>Contingency</v>
      </c>
      <c r="Q30" s="282"/>
      <c r="T30" s="243"/>
    </row>
    <row r="31" spans="2:20" ht="15" customHeight="1" outlineLevel="1">
      <c r="B31" s="7"/>
      <c r="C31" s="7"/>
      <c r="D31" s="300" t="s">
        <v>1486</v>
      </c>
      <c r="E31" s="365">
        <v>0</v>
      </c>
      <c r="F31" s="365">
        <v>13.67</v>
      </c>
      <c r="H31" s="305"/>
      <c r="J31" s="305"/>
      <c r="L31" s="362"/>
      <c r="N31" s="315"/>
      <c r="O31" s="274">
        <f>SUM(E31:F31)-SUM(G31:N31)</f>
        <v>13.67</v>
      </c>
      <c r="P31" s="274" t="str">
        <f t="shared" si="5"/>
        <v>TV</v>
      </c>
      <c r="Q31" s="282"/>
    </row>
    <row r="32" spans="2:20" ht="15" customHeight="1" outlineLevel="1">
      <c r="B32" s="7"/>
      <c r="C32" s="7"/>
      <c r="D32" s="300" t="s">
        <v>1296</v>
      </c>
      <c r="E32" s="365">
        <v>0</v>
      </c>
      <c r="F32" s="365">
        <v>15</v>
      </c>
      <c r="H32" s="305"/>
      <c r="J32" s="305"/>
      <c r="L32" s="362"/>
      <c r="N32" s="315"/>
      <c r="O32" s="274">
        <f>SUM(E32:F32)-SUM(G32:N32)</f>
        <v>15</v>
      </c>
      <c r="P32" s="274" t="str">
        <f t="shared" si="5"/>
        <v>Offset</v>
      </c>
      <c r="Q32" s="282"/>
    </row>
    <row r="33" spans="2:19" ht="15" customHeight="1" outlineLevel="1">
      <c r="B33" s="7"/>
      <c r="C33" s="7"/>
      <c r="D33" s="300" t="s">
        <v>1407</v>
      </c>
      <c r="E33" s="365">
        <v>0</v>
      </c>
      <c r="F33" s="365">
        <v>0</v>
      </c>
      <c r="H33" s="305">
        <f>17.15+684+100.16</f>
        <v>801.31</v>
      </c>
      <c r="J33" s="305"/>
      <c r="L33" s="362"/>
      <c r="N33" s="315"/>
      <c r="O33" s="274">
        <f>SUM(E33:F33)-SUM(G33:N33)</f>
        <v>-801.31</v>
      </c>
      <c r="P33" s="274" t="str">
        <f t="shared" si="5"/>
        <v>Orlando</v>
      </c>
      <c r="Q33" s="282"/>
    </row>
    <row r="34" spans="2:19" ht="15" customHeight="1" outlineLevel="1">
      <c r="B34" s="7"/>
      <c r="C34" s="7"/>
      <c r="D34" s="300" t="s">
        <v>1526</v>
      </c>
      <c r="E34" s="365">
        <v>0</v>
      </c>
      <c r="F34" s="365">
        <v>0</v>
      </c>
      <c r="H34" s="305">
        <f>724.49</f>
        <v>724.49</v>
      </c>
      <c r="J34" s="305"/>
      <c r="L34" s="362"/>
      <c r="N34" s="315"/>
      <c r="O34" s="274"/>
      <c r="P34" s="274" t="str">
        <f t="shared" si="5"/>
        <v>Morroco</v>
      </c>
      <c r="Q34" s="282"/>
    </row>
    <row r="35" spans="2:19" ht="15" customHeight="1" outlineLevel="1">
      <c r="B35" s="7"/>
      <c r="C35" s="7"/>
      <c r="D35" s="300" t="s">
        <v>1408</v>
      </c>
      <c r="E35" s="365">
        <v>0</v>
      </c>
      <c r="F35" s="365">
        <f>625-468.84</f>
        <v>156.16000000000003</v>
      </c>
      <c r="H35" s="305">
        <f>301.64+148.06+108.32</f>
        <v>558.02</v>
      </c>
      <c r="J35" s="305"/>
      <c r="L35" s="362"/>
      <c r="N35" s="315"/>
      <c r="O35" s="274">
        <f>SUM(E35:F35)-SUM(G35:N35)</f>
        <v>-401.85999999999996</v>
      </c>
      <c r="P35" s="274" t="str">
        <f t="shared" si="5"/>
        <v>Vietnam</v>
      </c>
      <c r="Q35" s="282"/>
    </row>
    <row r="36" spans="2:19" ht="15" customHeight="1" outlineLevel="1">
      <c r="B36" s="7"/>
      <c r="C36" s="7"/>
      <c r="D36" s="300" t="s">
        <v>701</v>
      </c>
      <c r="E36" s="365">
        <v>0</v>
      </c>
      <c r="F36" s="365">
        <f>250</f>
        <v>250</v>
      </c>
      <c r="H36" s="305">
        <f>59.99+299</f>
        <v>358.99</v>
      </c>
      <c r="J36" s="305">
        <f>16.49</f>
        <v>16.489999999999998</v>
      </c>
      <c r="L36" s="362"/>
      <c r="N36" s="315"/>
      <c r="O36" s="274">
        <f>SUM(E36:F36)-SUM(G36:N36)</f>
        <v>-125.48000000000002</v>
      </c>
      <c r="P36" s="274" t="str">
        <f t="shared" si="5"/>
        <v>Gift</v>
      </c>
      <c r="Q36" s="282"/>
    </row>
    <row r="37" spans="2:19" ht="15" customHeight="1">
      <c r="B37" s="118"/>
      <c r="C37" s="118"/>
      <c r="E37" s="365"/>
      <c r="F37" s="365"/>
      <c r="H37" s="305"/>
      <c r="J37" s="305"/>
      <c r="L37" s="305"/>
      <c r="N37" s="305"/>
      <c r="O37" s="273"/>
      <c r="P37" s="273"/>
      <c r="Q37" s="282"/>
      <c r="R37" s="243"/>
    </row>
    <row r="38" spans="2:19" ht="15" customHeight="1">
      <c r="B38" s="727" t="str">
        <f>_xlfn.CONCAT("Wants - 30 - ",G43*0.3," / Actual = ",D39," (",ROUND((D39/G43)*100,2),")")</f>
        <v>Wants - 30 - 1507.353 / Actual = 755.93 (15.04)</v>
      </c>
      <c r="C38" s="727"/>
      <c r="D38" s="727"/>
      <c r="E38" s="727"/>
      <c r="F38" s="318"/>
      <c r="H38" s="305"/>
      <c r="J38" s="305"/>
      <c r="L38" s="305"/>
      <c r="N38" s="305"/>
      <c r="O38" s="273"/>
      <c r="P38" s="273"/>
      <c r="Q38" s="282"/>
      <c r="S38" s="243"/>
    </row>
    <row r="39" spans="2:19" ht="15" customHeight="1">
      <c r="B39" s="727" t="str">
        <f>IF(ISNUMBER((SEARCH("Over",B$5))),"Operating under budget","Operating over budget")</f>
        <v>Operating under budget</v>
      </c>
      <c r="C39" s="727"/>
      <c r="D39" s="759">
        <f>(E$43-D5-D25-E42)</f>
        <v>755.93000000000006</v>
      </c>
      <c r="E39" s="727"/>
      <c r="F39" s="319">
        <f>F40</f>
        <v>403.03000000000009</v>
      </c>
      <c r="H39" s="305"/>
      <c r="J39" s="305"/>
      <c r="L39" s="305"/>
      <c r="N39" s="305"/>
      <c r="O39" s="285">
        <f>0</f>
        <v>0</v>
      </c>
      <c r="P39" s="285" t="s">
        <v>899</v>
      </c>
      <c r="Q39" s="282">
        <f>SUM(Q40:Q40)</f>
        <v>5.8899999999998727</v>
      </c>
      <c r="S39" s="243"/>
    </row>
    <row r="40" spans="2:19" ht="18" outlineLevel="1">
      <c r="B40" s="7"/>
      <c r="C40" s="284"/>
      <c r="D40" s="13" t="s">
        <v>922</v>
      </c>
      <c r="E40" s="365">
        <v>0</v>
      </c>
      <c r="F40" s="365">
        <f>D39-F41</f>
        <v>403.03000000000009</v>
      </c>
      <c r="G40" s="11">
        <f>0.85+2+14.2+2.5</f>
        <v>19.55</v>
      </c>
      <c r="H40">
        <f>14.98+13.5+5+36.93+3.65+24.99+3.15+45.99+1.07+14.55+28.47</f>
        <v>192.28</v>
      </c>
      <c r="J40" s="305">
        <f>10.3+2+11.25+14.2+16+29.4+12+8+7.2+4.19+7.99+2.99+1.57+50+20</f>
        <v>197.08999999999997</v>
      </c>
      <c r="N40" s="305"/>
      <c r="O40" s="274">
        <f>SUM(E40:F40)-SUM(G40:N40)</f>
        <v>-5.8899999999998727</v>
      </c>
      <c r="P40" s="274" t="str">
        <f t="shared" ref="P40:P41" si="6">D40</f>
        <v>Matt Fun</v>
      </c>
      <c r="Q40" s="282">
        <f>IF(SUM(E40:F40)-SUM(G40:N40)&lt;=0,(SUM(E40:F40)-SUM(G40:N40))*-1,0)</f>
        <v>5.8899999999998727</v>
      </c>
    </row>
    <row r="41" spans="2:19" ht="18" outlineLevel="1">
      <c r="B41" s="7"/>
      <c r="C41" s="284"/>
      <c r="D41" s="13" t="s">
        <v>152</v>
      </c>
      <c r="E41" s="365">
        <v>0</v>
      </c>
      <c r="F41" s="365">
        <f>79.91+77+15.99+20+160</f>
        <v>352.9</v>
      </c>
      <c r="G41" s="11"/>
      <c r="H41" s="306">
        <f>129.91+111.9+76.92+77+45</f>
        <v>440.73</v>
      </c>
      <c r="J41" s="305">
        <f>19.1+100+38</f>
        <v>157.1</v>
      </c>
      <c r="L41" s="305"/>
      <c r="N41" s="305"/>
      <c r="O41" s="274">
        <f>SUM(E41:F41)-SUM(G41:N41)</f>
        <v>-244.93000000000006</v>
      </c>
      <c r="P41" s="274" t="str">
        <f t="shared" si="6"/>
        <v>Kris</v>
      </c>
      <c r="Q41" s="271">
        <f>IF(F41-SUM(G41:N41)&lt;=0,(F41-SUM(G41:N41))*-1,0)</f>
        <v>244.93000000000006</v>
      </c>
    </row>
    <row r="42" spans="2:19">
      <c r="B42" s="118"/>
      <c r="C42" s="118"/>
      <c r="E42" s="365">
        <f>E26</f>
        <v>0</v>
      </c>
      <c r="F42" s="365"/>
      <c r="G42" s="349"/>
      <c r="J42" s="7"/>
      <c r="L42" s="7"/>
      <c r="N42" s="7"/>
      <c r="O42" s="273"/>
      <c r="P42" s="273"/>
      <c r="Q42" s="282"/>
    </row>
    <row r="43" spans="2:19" ht="18">
      <c r="B43" s="728" t="s">
        <v>817</v>
      </c>
      <c r="C43" s="728"/>
      <c r="D43" s="728"/>
      <c r="E43" s="375">
        <f>G43+I43+K43+M43+N43+E42</f>
        <v>5024.51</v>
      </c>
      <c r="F43" s="379"/>
      <c r="G43" s="271">
        <f>3813.61+850+79.91+77+15.99+20+168</f>
        <v>5024.51</v>
      </c>
      <c r="H43" s="282"/>
      <c r="I43" s="271"/>
      <c r="J43" s="271"/>
      <c r="K43" s="271"/>
      <c r="L43" s="271"/>
      <c r="M43" s="271"/>
      <c r="N43" s="271"/>
      <c r="O43" s="314">
        <f>ROUND(O5+O39+O25+IF(O40&lt;0,0,O40)+O41+O4,2)</f>
        <v>4380.12</v>
      </c>
      <c r="P43" s="274"/>
      <c r="Q43" s="282">
        <f>SUM(Q39,Q25,Q5)</f>
        <v>26.299999999999891</v>
      </c>
    </row>
    <row r="44" spans="2:19" ht="18">
      <c r="B44" s="118"/>
      <c r="C44" s="7"/>
      <c r="D44" s="13" t="s">
        <v>1451</v>
      </c>
      <c r="E44" s="365"/>
      <c r="F44" s="365"/>
      <c r="G44" s="384"/>
      <c r="H44" s="243"/>
      <c r="L44" s="243"/>
    </row>
    <row r="45" spans="2:19" ht="14.4">
      <c r="B45" s="729"/>
      <c r="C45" s="729"/>
      <c r="D45" s="729"/>
      <c r="E45" s="729"/>
      <c r="F45" s="729"/>
      <c r="G45" s="729"/>
      <c r="H45" s="297"/>
      <c r="K45" s="729"/>
      <c r="L45" s="729"/>
      <c r="M45" s="729"/>
      <c r="N45" s="729"/>
      <c r="O45" s="729"/>
      <c r="P45" s="297"/>
    </row>
    <row r="46" spans="2:19" ht="15" customHeight="1">
      <c r="B46" s="726" t="s">
        <v>955</v>
      </c>
      <c r="C46" s="726"/>
      <c r="D46" s="726"/>
      <c r="E46" s="726"/>
      <c r="F46" s="348"/>
      <c r="K46" s="212"/>
      <c r="L46" s="212"/>
      <c r="N46" s="118" t="s">
        <v>1508</v>
      </c>
      <c r="O46" s="316">
        <v>45277</v>
      </c>
      <c r="P46" s="7">
        <f ca="1">DATEDIF(O46,NOW(),"d")</f>
        <v>974</v>
      </c>
      <c r="Q46">
        <v>270</v>
      </c>
      <c r="R46" t="s">
        <v>1500</v>
      </c>
    </row>
    <row r="47" spans="2:19">
      <c r="B47" s="365"/>
      <c r="C47" s="38"/>
      <c r="D47" s="212"/>
      <c r="E47" s="310"/>
      <c r="F47" s="11"/>
      <c r="G47" s="367"/>
      <c r="H47">
        <f>1064.28</f>
        <v>1064.28</v>
      </c>
      <c r="I47" s="243"/>
      <c r="K47" s="11"/>
      <c r="L47" s="243"/>
      <c r="N47" s="322" t="s">
        <v>1522</v>
      </c>
      <c r="O47" s="42">
        <v>45305</v>
      </c>
      <c r="P47" s="7">
        <f ca="1">DATEDIF(O47,NOW(),"d")</f>
        <v>946</v>
      </c>
      <c r="Q47">
        <v>63</v>
      </c>
      <c r="R47" t="s">
        <v>1105</v>
      </c>
    </row>
    <row r="48" spans="2:19">
      <c r="E48" s="409"/>
      <c r="F48" s="365"/>
      <c r="G48" s="445"/>
      <c r="H48">
        <f>H47+14.3+30.05+4.65</f>
        <v>1113.28</v>
      </c>
      <c r="J48" s="243"/>
      <c r="L48" s="243"/>
      <c r="N48" t="s">
        <v>1523</v>
      </c>
      <c r="O48" s="316">
        <v>45312</v>
      </c>
      <c r="P48" s="7">
        <f ca="1">DATEDIF(O48,NOW(),"d")</f>
        <v>939</v>
      </c>
      <c r="Q48">
        <v>20</v>
      </c>
      <c r="R48" t="s">
        <v>1524</v>
      </c>
    </row>
    <row r="49" spans="2:17" ht="16.2" customHeight="1">
      <c r="E49" s="384"/>
      <c r="H49" s="243"/>
      <c r="I49" s="243"/>
      <c r="J49" s="213"/>
      <c r="K49" s="213"/>
      <c r="L49" s="243"/>
      <c r="N49" t="s">
        <v>1483</v>
      </c>
      <c r="O49" s="316">
        <v>45214</v>
      </c>
      <c r="P49" s="7">
        <f ca="1">DATEDIF(O49,NOW(),"d")</f>
        <v>1037</v>
      </c>
    </row>
    <row r="50" spans="2:17">
      <c r="B50" s="378"/>
      <c r="E50" s="79"/>
      <c r="F50" s="278"/>
      <c r="G50" s="243"/>
      <c r="H50" t="s">
        <v>1515</v>
      </c>
      <c r="I50">
        <v>76.92</v>
      </c>
      <c r="J50" s="243"/>
      <c r="L50" s="243"/>
      <c r="P50" s="56"/>
    </row>
    <row r="51" spans="2:17" ht="14.4">
      <c r="E51" s="409"/>
      <c r="F51" s="451"/>
      <c r="H51" s="369" t="s">
        <v>1233</v>
      </c>
      <c r="I51">
        <v>45</v>
      </c>
      <c r="J51" s="243"/>
      <c r="K51" s="369"/>
      <c r="L51" s="243"/>
      <c r="N51" s="243"/>
      <c r="P51"/>
    </row>
    <row r="52" spans="2:17" ht="14.4">
      <c r="E52" s="412"/>
      <c r="F52" s="451"/>
      <c r="G52" s="243"/>
      <c r="J52" s="243"/>
      <c r="K52" s="369"/>
      <c r="L52" s="243"/>
      <c r="M52" s="243"/>
      <c r="P52" s="212"/>
      <c r="Q52" s="212"/>
    </row>
    <row r="53" spans="2:17" ht="15" customHeight="1">
      <c r="E53" s="412"/>
      <c r="F53" s="451"/>
      <c r="H53" s="243"/>
      <c r="K53" s="353"/>
      <c r="L53" s="243"/>
      <c r="M53" s="243"/>
      <c r="P53" s="56"/>
      <c r="Q53" s="38"/>
    </row>
    <row r="54" spans="2:17" ht="14.4">
      <c r="E54" s="412"/>
      <c r="F54" s="451"/>
      <c r="L54" s="243"/>
      <c r="O54"/>
      <c r="P54"/>
    </row>
    <row r="55" spans="2:17" ht="15" customHeight="1">
      <c r="E55" s="413"/>
      <c r="F55" s="451"/>
      <c r="H55" s="243"/>
      <c r="L55" s="243"/>
      <c r="O55"/>
      <c r="P55"/>
    </row>
    <row r="56" spans="2:17">
      <c r="E56" s="446"/>
      <c r="F56" s="456" t="s">
        <v>606</v>
      </c>
      <c r="G56" s="243" t="s">
        <v>1279</v>
      </c>
      <c r="L56" s="243"/>
      <c r="O56"/>
      <c r="P56"/>
    </row>
    <row r="57" spans="2:17">
      <c r="B57" s="11"/>
      <c r="E57" s="405" t="s">
        <v>890</v>
      </c>
      <c r="F57" s="267">
        <v>10800</v>
      </c>
      <c r="G57">
        <f>3100-310</f>
        <v>2790</v>
      </c>
      <c r="I57" s="407"/>
      <c r="J57">
        <v>4497.91</v>
      </c>
      <c r="K57">
        <f>3813.61-1845.77</f>
        <v>1967.8400000000001</v>
      </c>
      <c r="O57"/>
      <c r="P57"/>
    </row>
    <row r="58" spans="2:17" ht="14.4">
      <c r="B58" s="11"/>
      <c r="E58" s="118" t="s">
        <v>19</v>
      </c>
      <c r="F58" s="118">
        <v>5800</v>
      </c>
      <c r="G58" s="441">
        <v>737</v>
      </c>
      <c r="J58" s="79">
        <f>J57-863.4</f>
        <v>3634.5099999999998</v>
      </c>
      <c r="O58"/>
      <c r="P58"/>
    </row>
    <row r="59" spans="2:17">
      <c r="E59" s="405" t="s">
        <v>1511</v>
      </c>
      <c r="F59" s="384">
        <f>2800</f>
        <v>2800</v>
      </c>
      <c r="G59">
        <v>500</v>
      </c>
      <c r="J59">
        <f>J58-3634.41</f>
        <v>9.9999999999909051E-2</v>
      </c>
      <c r="L59" s="243"/>
      <c r="M59" s="243"/>
      <c r="O59"/>
      <c r="P59"/>
    </row>
    <row r="60" spans="2:17">
      <c r="B60" s="212"/>
      <c r="C60" s="212"/>
      <c r="E60" s="405" t="s">
        <v>1512</v>
      </c>
      <c r="F60" s="384">
        <f>F57-F58-F59</f>
        <v>2200</v>
      </c>
      <c r="G60" s="384">
        <f>G57-G58-G59</f>
        <v>1553</v>
      </c>
      <c r="O60"/>
      <c r="P60"/>
    </row>
    <row r="61" spans="2:17" ht="14.4">
      <c r="C61" s="56"/>
      <c r="E61" s="405" t="s">
        <v>1513</v>
      </c>
      <c r="F61" s="726">
        <f>SUM(F60:G60)-80*12</f>
        <v>2793</v>
      </c>
      <c r="G61" s="726"/>
      <c r="O61"/>
      <c r="P61"/>
    </row>
    <row r="62" spans="2:17" ht="15.75" customHeight="1">
      <c r="C62" s="56"/>
      <c r="E62" s="405" t="s">
        <v>1514</v>
      </c>
      <c r="F62" s="726">
        <f>F61-2500</f>
        <v>293</v>
      </c>
      <c r="G62" s="726"/>
      <c r="J62" s="243"/>
      <c r="M62" s="243"/>
      <c r="O62"/>
      <c r="P62"/>
    </row>
    <row r="63" spans="2:17" ht="14.4">
      <c r="C63" s="56"/>
      <c r="E63"/>
      <c r="F63"/>
      <c r="J63" s="243">
        <f>2939.86-SUM(F11:F22)</f>
        <v>698.21000000000049</v>
      </c>
      <c r="M63" s="243"/>
      <c r="O63"/>
      <c r="P63" s="771"/>
    </row>
    <row r="64" spans="2:17" ht="14.4">
      <c r="C64" s="56"/>
      <c r="D64" s="79"/>
      <c r="E64"/>
      <c r="F64" s="79">
        <f>200+100+200</f>
        <v>500</v>
      </c>
      <c r="O64"/>
      <c r="P64" s="771"/>
    </row>
    <row r="65" spans="2:16" ht="14.4">
      <c r="C65" s="56"/>
      <c r="E65"/>
      <c r="F65"/>
      <c r="I65" s="407"/>
      <c r="K65" s="243"/>
      <c r="O65"/>
      <c r="P65" s="771"/>
    </row>
    <row r="66" spans="2:16" ht="14.4">
      <c r="C66" s="56"/>
      <c r="E66" s="407"/>
      <c r="F66"/>
      <c r="G66" s="407"/>
      <c r="O66"/>
      <c r="P66" s="771"/>
    </row>
    <row r="67" spans="2:16" ht="14.4">
      <c r="C67" s="56"/>
      <c r="E67"/>
      <c r="F67" t="s">
        <v>1516</v>
      </c>
      <c r="I67" t="s">
        <v>1475</v>
      </c>
      <c r="J67">
        <v>140</v>
      </c>
      <c r="O67"/>
      <c r="P67"/>
    </row>
    <row r="68" spans="2:16">
      <c r="C68" s="56"/>
      <c r="E68" s="347"/>
      <c r="F68" s="456" t="s">
        <v>1517</v>
      </c>
      <c r="G68" s="447"/>
      <c r="I68" t="s">
        <v>1525</v>
      </c>
      <c r="J68">
        <f>(61*3)+24</f>
        <v>207</v>
      </c>
      <c r="O68"/>
      <c r="P68"/>
    </row>
    <row r="69" spans="2:16" ht="14.4">
      <c r="C69" s="56"/>
      <c r="E69" s="332"/>
      <c r="F69" t="s">
        <v>1518</v>
      </c>
      <c r="I69" t="s">
        <v>1527</v>
      </c>
      <c r="J69">
        <v>250</v>
      </c>
      <c r="O69"/>
      <c r="P69" s="771"/>
    </row>
    <row r="70" spans="2:16" ht="14.4">
      <c r="C70" s="56"/>
      <c r="E70"/>
      <c r="F70"/>
      <c r="I70" t="s">
        <v>1528</v>
      </c>
      <c r="J70">
        <v>30</v>
      </c>
      <c r="O70"/>
      <c r="P70" s="771"/>
    </row>
    <row r="71" spans="2:16">
      <c r="C71" s="56"/>
      <c r="F71" s="79"/>
      <c r="O71"/>
      <c r="P71" s="771"/>
    </row>
    <row r="72" spans="2:16" ht="14.4">
      <c r="E72"/>
      <c r="F72"/>
      <c r="I72" t="s">
        <v>1519</v>
      </c>
      <c r="O72"/>
      <c r="P72" s="771"/>
    </row>
    <row r="73" spans="2:16">
      <c r="B73" s="212"/>
      <c r="C73" s="294"/>
      <c r="E73" s="365"/>
      <c r="F73"/>
      <c r="G73" s="407"/>
      <c r="I73" t="s">
        <v>1520</v>
      </c>
      <c r="O73"/>
      <c r="P73"/>
    </row>
    <row r="74" spans="2:16">
      <c r="C74" s="56"/>
      <c r="D74" s="56"/>
      <c r="E74" s="56"/>
      <c r="I74" t="s">
        <v>1521</v>
      </c>
      <c r="O74"/>
      <c r="P74"/>
    </row>
    <row r="75" spans="2:16" ht="14.4">
      <c r="C75" s="56"/>
      <c r="D75" s="56"/>
      <c r="E75" s="56"/>
      <c r="F75" s="56"/>
      <c r="O75"/>
      <c r="P75" s="771"/>
    </row>
    <row r="76" spans="2:16" ht="14.4">
      <c r="C76" s="56"/>
      <c r="D76" s="56"/>
      <c r="E76" s="56"/>
      <c r="F76" s="56"/>
      <c r="O76"/>
      <c r="P76" s="771"/>
    </row>
    <row r="77" spans="2:16" ht="14.4">
      <c r="C77" s="56"/>
      <c r="D77" s="56"/>
      <c r="E77" s="56"/>
      <c r="F77"/>
      <c r="O77"/>
      <c r="P77" s="771"/>
    </row>
    <row r="78" spans="2:16" ht="14.4">
      <c r="C78" s="56"/>
      <c r="D78" s="56"/>
      <c r="E78" s="56"/>
      <c r="F78" s="332"/>
      <c r="O78"/>
      <c r="P78" s="771"/>
    </row>
    <row r="79" spans="2:16" ht="14.4">
      <c r="C79" s="56"/>
      <c r="E79" s="56"/>
      <c r="F79"/>
      <c r="O79"/>
      <c r="P79"/>
    </row>
    <row r="80" spans="2:16">
      <c r="F80"/>
      <c r="O80"/>
      <c r="P80"/>
    </row>
    <row r="81" spans="5:16">
      <c r="E81" s="212"/>
      <c r="F81" s="365"/>
      <c r="O81"/>
      <c r="P81" s="771"/>
    </row>
    <row r="82" spans="5:16" ht="14.4">
      <c r="E82" s="56"/>
      <c r="F82" s="212"/>
      <c r="O82"/>
      <c r="P82" s="771"/>
    </row>
    <row r="83" spans="5:16" ht="14.4">
      <c r="E83" s="56"/>
      <c r="F83" s="56"/>
      <c r="O83"/>
      <c r="P83" s="771"/>
    </row>
    <row r="84" spans="5:16" ht="14.4">
      <c r="E84" s="56"/>
      <c r="F84" s="56"/>
      <c r="O84"/>
      <c r="P84" s="771"/>
    </row>
    <row r="85" spans="5:16" ht="14.4">
      <c r="E85" s="56"/>
      <c r="F85" s="56"/>
      <c r="O85"/>
      <c r="P85"/>
    </row>
    <row r="86" spans="5:16" ht="14.4">
      <c r="E86" s="56"/>
      <c r="F86" s="56"/>
      <c r="O86"/>
      <c r="P86"/>
    </row>
    <row r="87" spans="5:16" ht="14.4">
      <c r="E87" s="56"/>
      <c r="F87" s="56"/>
      <c r="O87"/>
      <c r="P87" s="771"/>
    </row>
    <row r="88" spans="5:16">
      <c r="O88"/>
      <c r="P88" s="771"/>
    </row>
    <row r="89" spans="5:16" ht="14.4">
      <c r="E89" s="212"/>
      <c r="F89" s="212"/>
      <c r="O89"/>
      <c r="P89" s="771"/>
    </row>
    <row r="90" spans="5:16" ht="14.4">
      <c r="E90" s="56"/>
      <c r="F90" s="56"/>
      <c r="O90"/>
      <c r="P90" s="771"/>
    </row>
    <row r="91" spans="5:16" ht="14.4">
      <c r="E91" s="56"/>
      <c r="F91" s="56"/>
      <c r="O91"/>
      <c r="P91"/>
    </row>
    <row r="92" spans="5:16" ht="14.4">
      <c r="E92" s="56"/>
      <c r="F92" s="56"/>
      <c r="G92" s="407"/>
      <c r="O92"/>
      <c r="P92"/>
    </row>
    <row r="93" spans="5:16" ht="14.4">
      <c r="E93" s="56"/>
      <c r="F93" s="56"/>
      <c r="G93" s="407"/>
      <c r="O93"/>
      <c r="P93" s="771"/>
    </row>
    <row r="94" spans="5:16" ht="14.4">
      <c r="E94" s="56"/>
      <c r="F94" s="56"/>
      <c r="G94" s="407"/>
      <c r="O94"/>
      <c r="P94" s="771"/>
    </row>
    <row r="95" spans="5:16" ht="14.4">
      <c r="E95" s="56"/>
      <c r="F95" s="56"/>
      <c r="G95" s="407"/>
      <c r="O95"/>
      <c r="P95" s="771"/>
    </row>
    <row r="96" spans="5:16">
      <c r="E96" s="365"/>
      <c r="F96" s="365"/>
      <c r="G96" s="407"/>
      <c r="O96"/>
      <c r="P96" s="771"/>
    </row>
    <row r="97" spans="6:16">
      <c r="G97" s="407"/>
      <c r="O97"/>
      <c r="P97"/>
    </row>
    <row r="98" spans="6:16">
      <c r="G98" s="407"/>
      <c r="O98"/>
      <c r="P98"/>
    </row>
    <row r="99" spans="6:16">
      <c r="G99" s="407"/>
    </row>
    <row r="103" spans="6:16">
      <c r="F103" s="384"/>
    </row>
    <row r="104" spans="6:16">
      <c r="F104" s="384"/>
    </row>
  </sheetData>
  <mergeCells count="30">
    <mergeCell ref="P75:P78"/>
    <mergeCell ref="P81:P84"/>
    <mergeCell ref="P87:P90"/>
    <mergeCell ref="P93:P96"/>
    <mergeCell ref="B45:G45"/>
    <mergeCell ref="K45:O45"/>
    <mergeCell ref="B46:C46"/>
    <mergeCell ref="D46:E46"/>
    <mergeCell ref="P63:P66"/>
    <mergeCell ref="P69:P72"/>
    <mergeCell ref="F61:G61"/>
    <mergeCell ref="F62:G62"/>
    <mergeCell ref="B43:D43"/>
    <mergeCell ref="B5:C5"/>
    <mergeCell ref="D5:E5"/>
    <mergeCell ref="B6:B21"/>
    <mergeCell ref="C6:C21"/>
    <mergeCell ref="B24:E24"/>
    <mergeCell ref="B25:C25"/>
    <mergeCell ref="D25:E25"/>
    <mergeCell ref="B38:E38"/>
    <mergeCell ref="B39:C39"/>
    <mergeCell ref="D39:E39"/>
    <mergeCell ref="E10:F10"/>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A4C7-B526-5E41-9702-1AED3C8EC341}">
  <dimension ref="A1:T105"/>
  <sheetViews>
    <sheetView topLeftCell="D20" zoomScale="90" zoomScaleNormal="90" workbookViewId="0">
      <selection activeCell="F53" sqref="F53:G60"/>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DEC-JAN B 24</v>
      </c>
      <c r="B1" s="730" t="str">
        <f ca="1">MID(CELL("filename",B1),FIND("]",CELL("filename",B1))+1,255)</f>
        <v>JAN-FEB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ROUND(O5+O40+O26+IF(O41&lt;0,0,O41)+O42+O4,2) &amp; " / " &amp; "£" &amp; E44</f>
        <v>£6557.78 / £4097.37</v>
      </c>
      <c r="E3" s="365"/>
      <c r="F3" s="365"/>
      <c r="G3" s="732">
        <v>45194</v>
      </c>
      <c r="H3" s="732"/>
      <c r="I3" s="732">
        <f>G3+7</f>
        <v>45201</v>
      </c>
      <c r="J3" s="732"/>
      <c r="K3" s="732">
        <f>I3+7</f>
        <v>45208</v>
      </c>
      <c r="L3" s="732"/>
      <c r="M3" s="732">
        <f>K3+7</f>
        <v>45215</v>
      </c>
      <c r="N3" s="732"/>
      <c r="O3" s="308">
        <v>0</v>
      </c>
      <c r="P3" s="325" t="s">
        <v>1224</v>
      </c>
      <c r="Q3" s="282"/>
    </row>
    <row r="4" spans="1:20" ht="15" customHeight="1">
      <c r="B4" s="727" t="str">
        <f>_xlfn.CONCAT("Expenses - 50 - ",G44*0.5," / Actual = ",ROUND(D5,2)," (",ROUND((D5/G44)*100,2),")")</f>
        <v>Expenses - 50 - 2048.685 / Actual = 3124.15 (76.25)</v>
      </c>
      <c r="C4" s="727"/>
      <c r="D4" s="727"/>
      <c r="E4" s="727"/>
      <c r="F4" s="318"/>
      <c r="G4" s="243"/>
      <c r="H4" s="304">
        <f>SUM(H5:H42)</f>
        <v>3448.8600000000006</v>
      </c>
      <c r="I4" s="243">
        <f>H4+778.36</f>
        <v>4227.22</v>
      </c>
      <c r="J4" s="304">
        <f>SUM(J5:J42)</f>
        <v>375.08000000000004</v>
      </c>
      <c r="K4" s="243">
        <f>J4-J34</f>
        <v>161.64000000000001</v>
      </c>
      <c r="L4" s="304">
        <f>SUM(L5:L42)</f>
        <v>0</v>
      </c>
      <c r="M4" s="243"/>
      <c r="N4" s="304">
        <f>SUM(N5:N42)-SUM(N30:N37)</f>
        <v>0</v>
      </c>
      <c r="O4" s="308">
        <f>IF(H43&lt;&gt;"PAID",H4,0)+IF(J43&lt;&gt;"PAID",J4,0)+IF(L43&lt;&gt;"PAID",L4,0)+IF(N43&lt;&gt;"PAID",N4,0)</f>
        <v>3823.9400000000005</v>
      </c>
      <c r="P4" s="309" t="s">
        <v>973</v>
      </c>
      <c r="Q4" s="408">
        <f>O4+402.34</f>
        <v>4226.2800000000007</v>
      </c>
      <c r="R4" s="243"/>
      <c r="S4" s="243"/>
    </row>
    <row r="5" spans="1:20" ht="15" customHeight="1">
      <c r="B5" s="733" t="str">
        <f>IF(D5&gt;E$44*0.5,ROUND(D5-E$44*0.5,2) &amp; " Over",ROUND(E$44*0.5-D5,2) &amp; " Under")</f>
        <v>1075.47 Over</v>
      </c>
      <c r="C5" s="733"/>
      <c r="D5" s="761">
        <f>ROUND(SUM(F6:F23),2)</f>
        <v>3124.15</v>
      </c>
      <c r="E5" s="761"/>
      <c r="F5" s="321"/>
      <c r="G5" s="284"/>
      <c r="H5" s="306"/>
      <c r="I5" s="79"/>
      <c r="J5" s="306"/>
      <c r="K5" s="79"/>
      <c r="L5" s="306"/>
      <c r="M5" s="79"/>
      <c r="N5" s="305"/>
      <c r="O5" s="285">
        <f>SUMIF(O6:O23,"&gt;0")</f>
        <v>2782.5</v>
      </c>
      <c r="P5" s="285" t="s">
        <v>892</v>
      </c>
      <c r="Q5" s="282">
        <f>SUM(Q6:Q22)</f>
        <v>0</v>
      </c>
      <c r="R5" s="243"/>
    </row>
    <row r="6" spans="1:20" ht="15" customHeight="1">
      <c r="B6" s="734" t="str">
        <f>"50%: " &amp; E$44*0.5</f>
        <v>50%: 2048.685</v>
      </c>
      <c r="C6" s="734" t="str">
        <f>ROUND((D5/E$44)*100,2) &amp; "%: " &amp;D5</f>
        <v>76.25%: 3124.15</v>
      </c>
      <c r="D6" s="13" t="s">
        <v>805</v>
      </c>
      <c r="E6" s="365">
        <v>0</v>
      </c>
      <c r="F6" s="374">
        <v>150</v>
      </c>
      <c r="H6" s="304">
        <f>25.17+25.01+31.57</f>
        <v>81.75</v>
      </c>
      <c r="J6" s="305">
        <f>40.04</f>
        <v>40.04</v>
      </c>
      <c r="L6" s="305"/>
      <c r="N6" s="305"/>
      <c r="O6" s="274">
        <f>SUM(E6:F6)-SUM(G6:N6)</f>
        <v>28.210000000000008</v>
      </c>
      <c r="P6" s="274" t="str">
        <f t="shared" ref="P6:P23" si="0">D6</f>
        <v>Car Petrol / commuting</v>
      </c>
      <c r="Q6" s="282">
        <f t="shared" ref="Q6:Q22" si="1">IF(O6&lt;0,O6*-1,0)</f>
        <v>0</v>
      </c>
      <c r="R6" s="243"/>
    </row>
    <row r="7" spans="1:20" ht="15" customHeight="1">
      <c r="B7" s="734"/>
      <c r="C7" s="734"/>
      <c r="D7" s="13" t="s">
        <v>169</v>
      </c>
      <c r="E7" s="365">
        <v>0</v>
      </c>
      <c r="F7" s="365">
        <f>400</f>
        <v>400</v>
      </c>
      <c r="H7" s="304">
        <f>72.72+16.5+10.02+19.33+35.59</f>
        <v>154.16</v>
      </c>
      <c r="J7" s="305"/>
      <c r="L7" s="305"/>
      <c r="N7" s="305"/>
      <c r="O7" s="274">
        <f>SUM(E7:F7)-SUM(G7:N7)</f>
        <v>245.84</v>
      </c>
      <c r="P7" s="274" t="str">
        <f t="shared" si="0"/>
        <v>Food</v>
      </c>
      <c r="Q7" s="282">
        <f t="shared" si="1"/>
        <v>0</v>
      </c>
      <c r="R7" s="243"/>
    </row>
    <row r="8" spans="1:20" ht="15" customHeight="1">
      <c r="B8" s="734"/>
      <c r="C8" s="734"/>
      <c r="D8" s="13" t="s">
        <v>153</v>
      </c>
      <c r="E8" s="365">
        <v>0</v>
      </c>
      <c r="F8" s="365">
        <f>60</f>
        <v>60</v>
      </c>
      <c r="H8" s="305">
        <f>14.62+19.76</f>
        <v>34.380000000000003</v>
      </c>
      <c r="J8" s="305">
        <f>10</f>
        <v>10</v>
      </c>
      <c r="L8" s="305"/>
      <c r="N8" s="305"/>
      <c r="O8" s="274">
        <f>SUM(E8:F8)-SUM(G8:N8)</f>
        <v>15.619999999999997</v>
      </c>
      <c r="P8" s="274" t="str">
        <f t="shared" si="0"/>
        <v>Luna</v>
      </c>
      <c r="Q8" s="282">
        <f t="shared" si="1"/>
        <v>0</v>
      </c>
    </row>
    <row r="9" spans="1:20" ht="15" customHeight="1">
      <c r="B9" s="734"/>
      <c r="C9" s="734"/>
      <c r="D9" s="13" t="s">
        <v>1079</v>
      </c>
      <c r="E9" s="365">
        <v>0</v>
      </c>
      <c r="F9" s="365">
        <v>40</v>
      </c>
      <c r="H9" s="305">
        <f>10.32</f>
        <v>10.32</v>
      </c>
      <c r="J9" s="305">
        <f>11</f>
        <v>11</v>
      </c>
      <c r="L9" s="305"/>
      <c r="N9" s="305"/>
      <c r="O9" s="274">
        <f>SUM(E9:F9)-SUM(G9:N9)</f>
        <v>18.68</v>
      </c>
      <c r="P9" s="274" t="str">
        <f t="shared" si="0"/>
        <v>Creamy</v>
      </c>
      <c r="Q9" s="282">
        <f t="shared" si="1"/>
        <v>0</v>
      </c>
      <c r="R9" s="243"/>
    </row>
    <row r="10" spans="1:20" ht="15" customHeight="1">
      <c r="B10" s="734"/>
      <c r="C10" s="734"/>
      <c r="D10" s="13" t="s">
        <v>189</v>
      </c>
      <c r="E10" s="780">
        <f>SUM(F11:F23)</f>
        <v>2474.1499999999996</v>
      </c>
      <c r="F10" s="780"/>
      <c r="H10" s="305"/>
      <c r="J10" s="305"/>
      <c r="L10" s="305"/>
      <c r="N10" s="305"/>
      <c r="O10" s="274"/>
      <c r="P10" s="274" t="str">
        <f t="shared" si="0"/>
        <v>Direct debits</v>
      </c>
      <c r="Q10" s="282"/>
      <c r="R10" s="243"/>
    </row>
    <row r="11" spans="1:20" ht="15" customHeight="1" outlineLevel="1">
      <c r="B11" s="734"/>
      <c r="C11" s="734"/>
      <c r="D11" s="201" t="s">
        <v>595</v>
      </c>
      <c r="E11" s="365">
        <v>0</v>
      </c>
      <c r="F11" s="365">
        <v>835.29</v>
      </c>
      <c r="H11" s="304"/>
      <c r="J11" s="305"/>
      <c r="L11" s="305"/>
      <c r="N11" s="305"/>
      <c r="O11" s="274">
        <f t="shared" ref="O11:O16" si="2">SUM(E11:F11)-SUM(G11:N11)</f>
        <v>835.29</v>
      </c>
      <c r="P11" s="274" t="str">
        <f t="shared" si="0"/>
        <v>Mortgage</v>
      </c>
      <c r="Q11" s="282">
        <f t="shared" si="1"/>
        <v>0</v>
      </c>
      <c r="R11" s="243"/>
      <c r="S11" s="11">
        <f>SUM(O11:O23)</f>
        <v>2474.1499999999996</v>
      </c>
    </row>
    <row r="12" spans="1:20" ht="15" customHeight="1" outlineLevel="1">
      <c r="B12" s="734"/>
      <c r="C12" s="734"/>
      <c r="D12" s="201" t="s">
        <v>596</v>
      </c>
      <c r="E12" s="365">
        <v>0</v>
      </c>
      <c r="F12" s="365">
        <v>147</v>
      </c>
      <c r="H12" s="305"/>
      <c r="J12" s="305"/>
      <c r="L12" s="305"/>
      <c r="N12" s="305"/>
      <c r="O12" s="274">
        <f t="shared" si="2"/>
        <v>147</v>
      </c>
      <c r="P12" s="274" t="str">
        <f t="shared" si="0"/>
        <v>Council tax</v>
      </c>
      <c r="Q12" s="282">
        <f t="shared" si="1"/>
        <v>0</v>
      </c>
      <c r="S12" s="349">
        <f>S11-S21</f>
        <v>1984.1799999999996</v>
      </c>
    </row>
    <row r="13" spans="1:20" ht="15" customHeight="1" outlineLevel="1">
      <c r="B13" s="734"/>
      <c r="C13" s="734"/>
      <c r="D13" s="201" t="s">
        <v>1002</v>
      </c>
      <c r="E13" s="365">
        <v>0</v>
      </c>
      <c r="F13" s="365">
        <f>24+90.73</f>
        <v>114.73</v>
      </c>
      <c r="H13" s="305"/>
      <c r="J13" s="305"/>
      <c r="L13" s="305"/>
      <c r="N13" s="305"/>
      <c r="O13" s="274">
        <f>SUM(E13:F13)-SUM(G13:N13)</f>
        <v>114.73</v>
      </c>
      <c r="P13" s="274" t="str">
        <f t="shared" si="0"/>
        <v>Utilities (G,W,E,HTB)</v>
      </c>
      <c r="Q13" s="282">
        <f t="shared" si="1"/>
        <v>0</v>
      </c>
    </row>
    <row r="14" spans="1:20" ht="15" customHeight="1" outlineLevel="1">
      <c r="B14" s="734"/>
      <c r="C14" s="734"/>
      <c r="D14" s="201" t="s">
        <v>996</v>
      </c>
      <c r="E14" s="365">
        <v>0</v>
      </c>
      <c r="F14" s="365">
        <v>14</v>
      </c>
      <c r="H14" s="305"/>
      <c r="J14" s="305"/>
      <c r="L14" s="305"/>
      <c r="N14" s="305"/>
      <c r="O14" s="274">
        <f>SUM(E14:F14)-SUM(G14:N14)</f>
        <v>14</v>
      </c>
      <c r="P14" s="274" t="str">
        <f t="shared" si="0"/>
        <v>Home Insurance</v>
      </c>
      <c r="Q14" s="282">
        <f t="shared" si="1"/>
        <v>0</v>
      </c>
    </row>
    <row r="15" spans="1:20" ht="15" customHeight="1" outlineLevel="1">
      <c r="B15" s="734"/>
      <c r="C15" s="734"/>
      <c r="D15" s="201" t="s">
        <v>1056</v>
      </c>
      <c r="E15" s="365">
        <v>0</v>
      </c>
      <c r="F15" s="365">
        <f>8+17.2+17.99</f>
        <v>43.19</v>
      </c>
      <c r="H15" s="305"/>
      <c r="J15" s="305"/>
      <c r="L15" s="305"/>
      <c r="N15" s="305"/>
      <c r="O15" s="274">
        <f>SUM(E15:F15)-SUM(G15:N15)</f>
        <v>43.19</v>
      </c>
      <c r="P15" s="274" t="str">
        <f t="shared" si="0"/>
        <v>Pet Health / Insurance</v>
      </c>
      <c r="Q15" s="282">
        <f t="shared" si="1"/>
        <v>0</v>
      </c>
    </row>
    <row r="16" spans="1:20" ht="15" customHeight="1" outlineLevel="1">
      <c r="B16" s="734"/>
      <c r="C16" s="734"/>
      <c r="D16" s="201" t="s">
        <v>1057</v>
      </c>
      <c r="E16" s="365">
        <v>0</v>
      </c>
      <c r="F16" s="365">
        <f>4.52+15.97+30.8</f>
        <v>51.290000000000006</v>
      </c>
      <c r="H16" s="305"/>
      <c r="I16" s="11"/>
      <c r="J16" s="305"/>
      <c r="L16" s="305"/>
      <c r="N16" s="305"/>
      <c r="O16" s="274">
        <f t="shared" si="2"/>
        <v>51.290000000000006</v>
      </c>
      <c r="P16" s="274" t="str">
        <f t="shared" si="0"/>
        <v>Life / Income Insurance</v>
      </c>
      <c r="Q16" s="282">
        <f t="shared" si="1"/>
        <v>0</v>
      </c>
    </row>
    <row r="17" spans="2:20" ht="15" customHeight="1" outlineLevel="1">
      <c r="B17" s="734"/>
      <c r="C17" s="734"/>
      <c r="D17" s="201" t="s">
        <v>602</v>
      </c>
      <c r="E17" s="365">
        <v>0</v>
      </c>
      <c r="F17" s="365">
        <v>28.6</v>
      </c>
      <c r="H17" s="305"/>
      <c r="J17" s="305"/>
      <c r="L17" s="305"/>
      <c r="N17" s="305"/>
      <c r="O17" s="274">
        <f t="shared" ref="O17:O22" si="3">SUM(E17:F17)-SUM(G17:N17)</f>
        <v>28.6</v>
      </c>
      <c r="P17" s="274" t="str">
        <f t="shared" si="0"/>
        <v>Broadband / TV</v>
      </c>
      <c r="Q17" s="282">
        <f t="shared" si="1"/>
        <v>0</v>
      </c>
    </row>
    <row r="18" spans="2:20" ht="15" customHeight="1" outlineLevel="1">
      <c r="B18" s="734"/>
      <c r="C18" s="734"/>
      <c r="D18" s="201" t="s">
        <v>582</v>
      </c>
      <c r="E18" s="365">
        <v>0</v>
      </c>
      <c r="F18" s="365">
        <v>7.99</v>
      </c>
      <c r="H18" s="305"/>
      <c r="J18" s="305"/>
      <c r="L18" s="305"/>
      <c r="N18" s="305"/>
      <c r="O18" s="274">
        <f t="shared" si="3"/>
        <v>7.99</v>
      </c>
      <c r="P18" s="274" t="str">
        <f t="shared" si="0"/>
        <v>Onedrive (6th)</v>
      </c>
      <c r="Q18" s="282">
        <f t="shared" si="1"/>
        <v>0</v>
      </c>
    </row>
    <row r="19" spans="2:20" ht="15" customHeight="1" outlineLevel="1">
      <c r="B19" s="734"/>
      <c r="C19" s="734"/>
      <c r="D19" s="201" t="s">
        <v>788</v>
      </c>
      <c r="E19" s="365">
        <v>0</v>
      </c>
      <c r="F19" s="365">
        <v>13.2</v>
      </c>
      <c r="H19" s="305"/>
      <c r="J19" s="305"/>
      <c r="L19" s="305"/>
      <c r="N19" s="305"/>
      <c r="O19" s="274">
        <f t="shared" si="3"/>
        <v>13.2</v>
      </c>
      <c r="P19" s="274" t="str">
        <f t="shared" si="0"/>
        <v>Matt Phone</v>
      </c>
      <c r="Q19" s="282">
        <f t="shared" si="1"/>
        <v>0</v>
      </c>
    </row>
    <row r="20" spans="2:20" ht="15" customHeight="1" outlineLevel="1">
      <c r="B20" s="734"/>
      <c r="C20" s="734"/>
      <c r="D20" s="201" t="s">
        <v>1279</v>
      </c>
      <c r="E20" s="365">
        <v>0</v>
      </c>
      <c r="F20" s="365">
        <v>232.5</v>
      </c>
      <c r="H20" s="305"/>
      <c r="J20" s="305"/>
      <c r="L20" s="305"/>
      <c r="N20" s="305"/>
      <c r="O20" s="274">
        <f t="shared" si="3"/>
        <v>232.5</v>
      </c>
      <c r="P20" s="274" t="str">
        <f t="shared" si="0"/>
        <v>Watch</v>
      </c>
      <c r="Q20" s="282">
        <f t="shared" si="1"/>
        <v>0</v>
      </c>
    </row>
    <row r="21" spans="2:20" ht="15" customHeight="1" outlineLevel="1">
      <c r="B21" s="734"/>
      <c r="C21" s="734"/>
      <c r="D21" s="201" t="s">
        <v>690</v>
      </c>
      <c r="E21" s="365">
        <v>0</v>
      </c>
      <c r="F21" s="365">
        <f>11.81+14.43+270.97+46.72+89.64+468.84</f>
        <v>902.41000000000008</v>
      </c>
      <c r="H21" s="305"/>
      <c r="J21" s="305"/>
      <c r="L21" s="305"/>
      <c r="N21" s="305"/>
      <c r="O21" s="274">
        <f t="shared" si="3"/>
        <v>902.41000000000008</v>
      </c>
      <c r="P21" s="274" t="str">
        <f t="shared" si="0"/>
        <v>Cars</v>
      </c>
      <c r="Q21" s="282">
        <f t="shared" si="1"/>
        <v>0</v>
      </c>
      <c r="S21">
        <f>468.84+21.13</f>
        <v>489.96999999999997</v>
      </c>
    </row>
    <row r="22" spans="2:20" ht="15" customHeight="1" outlineLevel="1">
      <c r="B22" s="734"/>
      <c r="C22" s="734"/>
      <c r="D22" s="201" t="s">
        <v>944</v>
      </c>
      <c r="E22" s="365">
        <v>0</v>
      </c>
      <c r="F22" s="365">
        <v>15</v>
      </c>
      <c r="H22" s="305"/>
      <c r="J22" s="305"/>
      <c r="L22" s="305"/>
      <c r="N22" s="305"/>
      <c r="O22" s="274">
        <f t="shared" si="3"/>
        <v>15</v>
      </c>
      <c r="P22" s="274" t="str">
        <f t="shared" si="0"/>
        <v>Windows</v>
      </c>
      <c r="Q22" s="282">
        <f t="shared" si="1"/>
        <v>0</v>
      </c>
      <c r="R22" s="243"/>
    </row>
    <row r="23" spans="2:20" ht="15" customHeight="1" outlineLevel="1">
      <c r="B23" s="7"/>
      <c r="C23" s="7"/>
      <c r="D23" s="201" t="s">
        <v>781</v>
      </c>
      <c r="E23" s="365">
        <v>0</v>
      </c>
      <c r="F23" s="365">
        <f>13+6.99+0.99+10.99+8.99+25+2.99</f>
        <v>68.95</v>
      </c>
      <c r="G23" s="11"/>
      <c r="H23" s="305"/>
      <c r="J23" s="305"/>
      <c r="L23" s="305"/>
      <c r="N23" s="305"/>
      <c r="O23" s="274">
        <f t="shared" ref="O23" si="4">SUM(E23:F23)-SUM(G23:N23)</f>
        <v>68.95</v>
      </c>
      <c r="P23" s="274" t="str">
        <f t="shared" si="0"/>
        <v>Subscriptions</v>
      </c>
      <c r="Q23" s="282"/>
      <c r="R23" s="243"/>
    </row>
    <row r="24" spans="2:20" ht="15" customHeight="1">
      <c r="B24" s="118"/>
      <c r="C24" s="118"/>
      <c r="D24" s="188"/>
      <c r="E24" s="365"/>
      <c r="F24" s="365"/>
      <c r="H24" s="305"/>
      <c r="J24" s="305"/>
      <c r="L24" s="305"/>
      <c r="N24" s="305"/>
      <c r="O24" s="273"/>
      <c r="P24" s="273"/>
      <c r="Q24" s="282"/>
    </row>
    <row r="25" spans="2:20" ht="15" customHeight="1">
      <c r="B25" s="736" t="str">
        <f>_xlfn.CONCAT("Savings - 20 - ",G44*0.2," / Actual = ",D26," (",ROUND((D26/G44)*100,2),")")</f>
        <v>Savings - 20 - 819.474 / Actual = 513.17 (12.52)</v>
      </c>
      <c r="C25" s="736"/>
      <c r="D25" s="736"/>
      <c r="E25" s="736"/>
      <c r="F25" s="320"/>
      <c r="H25" s="305"/>
      <c r="J25" s="305"/>
      <c r="L25" s="305"/>
      <c r="N25" s="305"/>
      <c r="O25" s="274"/>
      <c r="P25" s="274"/>
      <c r="Q25" s="282"/>
    </row>
    <row r="26" spans="2:20" ht="15" customHeight="1">
      <c r="B26" s="727" t="str">
        <f>IF(ISNUMBER((SEARCH("Over",C$5))),"Operating under budget","Operating over budget")</f>
        <v>Operating over budget</v>
      </c>
      <c r="C26" s="727"/>
      <c r="D26" s="759">
        <f>F27</f>
        <v>513.17000000000007</v>
      </c>
      <c r="E26" s="759"/>
      <c r="F26" s="319"/>
      <c r="H26" s="305"/>
      <c r="J26" s="305"/>
      <c r="L26" s="305"/>
      <c r="N26" s="305"/>
      <c r="O26" s="285">
        <f>0</f>
        <v>0</v>
      </c>
      <c r="P26" s="285" t="s">
        <v>895</v>
      </c>
      <c r="Q26" s="282">
        <f>SUM(Q27:Q27)</f>
        <v>0</v>
      </c>
    </row>
    <row r="27" spans="2:20" ht="15" customHeight="1" outlineLevel="1">
      <c r="B27" s="7" t="str">
        <f>"20% : " &amp; E$44*0.2</f>
        <v>20% : 819.474</v>
      </c>
      <c r="C27" s="7" t="str">
        <f>"20% : " &amp; E$44*0.2</f>
        <v>20% : 819.474</v>
      </c>
      <c r="D27" s="300" t="s">
        <v>183</v>
      </c>
      <c r="E27" s="365">
        <v>0</v>
      </c>
      <c r="F27" s="365">
        <f>SUM(F28:F37)</f>
        <v>513.17000000000007</v>
      </c>
      <c r="H27" s="305"/>
      <c r="J27" s="305"/>
      <c r="L27" s="305"/>
      <c r="N27" s="305"/>
      <c r="O27" s="274">
        <f>SUM(O28:O37)</f>
        <v>-2460.4100000000003</v>
      </c>
      <c r="P27" s="274" t="str">
        <f t="shared" ref="P27:P37" si="5">D27</f>
        <v>Savings</v>
      </c>
      <c r="Q27" s="282">
        <v>0</v>
      </c>
      <c r="S27" s="243"/>
    </row>
    <row r="28" spans="2:20" ht="15" customHeight="1" outlineLevel="1">
      <c r="B28" s="7"/>
      <c r="C28" s="7"/>
      <c r="D28" s="300" t="s">
        <v>1279</v>
      </c>
      <c r="E28" s="365">
        <v>0</v>
      </c>
      <c r="F28" s="365">
        <v>-232.5</v>
      </c>
      <c r="H28" s="305"/>
      <c r="J28" s="305"/>
      <c r="L28" s="305"/>
      <c r="N28" s="305"/>
      <c r="O28" s="274">
        <f>SUM(E28:F28)-SUM(G28:N28)</f>
        <v>-232.5</v>
      </c>
      <c r="P28" s="274" t="str">
        <f t="shared" si="5"/>
        <v>Watch</v>
      </c>
      <c r="Q28" s="282"/>
      <c r="S28" s="243"/>
    </row>
    <row r="29" spans="2:20" ht="15" customHeight="1" outlineLevel="1">
      <c r="B29" s="7"/>
      <c r="C29" s="7"/>
      <c r="D29" s="300" t="s">
        <v>1015</v>
      </c>
      <c r="E29" s="365">
        <v>0</v>
      </c>
      <c r="F29" s="365">
        <v>-468</v>
      </c>
      <c r="H29" s="305"/>
      <c r="J29" s="305"/>
      <c r="L29" s="315"/>
      <c r="N29" s="305"/>
      <c r="O29" s="274">
        <f>SUM(E29:F29)-SUM(G29:N29)</f>
        <v>-468</v>
      </c>
      <c r="P29" s="274" t="str">
        <f>D29</f>
        <v>Tesco</v>
      </c>
      <c r="Q29" s="282"/>
      <c r="R29" s="243"/>
    </row>
    <row r="30" spans="2:20" ht="15" customHeight="1" outlineLevel="1">
      <c r="B30" s="7"/>
      <c r="C30" s="7"/>
      <c r="D30" s="300" t="s">
        <v>1485</v>
      </c>
      <c r="E30" s="365">
        <v>0</v>
      </c>
      <c r="F30" s="365">
        <v>40</v>
      </c>
      <c r="H30" s="305"/>
      <c r="J30" s="305"/>
      <c r="L30" s="362"/>
      <c r="N30" s="315"/>
      <c r="O30" s="274">
        <f>SUM(E30:F30)-SUM(G30:N30)</f>
        <v>40</v>
      </c>
      <c r="P30" s="274" t="str">
        <f t="shared" si="5"/>
        <v>MOT / Service</v>
      </c>
      <c r="Q30" s="282"/>
      <c r="R30" s="243"/>
    </row>
    <row r="31" spans="2:20" ht="15" customHeight="1" outlineLevel="1">
      <c r="B31" s="7"/>
      <c r="C31" s="7"/>
      <c r="D31" s="300" t="s">
        <v>590</v>
      </c>
      <c r="E31" s="365">
        <v>0</v>
      </c>
      <c r="F31" s="365">
        <v>165</v>
      </c>
      <c r="H31" s="305"/>
      <c r="J31" s="305"/>
      <c r="L31" s="362"/>
      <c r="N31" s="315"/>
      <c r="O31" s="274">
        <f>SUM(E31:F31)-SUM(G31:N31)-Q44</f>
        <v>165</v>
      </c>
      <c r="P31" s="274" t="str">
        <f t="shared" si="5"/>
        <v>Contingency</v>
      </c>
      <c r="Q31" s="282"/>
      <c r="T31" s="243"/>
    </row>
    <row r="32" spans="2:20" ht="15" customHeight="1" outlineLevel="1">
      <c r="B32" s="7"/>
      <c r="C32" s="7"/>
      <c r="D32" s="300" t="s">
        <v>1486</v>
      </c>
      <c r="E32" s="365">
        <v>0</v>
      </c>
      <c r="F32" s="365">
        <v>13.67</v>
      </c>
      <c r="H32" s="305"/>
      <c r="J32" s="305"/>
      <c r="L32" s="362"/>
      <c r="N32" s="315"/>
      <c r="O32" s="274">
        <f t="shared" ref="O32:O37" si="6">SUM(E32:F32)-SUM(G32:N32)</f>
        <v>13.67</v>
      </c>
      <c r="P32" s="274" t="str">
        <f t="shared" si="5"/>
        <v>TV</v>
      </c>
      <c r="Q32" s="282"/>
    </row>
    <row r="33" spans="2:19" ht="15" customHeight="1" outlineLevel="1">
      <c r="B33" s="7"/>
      <c r="C33" s="7"/>
      <c r="D33" s="300" t="s">
        <v>1296</v>
      </c>
      <c r="E33" s="365">
        <v>0</v>
      </c>
      <c r="F33" s="365">
        <f>15+80</f>
        <v>95</v>
      </c>
      <c r="H33" s="305"/>
      <c r="J33" s="305"/>
      <c r="L33" s="362"/>
      <c r="N33" s="315"/>
      <c r="O33" s="274">
        <f t="shared" si="6"/>
        <v>95</v>
      </c>
      <c r="P33" s="274" t="str">
        <f t="shared" si="5"/>
        <v>Offset</v>
      </c>
      <c r="Q33" s="282"/>
    </row>
    <row r="34" spans="2:19" ht="15" customHeight="1" outlineLevel="1">
      <c r="B34" s="7"/>
      <c r="C34" s="7"/>
      <c r="D34" s="300" t="s">
        <v>1407</v>
      </c>
      <c r="E34" s="365">
        <v>0</v>
      </c>
      <c r="F34" s="365">
        <v>500</v>
      </c>
      <c r="H34" s="305">
        <f>16.27+23.79+14.13+17.25+454.24+25.93+24.63+167.61+63.14+11.81+10.19+90.83+21.59+5.61+27.67+17.35+10.4+6.15+196.21+116.78+155.95+14.7+14.42+11.61+55.88+23.44+281.54+7.21+179.3+11.26+26.03+13.9+6.41+11.79+15.13+11.24+2.61+1.3+5.19+11.13+16.43+41.89+11.17+20.27+18.49+14.31+5.63+400.46+79.12+12+7.5-(49.99+91.96)</f>
        <v>2666.9400000000005</v>
      </c>
      <c r="J34" s="305">
        <f>80.67+2.99+43.71+21.62+35.46+28.99</f>
        <v>213.44000000000003</v>
      </c>
      <c r="L34" s="362"/>
      <c r="N34" s="315"/>
      <c r="O34" s="274">
        <f t="shared" si="6"/>
        <v>-2380.3800000000006</v>
      </c>
      <c r="P34" s="274" t="str">
        <f t="shared" si="5"/>
        <v>Orlando</v>
      </c>
      <c r="Q34" s="282"/>
    </row>
    <row r="35" spans="2:19" ht="15" customHeight="1" outlineLevel="1">
      <c r="B35" s="7"/>
      <c r="C35" s="7"/>
      <c r="D35" s="300" t="s">
        <v>1526</v>
      </c>
      <c r="E35" s="365">
        <v>0</v>
      </c>
      <c r="F35" s="365">
        <v>0</v>
      </c>
      <c r="H35" s="305"/>
      <c r="J35" s="305"/>
      <c r="L35" s="362"/>
      <c r="N35" s="315"/>
      <c r="O35" s="274">
        <f t="shared" si="6"/>
        <v>0</v>
      </c>
      <c r="P35" s="274" t="str">
        <f t="shared" si="5"/>
        <v>Morroco</v>
      </c>
      <c r="Q35" s="282"/>
    </row>
    <row r="36" spans="2:19" ht="15" customHeight="1" outlineLevel="1">
      <c r="B36" s="7"/>
      <c r="C36" s="7"/>
      <c r="D36" s="300" t="s">
        <v>1408</v>
      </c>
      <c r="E36" s="365">
        <v>0</v>
      </c>
      <c r="F36" s="365">
        <v>150</v>
      </c>
      <c r="H36" s="305">
        <f>93.2</f>
        <v>93.2</v>
      </c>
      <c r="J36" s="305"/>
      <c r="L36" s="362"/>
      <c r="N36" s="315"/>
      <c r="O36" s="274">
        <f t="shared" si="6"/>
        <v>56.8</v>
      </c>
      <c r="P36" s="274" t="str">
        <f t="shared" si="5"/>
        <v>Vietnam</v>
      </c>
      <c r="Q36" s="282"/>
    </row>
    <row r="37" spans="2:19" ht="15" customHeight="1" outlineLevel="1">
      <c r="B37" s="7"/>
      <c r="C37" s="7"/>
      <c r="D37" s="300" t="s">
        <v>701</v>
      </c>
      <c r="E37" s="365">
        <v>0</v>
      </c>
      <c r="F37" s="365">
        <f>250</f>
        <v>250</v>
      </c>
      <c r="H37" s="305"/>
      <c r="J37" s="305"/>
      <c r="L37" s="362"/>
      <c r="N37" s="315"/>
      <c r="O37" s="274">
        <f t="shared" si="6"/>
        <v>250</v>
      </c>
      <c r="P37" s="274" t="str">
        <f t="shared" si="5"/>
        <v>Gift</v>
      </c>
      <c r="Q37" s="282"/>
    </row>
    <row r="38" spans="2:19" ht="15" customHeight="1">
      <c r="B38" s="118"/>
      <c r="C38" s="118"/>
      <c r="E38" s="365"/>
      <c r="F38" s="365"/>
      <c r="H38" s="305"/>
      <c r="J38" s="305"/>
      <c r="L38" s="305"/>
      <c r="N38" s="305"/>
      <c r="O38" s="273"/>
      <c r="P38" s="273"/>
      <c r="Q38" s="282"/>
      <c r="R38" s="243"/>
    </row>
    <row r="39" spans="2:19" ht="15" customHeight="1">
      <c r="B39" s="727" t="str">
        <f>_xlfn.CONCAT("Wants - 30 - ",G44*0.3," / Actual = ",D40," (",ROUND((D40/G44)*100,2),")")</f>
        <v>Wants - 30 - 1229.211 / Actual = 460.05 (11.23)</v>
      </c>
      <c r="C39" s="727"/>
      <c r="D39" s="727"/>
      <c r="E39" s="727"/>
      <c r="F39" s="318"/>
      <c r="H39" s="305"/>
      <c r="J39" s="305"/>
      <c r="L39" s="305"/>
      <c r="N39" s="305"/>
      <c r="O39" s="273"/>
      <c r="P39" s="273"/>
      <c r="Q39" s="282"/>
      <c r="S39" s="243"/>
    </row>
    <row r="40" spans="2:19" ht="15" customHeight="1">
      <c r="B40" s="727" t="str">
        <f>IF(ISNUMBER((SEARCH("Over",B$5))),"Operating under budget","Operating over budget")</f>
        <v>Operating under budget</v>
      </c>
      <c r="C40" s="727"/>
      <c r="D40" s="759">
        <f>(E$44-D5-D26-E43)</f>
        <v>460.04999999999973</v>
      </c>
      <c r="E40" s="727"/>
      <c r="F40" s="319">
        <f>F41</f>
        <v>460.04999999999973</v>
      </c>
      <c r="H40" s="305"/>
      <c r="J40" s="305"/>
      <c r="L40" s="305"/>
      <c r="N40" s="305"/>
      <c r="O40" s="285">
        <f>0</f>
        <v>0</v>
      </c>
      <c r="P40" s="285" t="s">
        <v>899</v>
      </c>
      <c r="Q40" s="282">
        <f>SUM(Q41:Q41)</f>
        <v>0</v>
      </c>
      <c r="S40" s="243"/>
    </row>
    <row r="41" spans="2:19" ht="18" outlineLevel="1">
      <c r="B41" s="7"/>
      <c r="C41" s="284"/>
      <c r="D41" s="13" t="s">
        <v>922</v>
      </c>
      <c r="E41" s="365">
        <v>0</v>
      </c>
      <c r="F41" s="365">
        <f>D40-F42</f>
        <v>460.04999999999973</v>
      </c>
      <c r="G41" s="11"/>
      <c r="H41">
        <f>3.89+9.6+3.49+1+17.15+11.85+10.25+6.69+49.98+18.99+10+5+75+5.99+70.7+4.35+(29.99+4)</f>
        <v>337.92</v>
      </c>
      <c r="J41" s="305">
        <f>10.1+16+25.65+13.45+2+1.55+1.85</f>
        <v>70.599999999999994</v>
      </c>
      <c r="N41" s="305"/>
      <c r="O41" s="274">
        <f>SUM(E41:F41)-SUM(G41:N41)</f>
        <v>51.529999999999745</v>
      </c>
      <c r="P41" s="274" t="str">
        <f t="shared" ref="P41:P42" si="7">D41</f>
        <v>Matt Fun</v>
      </c>
      <c r="Q41" s="282">
        <f>IF(SUM(E41:F41)-SUM(G41:N41)&lt;=0,(SUM(E41:F41)-SUM(G41:N41))*-1,0)</f>
        <v>0</v>
      </c>
    </row>
    <row r="42" spans="2:19" ht="18" outlineLevel="1">
      <c r="B42" s="7"/>
      <c r="C42" s="284"/>
      <c r="D42" s="13" t="s">
        <v>152</v>
      </c>
      <c r="E42" s="365">
        <v>0</v>
      </c>
      <c r="F42" s="365">
        <v>0</v>
      </c>
      <c r="G42" s="11"/>
      <c r="H42" s="306">
        <v>70.19</v>
      </c>
      <c r="J42" s="305">
        <v>30</v>
      </c>
      <c r="L42" s="305"/>
      <c r="N42" s="305"/>
      <c r="O42" s="274">
        <f>SUM(E42:F42)-SUM(G42:N42)</f>
        <v>-100.19</v>
      </c>
      <c r="P42" s="274" t="str">
        <f t="shared" si="7"/>
        <v>Kris</v>
      </c>
      <c r="Q42" s="271">
        <f>IF(F42-SUM(G42:N42)&lt;=0,(F42-SUM(G42:N42))*-1,0)</f>
        <v>100.19</v>
      </c>
    </row>
    <row r="43" spans="2:19">
      <c r="B43" s="118"/>
      <c r="C43" s="118"/>
      <c r="E43" s="365">
        <f>E27</f>
        <v>0</v>
      </c>
      <c r="F43" s="365"/>
      <c r="G43" s="349"/>
      <c r="J43" s="7"/>
      <c r="L43" s="7"/>
      <c r="N43" s="7"/>
      <c r="O43" s="273"/>
      <c r="P43" s="273"/>
      <c r="Q43" s="282"/>
    </row>
    <row r="44" spans="2:19" ht="18">
      <c r="B44" s="728" t="s">
        <v>817</v>
      </c>
      <c r="C44" s="728"/>
      <c r="D44" s="728"/>
      <c r="E44" s="375">
        <f>G44+I44+K44+M44+N44+E43</f>
        <v>4097.37</v>
      </c>
      <c r="F44" s="379"/>
      <c r="G44" s="271">
        <f>3247.37+850</f>
        <v>4097.37</v>
      </c>
      <c r="H44" s="282"/>
      <c r="I44" s="271"/>
      <c r="J44" s="271"/>
      <c r="K44" s="271"/>
      <c r="L44" s="271"/>
      <c r="M44" s="271"/>
      <c r="N44" s="271"/>
      <c r="O44" s="314">
        <f>ROUND(O5+O40+O26+IF(O41&lt;0,0,O41)+O42+O4,2)</f>
        <v>6557.78</v>
      </c>
      <c r="P44" s="274"/>
      <c r="Q44" s="282">
        <f>SUM(Q40,Q26,Q5)</f>
        <v>0</v>
      </c>
    </row>
    <row r="45" spans="2:19" ht="18">
      <c r="B45" s="118"/>
      <c r="C45" s="7"/>
      <c r="D45" s="13" t="s">
        <v>1451</v>
      </c>
      <c r="E45" s="365"/>
      <c r="F45" s="365"/>
      <c r="G45" s="384"/>
      <c r="H45" s="243"/>
      <c r="L45" s="243"/>
    </row>
    <row r="46" spans="2:19" ht="14.4">
      <c r="B46" s="729"/>
      <c r="C46" s="729"/>
      <c r="D46" s="729"/>
      <c r="E46" s="729"/>
      <c r="F46" s="729"/>
      <c r="G46" s="729"/>
      <c r="H46" s="297"/>
      <c r="K46" s="729"/>
      <c r="L46" s="729"/>
      <c r="M46" s="729"/>
      <c r="N46" s="729"/>
      <c r="O46" s="729"/>
      <c r="P46" s="297"/>
    </row>
    <row r="47" spans="2:19" ht="15" customHeight="1">
      <c r="B47" s="726" t="s">
        <v>955</v>
      </c>
      <c r="C47" s="726"/>
      <c r="D47" s="726"/>
      <c r="E47" s="726"/>
      <c r="F47" s="348"/>
      <c r="K47" s="212"/>
      <c r="L47" s="212"/>
      <c r="N47" s="118" t="s">
        <v>1508</v>
      </c>
      <c r="O47" s="316">
        <v>45277</v>
      </c>
      <c r="P47" s="7">
        <f ca="1">DATEDIF(O47,NOW(),"d")</f>
        <v>974</v>
      </c>
      <c r="Q47">
        <v>270</v>
      </c>
      <c r="R47" t="s">
        <v>1500</v>
      </c>
    </row>
    <row r="48" spans="2:19">
      <c r="B48" s="365"/>
      <c r="C48" s="38"/>
      <c r="D48" s="212"/>
      <c r="E48" s="310"/>
      <c r="F48" s="11"/>
      <c r="G48" s="367"/>
      <c r="I48" s="243"/>
      <c r="K48" s="11"/>
      <c r="L48" s="243"/>
      <c r="N48" s="322" t="s">
        <v>1530</v>
      </c>
      <c r="O48" s="42">
        <v>45326</v>
      </c>
      <c r="P48" s="7">
        <f ca="1">DATEDIF(O48,NOW(),"d")</f>
        <v>925</v>
      </c>
      <c r="Q48">
        <v>79</v>
      </c>
      <c r="R48" t="s">
        <v>1531</v>
      </c>
    </row>
    <row r="49" spans="2:18">
      <c r="E49" s="409"/>
      <c r="F49" s="457"/>
      <c r="G49" s="445"/>
      <c r="L49" s="243"/>
      <c r="N49" t="s">
        <v>1532</v>
      </c>
      <c r="O49" s="316">
        <v>45326</v>
      </c>
      <c r="P49" s="7">
        <f ca="1">DATEDIF(O49,NOW(),"d")</f>
        <v>925</v>
      </c>
      <c r="Q49">
        <v>16</v>
      </c>
      <c r="R49" t="s">
        <v>1533</v>
      </c>
    </row>
    <row r="50" spans="2:18" ht="16.2" customHeight="1">
      <c r="E50" s="384"/>
      <c r="F50" s="457"/>
      <c r="G50" s="458"/>
      <c r="H50" s="243"/>
      <c r="I50" s="243"/>
      <c r="J50" s="213"/>
      <c r="K50" s="213"/>
      <c r="L50" s="243"/>
      <c r="N50" t="s">
        <v>1483</v>
      </c>
      <c r="O50" s="316">
        <v>45214</v>
      </c>
      <c r="P50" s="7">
        <f ca="1">DATEDIF(O50,NOW(),"d")</f>
        <v>1037</v>
      </c>
    </row>
    <row r="51" spans="2:18">
      <c r="B51" s="378"/>
      <c r="E51" s="79"/>
      <c r="F51" s="278"/>
      <c r="G51" s="243"/>
      <c r="J51" s="243"/>
      <c r="L51" s="243"/>
      <c r="P51" s="56"/>
    </row>
    <row r="52" spans="2:18" ht="14.4">
      <c r="E52" s="409"/>
      <c r="F52" s="451"/>
      <c r="H52" s="369"/>
      <c r="J52" s="243"/>
      <c r="K52" s="369"/>
      <c r="L52" s="243"/>
      <c r="N52" s="243"/>
      <c r="P52"/>
    </row>
    <row r="53" spans="2:18">
      <c r="E53" s="412"/>
      <c r="K53" s="369"/>
      <c r="L53" s="243"/>
      <c r="M53" s="243"/>
      <c r="P53" s="212"/>
      <c r="Q53" s="212"/>
    </row>
    <row r="54" spans="2:18" ht="15" customHeight="1">
      <c r="E54" s="412"/>
      <c r="H54" s="243"/>
      <c r="K54" s="353"/>
      <c r="L54" s="243"/>
      <c r="M54" s="243"/>
      <c r="P54" s="56"/>
      <c r="Q54" s="38"/>
    </row>
    <row r="55" spans="2:18">
      <c r="E55" s="412"/>
      <c r="I55" s="726"/>
      <c r="J55" s="726"/>
      <c r="L55" s="243"/>
      <c r="O55"/>
      <c r="P55"/>
    </row>
    <row r="56" spans="2:18" ht="15" customHeight="1">
      <c r="E56" s="413"/>
      <c r="H56" s="243"/>
      <c r="L56" s="243"/>
      <c r="O56"/>
      <c r="P56"/>
    </row>
    <row r="57" spans="2:18">
      <c r="E57" s="446"/>
      <c r="L57" s="243"/>
      <c r="O57"/>
      <c r="P57"/>
    </row>
    <row r="58" spans="2:18">
      <c r="B58" s="11"/>
      <c r="E58" s="405"/>
      <c r="I58" s="407"/>
      <c r="O58"/>
      <c r="P58"/>
    </row>
    <row r="59" spans="2:18">
      <c r="B59" s="11"/>
      <c r="E59" s="118"/>
      <c r="J59" s="79"/>
      <c r="O59"/>
      <c r="P59"/>
    </row>
    <row r="60" spans="2:18">
      <c r="E60" s="405"/>
      <c r="L60" s="243"/>
      <c r="M60" s="243"/>
      <c r="O60"/>
      <c r="P60"/>
    </row>
    <row r="61" spans="2:18">
      <c r="B61" s="212"/>
      <c r="C61" s="212"/>
      <c r="E61" s="405"/>
      <c r="F61" s="384"/>
      <c r="G61" s="384"/>
      <c r="O61"/>
      <c r="P61"/>
    </row>
    <row r="62" spans="2:18" ht="14.4">
      <c r="C62" s="56"/>
      <c r="E62" s="405"/>
      <c r="F62" s="726"/>
      <c r="G62" s="726"/>
      <c r="O62"/>
      <c r="P62"/>
    </row>
    <row r="63" spans="2:18" ht="15.75" customHeight="1">
      <c r="C63" s="56"/>
      <c r="E63" s="405"/>
      <c r="F63" s="726"/>
      <c r="G63" s="726"/>
      <c r="J63" s="243"/>
      <c r="M63" s="243"/>
      <c r="O63"/>
      <c r="P63"/>
    </row>
    <row r="64" spans="2:18" ht="14.4">
      <c r="C64" s="56"/>
      <c r="E64"/>
      <c r="F64"/>
      <c r="J64" s="243"/>
      <c r="M64" s="243"/>
      <c r="O64"/>
      <c r="P64" s="771"/>
    </row>
    <row r="65" spans="2:16" ht="14.4">
      <c r="C65" s="56"/>
      <c r="D65" s="79"/>
      <c r="E65"/>
      <c r="F65" s="79"/>
      <c r="O65"/>
      <c r="P65" s="771"/>
    </row>
    <row r="66" spans="2:16" ht="14.4">
      <c r="C66" s="56"/>
      <c r="E66"/>
      <c r="F66"/>
      <c r="I66" s="407"/>
      <c r="K66" s="243"/>
      <c r="O66"/>
      <c r="P66" s="771"/>
    </row>
    <row r="67" spans="2:16" ht="14.4">
      <c r="C67" s="56"/>
      <c r="E67" s="407"/>
      <c r="F67"/>
      <c r="G67" s="407"/>
      <c r="O67"/>
      <c r="P67" s="771"/>
    </row>
    <row r="68" spans="2:16" ht="14.4">
      <c r="C68" s="56"/>
      <c r="E68"/>
      <c r="F68"/>
      <c r="J68" s="243"/>
      <c r="O68"/>
      <c r="P68"/>
    </row>
    <row r="69" spans="2:16">
      <c r="C69" s="56"/>
      <c r="E69" s="347"/>
      <c r="F69" s="456"/>
      <c r="G69" s="447"/>
      <c r="J69" s="243"/>
      <c r="O69"/>
      <c r="P69"/>
    </row>
    <row r="70" spans="2:16" ht="14.4">
      <c r="C70" s="56"/>
      <c r="E70" s="332"/>
      <c r="F70"/>
      <c r="O70"/>
      <c r="P70" s="771"/>
    </row>
    <row r="71" spans="2:16" ht="14.4">
      <c r="C71" s="56"/>
      <c r="E71"/>
      <c r="F71"/>
      <c r="J71" s="243"/>
      <c r="O71"/>
      <c r="P71" s="771"/>
    </row>
    <row r="72" spans="2:16">
      <c r="C72" s="56"/>
      <c r="F72" s="79"/>
      <c r="O72"/>
      <c r="P72" s="771"/>
    </row>
    <row r="73" spans="2:16" ht="14.4">
      <c r="E73"/>
      <c r="F73"/>
      <c r="O73"/>
      <c r="P73" s="771"/>
    </row>
    <row r="74" spans="2:16">
      <c r="B74" s="212"/>
      <c r="C74" s="294"/>
      <c r="E74" s="365"/>
      <c r="F74"/>
      <c r="G74" s="407"/>
      <c r="O74"/>
      <c r="P74"/>
    </row>
    <row r="75" spans="2:16">
      <c r="C75" s="56"/>
      <c r="D75" s="56"/>
      <c r="E75" s="56"/>
      <c r="O75"/>
      <c r="P75"/>
    </row>
    <row r="76" spans="2:16" ht="14.4">
      <c r="C76" s="56"/>
      <c r="D76" s="56"/>
      <c r="E76" s="56"/>
      <c r="F76" s="56"/>
      <c r="O76"/>
      <c r="P76" s="771"/>
    </row>
    <row r="77" spans="2:16" ht="14.4">
      <c r="C77" s="56"/>
      <c r="D77" s="56"/>
      <c r="E77" s="56"/>
      <c r="F77" s="56"/>
      <c r="O77"/>
      <c r="P77" s="771"/>
    </row>
    <row r="78" spans="2:16" ht="14.4">
      <c r="C78" s="56"/>
      <c r="D78" s="56"/>
      <c r="E78" s="56"/>
      <c r="F78"/>
      <c r="O78"/>
      <c r="P78" s="771"/>
    </row>
    <row r="79" spans="2:16" ht="14.4">
      <c r="C79" s="56"/>
      <c r="D79" s="56"/>
      <c r="E79" s="56"/>
      <c r="F79" s="332"/>
      <c r="O79"/>
      <c r="P79" s="771"/>
    </row>
    <row r="80" spans="2:16" ht="14.4">
      <c r="C80" s="56"/>
      <c r="E80" s="56"/>
      <c r="F80"/>
      <c r="O80"/>
      <c r="P80"/>
    </row>
    <row r="81" spans="5:16">
      <c r="F81"/>
      <c r="O81"/>
      <c r="P81"/>
    </row>
    <row r="82" spans="5:16">
      <c r="E82" s="212"/>
      <c r="F82" s="365"/>
      <c r="O82"/>
      <c r="P82" s="771"/>
    </row>
    <row r="83" spans="5:16" ht="14.4">
      <c r="E83" s="56"/>
      <c r="F83" s="212"/>
      <c r="O83"/>
      <c r="P83" s="771"/>
    </row>
    <row r="84" spans="5:16" ht="14.4">
      <c r="E84" s="56"/>
      <c r="F84" s="56"/>
      <c r="O84"/>
      <c r="P84" s="771"/>
    </row>
    <row r="85" spans="5:16" ht="14.4">
      <c r="E85" s="56"/>
      <c r="F85" s="56"/>
      <c r="O85"/>
      <c r="P85" s="771"/>
    </row>
    <row r="86" spans="5:16" ht="14.4">
      <c r="E86" s="56"/>
      <c r="F86" s="56"/>
      <c r="O86"/>
      <c r="P86"/>
    </row>
    <row r="87" spans="5:16" ht="14.4">
      <c r="E87" s="56"/>
      <c r="F87" s="56"/>
      <c r="O87"/>
      <c r="P87"/>
    </row>
    <row r="88" spans="5:16" ht="14.4">
      <c r="E88" s="56"/>
      <c r="F88" s="56"/>
      <c r="O88"/>
      <c r="P88" s="771"/>
    </row>
    <row r="89" spans="5:16">
      <c r="O89"/>
      <c r="P89" s="771"/>
    </row>
    <row r="90" spans="5:16" ht="14.4">
      <c r="E90" s="212"/>
      <c r="F90" s="212"/>
      <c r="O90"/>
      <c r="P90" s="771"/>
    </row>
    <row r="91" spans="5:16" ht="14.4">
      <c r="E91" s="56"/>
      <c r="F91" s="56"/>
      <c r="O91"/>
      <c r="P91" s="771"/>
    </row>
    <row r="92" spans="5:16" ht="14.4">
      <c r="E92" s="56"/>
      <c r="F92" s="56"/>
      <c r="O92"/>
      <c r="P92"/>
    </row>
    <row r="93" spans="5:16" ht="14.4">
      <c r="E93" s="56"/>
      <c r="F93" s="56"/>
      <c r="G93" s="407"/>
      <c r="O93"/>
      <c r="P93"/>
    </row>
    <row r="94" spans="5:16" ht="14.4">
      <c r="E94" s="56"/>
      <c r="F94" s="56"/>
      <c r="G94" s="407"/>
      <c r="O94"/>
      <c r="P94" s="771"/>
    </row>
    <row r="95" spans="5:16" ht="14.4">
      <c r="E95" s="56"/>
      <c r="F95" s="56"/>
      <c r="G95" s="407"/>
      <c r="O95"/>
      <c r="P95" s="771"/>
    </row>
    <row r="96" spans="5:16" ht="14.4">
      <c r="E96" s="56"/>
      <c r="F96" s="56"/>
      <c r="G96" s="407"/>
      <c r="O96"/>
      <c r="P96" s="771"/>
    </row>
    <row r="97" spans="5:16">
      <c r="E97" s="365"/>
      <c r="F97" s="365"/>
      <c r="G97" s="407"/>
      <c r="O97"/>
      <c r="P97" s="771"/>
    </row>
    <row r="98" spans="5:16">
      <c r="G98" s="407"/>
      <c r="O98"/>
      <c r="P98"/>
    </row>
    <row r="99" spans="5:16">
      <c r="G99" s="407"/>
      <c r="O99"/>
      <c r="P99"/>
    </row>
    <row r="100" spans="5:16">
      <c r="G100" s="407"/>
    </row>
    <row r="104" spans="5:16">
      <c r="F104" s="384"/>
    </row>
    <row r="105" spans="5:16">
      <c r="F105" s="384"/>
    </row>
  </sheetData>
  <mergeCells count="31">
    <mergeCell ref="B4:E4"/>
    <mergeCell ref="B1:O1"/>
    <mergeCell ref="G3:H3"/>
    <mergeCell ref="I3:J3"/>
    <mergeCell ref="K3:L3"/>
    <mergeCell ref="M3:N3"/>
    <mergeCell ref="B44:D44"/>
    <mergeCell ref="B5:C5"/>
    <mergeCell ref="D5:E5"/>
    <mergeCell ref="B6:B22"/>
    <mergeCell ref="C6:C22"/>
    <mergeCell ref="E10:F10"/>
    <mergeCell ref="B25:E25"/>
    <mergeCell ref="B26:C26"/>
    <mergeCell ref="D26:E26"/>
    <mergeCell ref="B39:E39"/>
    <mergeCell ref="B40:C40"/>
    <mergeCell ref="D40:E40"/>
    <mergeCell ref="P94:P97"/>
    <mergeCell ref="B46:G46"/>
    <mergeCell ref="K46:O46"/>
    <mergeCell ref="B47:C47"/>
    <mergeCell ref="D47:E47"/>
    <mergeCell ref="F62:G62"/>
    <mergeCell ref="F63:G63"/>
    <mergeCell ref="P64:P67"/>
    <mergeCell ref="P70:P73"/>
    <mergeCell ref="P76:P79"/>
    <mergeCell ref="P82:P85"/>
    <mergeCell ref="P88:P91"/>
    <mergeCell ref="I55:J55"/>
  </mergeCells>
  <pageMargins left="0.7" right="0.7" top="0.75" bottom="0.75" header="0.3" footer="0.3"/>
  <pageSetup orientation="portrait" r:id="rId1"/>
  <legacyDrawing r:id="rId2"/>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6563A-E407-41A0-893F-88ACBE5EDC58}">
  <dimension ref="A1:T105"/>
  <sheetViews>
    <sheetView topLeftCell="D13" zoomScale="90" zoomScaleNormal="90" workbookViewId="0">
      <selection activeCell="G44" sqref="G4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JAN-FEB R 24</v>
      </c>
      <c r="B1" s="730" t="str">
        <f ca="1">MID(CELL("filename",B1),FIND("]",CELL("filename",B1))+1,255)</f>
        <v>FEB-MAR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c r="M2" s="79" t="s">
        <v>801</v>
      </c>
      <c r="N2" s="307"/>
      <c r="O2" s="273" t="s">
        <v>10</v>
      </c>
      <c r="P2" s="273"/>
      <c r="Q2" s="283" t="s">
        <v>803</v>
      </c>
    </row>
    <row r="3" spans="1:20">
      <c r="B3" s="118"/>
      <c r="C3" s="118"/>
      <c r="D3" s="290" t="str">
        <f>"£" &amp; ROUND(O5+O39+O26+IF(O40&lt;0,0,O40)+O41+O4,2) &amp; " / " &amp; "£" &amp; E44</f>
        <v>£2745.46 / £6874.48</v>
      </c>
      <c r="E3" s="365"/>
      <c r="F3" s="365"/>
      <c r="G3" s="732">
        <v>45194</v>
      </c>
      <c r="H3" s="732"/>
      <c r="I3" s="732">
        <f>G3+7</f>
        <v>45201</v>
      </c>
      <c r="J3" s="732"/>
      <c r="K3" s="732">
        <f>I3+7</f>
        <v>45208</v>
      </c>
      <c r="L3" s="732"/>
      <c r="M3" s="732">
        <f>K3+7</f>
        <v>45215</v>
      </c>
      <c r="N3" s="732"/>
      <c r="O3" s="308">
        <v>0</v>
      </c>
      <c r="P3" s="325" t="s">
        <v>1224</v>
      </c>
      <c r="Q3" s="282"/>
    </row>
    <row r="4" spans="1:20" ht="15" customHeight="1">
      <c r="B4" s="727" t="str">
        <f>_xlfn.CONCAT("Expenses - 50 - ",G44*0.5," / Actual = ",ROUND(D5,2)," (",ROUND((D5/G44)*100,2),")")</f>
        <v>Expenses - 50 - 3437.24 / Actual = 2945.16 (42.84)</v>
      </c>
      <c r="C4" s="727"/>
      <c r="D4" s="727"/>
      <c r="E4" s="727"/>
      <c r="F4" s="318"/>
      <c r="G4" s="243"/>
      <c r="H4" s="304">
        <f>SUM(H5:H42)</f>
        <v>1075.49</v>
      </c>
      <c r="I4" s="243"/>
      <c r="J4" s="304">
        <f>SUM(J5:J42)</f>
        <v>982.69999999999993</v>
      </c>
      <c r="K4" s="243"/>
      <c r="L4" s="304">
        <f>SUM(L5:L42)</f>
        <v>0</v>
      </c>
      <c r="M4" s="243"/>
      <c r="N4" s="304">
        <f>SUM(N5:N41)-SUM(N30:N36)</f>
        <v>0</v>
      </c>
      <c r="O4" s="308">
        <f>IF(H43&lt;&gt;"PAID",H4,0)+IF(J43&lt;&gt;"PAID",J4,0)+IF(L43&lt;&gt;"PAID",L4,0)+IF(N43&lt;&gt;"PAID",N4,0)</f>
        <v>2058.19</v>
      </c>
      <c r="P4" s="309" t="s">
        <v>973</v>
      </c>
      <c r="Q4" s="408">
        <f>O4+402.34</f>
        <v>2460.5300000000002</v>
      </c>
      <c r="R4" s="243"/>
      <c r="S4" s="243"/>
    </row>
    <row r="5" spans="1:20" ht="15" customHeight="1">
      <c r="B5" s="733" t="str">
        <f>IF(D5&gt;E$44*0.5,ROUND(D5-E$44*0.5,2) &amp; " Over",ROUND(E$44*0.5-D5,2) &amp; " Under")</f>
        <v>492.08 Under</v>
      </c>
      <c r="C5" s="733"/>
      <c r="D5" s="761">
        <f>ROUND(SUM(F6:F23),2)</f>
        <v>2945.16</v>
      </c>
      <c r="E5" s="761"/>
      <c r="F5" s="321"/>
      <c r="G5" s="284"/>
      <c r="H5" s="306"/>
      <c r="I5" s="79"/>
      <c r="J5" s="306"/>
      <c r="K5" s="79"/>
      <c r="L5" s="306"/>
      <c r="M5" s="79"/>
      <c r="N5" s="305"/>
      <c r="O5" s="285">
        <f>SUMIF(O6:O23,"&gt;0")</f>
        <v>749.85000000000014</v>
      </c>
      <c r="P5" s="285" t="s">
        <v>892</v>
      </c>
      <c r="Q5" s="282">
        <f>SUM(Q6:Q22)</f>
        <v>17.319999999999993</v>
      </c>
      <c r="R5" s="243"/>
    </row>
    <row r="6" spans="1:20" ht="15" customHeight="1">
      <c r="B6" s="734" t="str">
        <f>"50%: " &amp; E$44*0.5</f>
        <v>50%: 3437.24</v>
      </c>
      <c r="C6" s="734" t="str">
        <f>ROUND((D5/E$44)*100,2) &amp; "%: " &amp;D5</f>
        <v>42.84%: 2945.16</v>
      </c>
      <c r="D6" s="13" t="s">
        <v>805</v>
      </c>
      <c r="E6" s="365">
        <v>0</v>
      </c>
      <c r="F6" s="374">
        <v>150</v>
      </c>
      <c r="H6" s="304">
        <f>25.01+30.04</f>
        <v>55.05</v>
      </c>
      <c r="J6" s="305">
        <f>29.88+21.53+30.03+30.83</f>
        <v>112.27</v>
      </c>
      <c r="L6" s="305"/>
      <c r="N6" s="305"/>
      <c r="O6" s="274">
        <f>SUM(E6:F6)-SUM(G6:N6)</f>
        <v>-17.319999999999993</v>
      </c>
      <c r="P6" s="274" t="str">
        <f t="shared" ref="P6:P23" si="0">D6</f>
        <v>Car Petrol / commuting</v>
      </c>
      <c r="Q6" s="282">
        <f t="shared" ref="Q6:Q22" si="1">IF(O6&lt;0,O6*-1,0)</f>
        <v>17.319999999999993</v>
      </c>
      <c r="R6" s="243"/>
    </row>
    <row r="7" spans="1:20" ht="15" customHeight="1">
      <c r="B7" s="734"/>
      <c r="C7" s="734"/>
      <c r="D7" s="13" t="s">
        <v>169</v>
      </c>
      <c r="E7" s="365">
        <v>0</v>
      </c>
      <c r="F7" s="365">
        <v>200</v>
      </c>
      <c r="H7" s="304">
        <f>62.67+59.62+5.1</f>
        <v>127.38999999999999</v>
      </c>
      <c r="J7" s="305">
        <f>57.83+8.5</f>
        <v>66.33</v>
      </c>
      <c r="L7" s="305"/>
      <c r="N7" s="305"/>
      <c r="O7" s="274">
        <f>SUM(E7:F7)-SUM(G7:N7)</f>
        <v>6.2800000000000296</v>
      </c>
      <c r="P7" s="274" t="str">
        <f t="shared" si="0"/>
        <v>Food</v>
      </c>
      <c r="Q7" s="282">
        <f t="shared" si="1"/>
        <v>0</v>
      </c>
      <c r="R7" s="243"/>
    </row>
    <row r="8" spans="1:20" ht="15" customHeight="1">
      <c r="B8" s="734"/>
      <c r="C8" s="734"/>
      <c r="D8" s="13" t="s">
        <v>153</v>
      </c>
      <c r="E8" s="365">
        <v>0</v>
      </c>
      <c r="F8" s="365">
        <f>70</f>
        <v>70</v>
      </c>
      <c r="H8" s="305">
        <f>14.9+16.56+14.9+17.7</f>
        <v>64.06</v>
      </c>
      <c r="J8" s="305">
        <f>4.75</f>
        <v>4.75</v>
      </c>
      <c r="L8" s="305"/>
      <c r="N8" s="305"/>
      <c r="O8" s="274">
        <f>SUM(E8:F8)-SUM(G8:N8)</f>
        <v>1.1899999999999977</v>
      </c>
      <c r="P8" s="274" t="str">
        <f t="shared" si="0"/>
        <v>Luna</v>
      </c>
      <c r="Q8" s="282">
        <f t="shared" si="1"/>
        <v>0</v>
      </c>
    </row>
    <row r="9" spans="1:20" ht="15" customHeight="1">
      <c r="B9" s="734"/>
      <c r="C9" s="734"/>
      <c r="D9" s="13" t="s">
        <v>1079</v>
      </c>
      <c r="E9" s="365">
        <v>0</v>
      </c>
      <c r="F9" s="365">
        <v>30</v>
      </c>
      <c r="H9" s="305">
        <v>12</v>
      </c>
      <c r="J9" s="305">
        <f>3.74+14.24</f>
        <v>17.98</v>
      </c>
      <c r="L9" s="305"/>
      <c r="N9" s="305"/>
      <c r="O9" s="274">
        <f>SUM(E9:F9)-SUM(G9:N9)</f>
        <v>1.9999999999999574E-2</v>
      </c>
      <c r="P9" s="274" t="str">
        <f t="shared" si="0"/>
        <v>Creamy</v>
      </c>
      <c r="Q9" s="282">
        <f t="shared" si="1"/>
        <v>0</v>
      </c>
      <c r="R9" s="243"/>
    </row>
    <row r="10" spans="1:20" ht="15" customHeight="1">
      <c r="B10" s="734"/>
      <c r="C10" s="734"/>
      <c r="D10" s="13" t="s">
        <v>189</v>
      </c>
      <c r="E10" s="780">
        <f>SUM(F11:F23)</f>
        <v>2495.16</v>
      </c>
      <c r="F10" s="780"/>
      <c r="H10" s="305"/>
      <c r="J10" s="305"/>
      <c r="L10" s="305"/>
      <c r="N10" s="305"/>
      <c r="O10" s="274"/>
      <c r="P10" s="274" t="str">
        <f t="shared" si="0"/>
        <v>Direct debits</v>
      </c>
      <c r="Q10" s="282"/>
      <c r="R10" s="243"/>
    </row>
    <row r="11" spans="1:20" ht="15" customHeight="1" outlineLevel="1">
      <c r="B11" s="734"/>
      <c r="C11" s="734"/>
      <c r="D11" s="201" t="s">
        <v>595</v>
      </c>
      <c r="E11" s="365">
        <v>0</v>
      </c>
      <c r="F11" s="365">
        <v>835.29</v>
      </c>
      <c r="G11">
        <v>835.29</v>
      </c>
      <c r="H11" s="304"/>
      <c r="J11" s="305"/>
      <c r="L11" s="305"/>
      <c r="N11" s="305"/>
      <c r="O11" s="274">
        <f t="shared" ref="O11:O16" si="2">SUM(E11:F11)-SUM(G11:N11)</f>
        <v>0</v>
      </c>
      <c r="P11" s="274" t="str">
        <f t="shared" si="0"/>
        <v>Mortgage</v>
      </c>
      <c r="Q11" s="282">
        <f t="shared" si="1"/>
        <v>0</v>
      </c>
      <c r="R11" s="243"/>
      <c r="S11" s="11">
        <f>SUM(O11:O23)</f>
        <v>742.36000000000013</v>
      </c>
    </row>
    <row r="12" spans="1:20" ht="15" customHeight="1" outlineLevel="1">
      <c r="B12" s="734"/>
      <c r="C12" s="734"/>
      <c r="D12" s="201" t="s">
        <v>596</v>
      </c>
      <c r="E12" s="365">
        <v>0</v>
      </c>
      <c r="F12" s="365">
        <v>147</v>
      </c>
      <c r="H12" s="305"/>
      <c r="J12" s="305"/>
      <c r="L12" s="305"/>
      <c r="N12" s="305"/>
      <c r="O12" s="274">
        <f t="shared" si="2"/>
        <v>147</v>
      </c>
      <c r="P12" s="274" t="str">
        <f t="shared" si="0"/>
        <v>Council tax</v>
      </c>
      <c r="Q12" s="282">
        <f t="shared" si="1"/>
        <v>0</v>
      </c>
      <c r="S12" s="349">
        <f>S11-S21</f>
        <v>252.39000000000016</v>
      </c>
    </row>
    <row r="13" spans="1:20" ht="15" customHeight="1" outlineLevel="1">
      <c r="B13" s="734"/>
      <c r="C13" s="734"/>
      <c r="D13" s="201" t="s">
        <v>1002</v>
      </c>
      <c r="E13" s="365">
        <v>0</v>
      </c>
      <c r="F13" s="365">
        <f>24+111.75</f>
        <v>135.75</v>
      </c>
      <c r="G13">
        <v>111.75</v>
      </c>
      <c r="H13" s="305"/>
      <c r="J13" s="305"/>
      <c r="L13" s="305"/>
      <c r="N13" s="305"/>
      <c r="O13" s="274">
        <f>SUM(E13:F13)-SUM(G13:N13)</f>
        <v>24</v>
      </c>
      <c r="P13" s="274" t="str">
        <f t="shared" si="0"/>
        <v>Utilities (G,W,E,HTB)</v>
      </c>
      <c r="Q13" s="282">
        <f t="shared" si="1"/>
        <v>0</v>
      </c>
    </row>
    <row r="14" spans="1:20" ht="15" customHeight="1" outlineLevel="1">
      <c r="B14" s="734"/>
      <c r="C14" s="734"/>
      <c r="D14" s="201" t="s">
        <v>996</v>
      </c>
      <c r="E14" s="365">
        <v>0</v>
      </c>
      <c r="F14" s="365">
        <v>13.99</v>
      </c>
      <c r="G14">
        <v>13.99</v>
      </c>
      <c r="H14" s="305"/>
      <c r="J14" s="305"/>
      <c r="L14" s="305"/>
      <c r="N14" s="305"/>
      <c r="O14" s="274">
        <f>SUM(E14:F14)-SUM(G14:N14)</f>
        <v>0</v>
      </c>
      <c r="P14" s="274" t="str">
        <f t="shared" si="0"/>
        <v>Home Insurance</v>
      </c>
      <c r="Q14" s="282">
        <f t="shared" si="1"/>
        <v>0</v>
      </c>
    </row>
    <row r="15" spans="1:20" ht="15" customHeight="1" outlineLevel="1">
      <c r="B15" s="734"/>
      <c r="C15" s="734"/>
      <c r="D15" s="201" t="s">
        <v>1056</v>
      </c>
      <c r="E15" s="365">
        <v>0</v>
      </c>
      <c r="F15" s="365">
        <f>8+17.2+17.99</f>
        <v>43.19</v>
      </c>
      <c r="G15">
        <f>17.99</f>
        <v>17.989999999999998</v>
      </c>
      <c r="H15" s="305"/>
      <c r="J15" s="305"/>
      <c r="L15" s="305"/>
      <c r="N15" s="305"/>
      <c r="O15" s="274">
        <f>SUM(E15:F15)-SUM(G15:N15)</f>
        <v>25.2</v>
      </c>
      <c r="P15" s="274" t="str">
        <f t="shared" si="0"/>
        <v>Pet Health / Insurance</v>
      </c>
      <c r="Q15" s="282">
        <f t="shared" si="1"/>
        <v>0</v>
      </c>
    </row>
    <row r="16" spans="1:20" ht="15" customHeight="1" outlineLevel="1">
      <c r="B16" s="734"/>
      <c r="C16" s="734"/>
      <c r="D16" s="201" t="s">
        <v>1057</v>
      </c>
      <c r="E16" s="365">
        <v>0</v>
      </c>
      <c r="F16" s="365">
        <f>4.52+15.97+30.8</f>
        <v>51.290000000000006</v>
      </c>
      <c r="G16">
        <f>20.49+30.8</f>
        <v>51.29</v>
      </c>
      <c r="H16" s="305"/>
      <c r="I16" s="11"/>
      <c r="J16" s="305"/>
      <c r="L16" s="305"/>
      <c r="N16" s="305"/>
      <c r="O16" s="274">
        <f t="shared" si="2"/>
        <v>0</v>
      </c>
      <c r="P16" s="274" t="str">
        <f t="shared" si="0"/>
        <v>Life / Income Insurance</v>
      </c>
      <c r="Q16" s="282">
        <f t="shared" si="1"/>
        <v>0</v>
      </c>
    </row>
    <row r="17" spans="2:20" ht="15" customHeight="1" outlineLevel="1">
      <c r="B17" s="734"/>
      <c r="C17" s="734"/>
      <c r="D17" s="201" t="s">
        <v>602</v>
      </c>
      <c r="E17" s="365">
        <v>0</v>
      </c>
      <c r="F17" s="365">
        <v>28.6</v>
      </c>
      <c r="H17" s="305"/>
      <c r="J17" s="305"/>
      <c r="L17" s="305"/>
      <c r="N17" s="305"/>
      <c r="O17" s="274">
        <f t="shared" ref="O17:O22" si="3">SUM(E17:F17)-SUM(G17:N17)</f>
        <v>28.6</v>
      </c>
      <c r="P17" s="274" t="str">
        <f t="shared" si="0"/>
        <v>Broadband / TV</v>
      </c>
      <c r="Q17" s="282">
        <f t="shared" si="1"/>
        <v>0</v>
      </c>
    </row>
    <row r="18" spans="2:20" ht="15" customHeight="1" outlineLevel="1">
      <c r="B18" s="734"/>
      <c r="C18" s="734"/>
      <c r="D18" s="201" t="s">
        <v>582</v>
      </c>
      <c r="E18" s="365">
        <v>0</v>
      </c>
      <c r="F18" s="365">
        <v>7.99</v>
      </c>
      <c r="G18">
        <v>7.99</v>
      </c>
      <c r="H18" s="305"/>
      <c r="J18" s="305"/>
      <c r="L18" s="305"/>
      <c r="N18" s="305"/>
      <c r="O18" s="274">
        <f t="shared" si="3"/>
        <v>0</v>
      </c>
      <c r="P18" s="274" t="str">
        <f t="shared" si="0"/>
        <v>Onedrive (6th)</v>
      </c>
      <c r="Q18" s="282">
        <f t="shared" si="1"/>
        <v>0</v>
      </c>
    </row>
    <row r="19" spans="2:20" ht="15" customHeight="1" outlineLevel="1">
      <c r="B19" s="734"/>
      <c r="C19" s="734"/>
      <c r="D19" s="201" t="s">
        <v>788</v>
      </c>
      <c r="E19" s="365">
        <v>0</v>
      </c>
      <c r="F19" s="365">
        <v>13.2</v>
      </c>
      <c r="G19">
        <v>13.2</v>
      </c>
      <c r="H19" s="305"/>
      <c r="J19" s="305"/>
      <c r="L19" s="305"/>
      <c r="N19" s="305"/>
      <c r="O19" s="274">
        <f t="shared" si="3"/>
        <v>0</v>
      </c>
      <c r="P19" s="274" t="str">
        <f t="shared" si="0"/>
        <v>Matt Phone</v>
      </c>
      <c r="Q19" s="282">
        <f t="shared" si="1"/>
        <v>0</v>
      </c>
    </row>
    <row r="20" spans="2:20" ht="15" customHeight="1" outlineLevel="1">
      <c r="B20" s="734"/>
      <c r="C20" s="734"/>
      <c r="D20" s="201" t="s">
        <v>1279</v>
      </c>
      <c r="E20" s="365">
        <v>0</v>
      </c>
      <c r="F20" s="365">
        <v>232.5</v>
      </c>
      <c r="H20" s="305"/>
      <c r="J20" s="305"/>
      <c r="L20" s="305"/>
      <c r="N20" s="305"/>
      <c r="O20" s="274">
        <f t="shared" si="3"/>
        <v>232.5</v>
      </c>
      <c r="P20" s="274" t="str">
        <f t="shared" si="0"/>
        <v>Watch</v>
      </c>
      <c r="Q20" s="282">
        <f t="shared" si="1"/>
        <v>0</v>
      </c>
    </row>
    <row r="21" spans="2:20" ht="15" customHeight="1" outlineLevel="1">
      <c r="B21" s="734"/>
      <c r="C21" s="734"/>
      <c r="D21" s="201" t="s">
        <v>690</v>
      </c>
      <c r="E21" s="365">
        <v>0</v>
      </c>
      <c r="F21" s="365">
        <f>11.81+14.43+270.97+46.72+89.64+468.84</f>
        <v>902.41000000000008</v>
      </c>
      <c r="G21">
        <f>13.12+15.75+89.64+468.84+46.49</f>
        <v>633.83999999999992</v>
      </c>
      <c r="H21" s="305"/>
      <c r="J21" s="305"/>
      <c r="L21" s="305"/>
      <c r="N21" s="305"/>
      <c r="O21" s="274">
        <f t="shared" si="3"/>
        <v>268.57000000000016</v>
      </c>
      <c r="P21" s="274" t="str">
        <f t="shared" si="0"/>
        <v>Cars</v>
      </c>
      <c r="Q21" s="282">
        <f t="shared" si="1"/>
        <v>0</v>
      </c>
      <c r="S21">
        <f>468.84+21.13</f>
        <v>489.96999999999997</v>
      </c>
    </row>
    <row r="22" spans="2:20" ht="15" customHeight="1" outlineLevel="1">
      <c r="B22" s="734"/>
      <c r="C22" s="734"/>
      <c r="D22" s="201" t="s">
        <v>944</v>
      </c>
      <c r="E22" s="365">
        <v>0</v>
      </c>
      <c r="F22" s="365">
        <v>15</v>
      </c>
      <c r="H22" s="305"/>
      <c r="J22" s="305"/>
      <c r="L22" s="305"/>
      <c r="N22" s="305"/>
      <c r="O22" s="274">
        <f t="shared" si="3"/>
        <v>15</v>
      </c>
      <c r="P22" s="274" t="str">
        <f t="shared" si="0"/>
        <v>Windows</v>
      </c>
      <c r="Q22" s="282">
        <f t="shared" si="1"/>
        <v>0</v>
      </c>
      <c r="R22" s="243"/>
    </row>
    <row r="23" spans="2:20" ht="15" customHeight="1" outlineLevel="1">
      <c r="B23" s="7"/>
      <c r="C23" s="7"/>
      <c r="D23" s="201" t="s">
        <v>781</v>
      </c>
      <c r="E23" s="365">
        <v>0</v>
      </c>
      <c r="F23" s="365">
        <f>13+6.99+0.99+10.99+8.99+25+2.99</f>
        <v>68.95</v>
      </c>
      <c r="G23" s="11">
        <f>13+10.99+1.49+25+7.99+8.99</f>
        <v>67.460000000000008</v>
      </c>
      <c r="H23" s="305"/>
      <c r="J23" s="305"/>
      <c r="L23" s="305"/>
      <c r="N23" s="305"/>
      <c r="O23" s="274">
        <f t="shared" ref="O23" si="4">SUM(E23:F23)-SUM(G23:N23)</f>
        <v>1.4899999999999949</v>
      </c>
      <c r="P23" s="274" t="str">
        <f t="shared" si="0"/>
        <v>Subscriptions</v>
      </c>
      <c r="Q23" s="282"/>
      <c r="R23" s="243"/>
    </row>
    <row r="24" spans="2:20" ht="15" customHeight="1">
      <c r="B24" s="118"/>
      <c r="C24" s="118"/>
      <c r="D24" s="188"/>
      <c r="E24" s="365"/>
      <c r="F24" s="365"/>
      <c r="H24" s="305"/>
      <c r="J24" s="305"/>
      <c r="L24" s="305"/>
      <c r="N24" s="305"/>
      <c r="O24" s="273"/>
      <c r="P24" s="273"/>
      <c r="Q24" s="282"/>
    </row>
    <row r="25" spans="2:20" ht="15" customHeight="1">
      <c r="B25" s="736" t="str">
        <f>_xlfn.CONCAT("Savings - 20 - ",G44*0.2," / Actual = ",D26," (",ROUND((D26/G44)*100,2),")")</f>
        <v>Savings - 20 - 1374.896 / Actual = 2963.17 (43.1)</v>
      </c>
      <c r="C25" s="736"/>
      <c r="D25" s="736"/>
      <c r="E25" s="736"/>
      <c r="F25" s="320"/>
      <c r="H25" s="305"/>
      <c r="J25" s="305"/>
      <c r="L25" s="305"/>
      <c r="N25" s="305"/>
      <c r="O25" s="274"/>
      <c r="P25" s="274"/>
      <c r="Q25" s="282"/>
    </row>
    <row r="26" spans="2:20" ht="15" customHeight="1">
      <c r="B26" s="727" t="str">
        <f>IF(ISNUMBER((SEARCH("Over",C$5))),"Operating under budget","Operating over budget")</f>
        <v>Operating over budget</v>
      </c>
      <c r="C26" s="727"/>
      <c r="D26" s="759">
        <f>F27</f>
        <v>2963.17</v>
      </c>
      <c r="E26" s="759"/>
      <c r="F26" s="319"/>
      <c r="H26" s="305"/>
      <c r="J26" s="305"/>
      <c r="L26" s="305"/>
      <c r="N26" s="305"/>
      <c r="O26" s="285">
        <f>0</f>
        <v>0</v>
      </c>
      <c r="P26" s="285" t="s">
        <v>895</v>
      </c>
      <c r="Q26" s="282">
        <f>SUM(Q27:Q27)</f>
        <v>0</v>
      </c>
    </row>
    <row r="27" spans="2:20" ht="15" customHeight="1" outlineLevel="1">
      <c r="B27" s="7" t="str">
        <f>"20% : " &amp; E$44*0.2</f>
        <v>20% : 1374.896</v>
      </c>
      <c r="C27" s="7" t="str">
        <f>"20% : " &amp; E$44*0.2</f>
        <v>20% : 1374.896</v>
      </c>
      <c r="D27" s="300" t="s">
        <v>183</v>
      </c>
      <c r="E27" s="365">
        <v>0</v>
      </c>
      <c r="F27" s="365">
        <f>SUM(F28:F36)</f>
        <v>2963.17</v>
      </c>
      <c r="H27" s="305"/>
      <c r="J27" s="305"/>
      <c r="L27" s="305"/>
      <c r="N27" s="305"/>
      <c r="O27" s="274">
        <f>SUM(O28:O36)</f>
        <v>2547.1699999999996</v>
      </c>
      <c r="P27" s="274" t="str">
        <f t="shared" ref="P27:P36" si="5">D27</f>
        <v>Savings</v>
      </c>
      <c r="Q27" s="282">
        <v>0</v>
      </c>
      <c r="S27" s="243"/>
    </row>
    <row r="28" spans="2:20" ht="15" customHeight="1" outlineLevel="1">
      <c r="B28" s="7"/>
      <c r="C28" s="7"/>
      <c r="D28" s="300" t="s">
        <v>1279</v>
      </c>
      <c r="E28" s="365">
        <v>0</v>
      </c>
      <c r="F28" s="365">
        <v>-232.5</v>
      </c>
      <c r="H28" s="305"/>
      <c r="J28" s="305"/>
      <c r="L28" s="305"/>
      <c r="N28" s="305"/>
      <c r="O28" s="274">
        <f>SUM(E28:F28)-SUM(G28:N28)</f>
        <v>-232.5</v>
      </c>
      <c r="P28" s="274" t="str">
        <f t="shared" si="5"/>
        <v>Watch</v>
      </c>
      <c r="Q28" s="282"/>
      <c r="S28" s="243"/>
    </row>
    <row r="29" spans="2:20" ht="15" customHeight="1" outlineLevel="1">
      <c r="B29" s="7"/>
      <c r="C29" s="7"/>
      <c r="D29" s="300" t="s">
        <v>1015</v>
      </c>
      <c r="E29" s="365">
        <v>0</v>
      </c>
      <c r="F29" s="365">
        <v>-468</v>
      </c>
      <c r="H29" s="305"/>
      <c r="J29" s="305"/>
      <c r="L29" s="315"/>
      <c r="N29" s="305"/>
      <c r="O29" s="274">
        <f>SUM(E29:F29)-SUM(G29:N29)</f>
        <v>-468</v>
      </c>
      <c r="P29" s="274" t="str">
        <f>D29</f>
        <v>Tesco</v>
      </c>
      <c r="Q29" s="282"/>
      <c r="R29" s="243"/>
    </row>
    <row r="30" spans="2:20" ht="15" customHeight="1" outlineLevel="1">
      <c r="B30" s="7"/>
      <c r="C30" s="7"/>
      <c r="D30" s="300" t="s">
        <v>1485</v>
      </c>
      <c r="E30" s="365">
        <v>0</v>
      </c>
      <c r="F30" s="365">
        <v>40</v>
      </c>
      <c r="H30" s="305"/>
      <c r="J30" s="305"/>
      <c r="L30" s="362"/>
      <c r="N30" s="315"/>
      <c r="O30" s="274">
        <f>SUM(E30:F30)-SUM(G30:N30)</f>
        <v>40</v>
      </c>
      <c r="P30" s="274" t="str">
        <f t="shared" si="5"/>
        <v>MOT / Service</v>
      </c>
      <c r="Q30" s="282"/>
      <c r="R30" s="243"/>
    </row>
    <row r="31" spans="2:20" ht="15" customHeight="1" outlineLevel="1">
      <c r="B31" s="7"/>
      <c r="C31" s="7"/>
      <c r="D31" s="300" t="s">
        <v>772</v>
      </c>
      <c r="E31" s="365">
        <v>0</v>
      </c>
      <c r="F31" s="365">
        <v>0</v>
      </c>
      <c r="H31" s="305"/>
      <c r="J31" s="305"/>
      <c r="L31" s="362"/>
      <c r="N31" s="315"/>
      <c r="O31" s="274">
        <f>SUM(E31:F31)-SUM(G31:N31)</f>
        <v>0</v>
      </c>
      <c r="P31" s="274" t="str">
        <f t="shared" si="5"/>
        <v>Home</v>
      </c>
      <c r="Q31" s="282"/>
      <c r="R31" s="243"/>
    </row>
    <row r="32" spans="2:20" ht="15" customHeight="1" outlineLevel="1">
      <c r="B32" s="7"/>
      <c r="C32" s="7"/>
      <c r="D32" s="300" t="s">
        <v>590</v>
      </c>
      <c r="E32" s="365">
        <v>0</v>
      </c>
      <c r="F32" s="365">
        <v>165</v>
      </c>
      <c r="H32" s="305">
        <f>20.35+19.45+34.57</f>
        <v>74.37</v>
      </c>
      <c r="J32" s="305">
        <f>27+28.07+20</f>
        <v>75.069999999999993</v>
      </c>
      <c r="L32" s="362"/>
      <c r="N32" s="315"/>
      <c r="O32" s="274">
        <f>SUM(E32:F32)-SUM(G32:N32)-Q44</f>
        <v>-270.34000000000032</v>
      </c>
      <c r="P32" s="274" t="str">
        <f t="shared" si="5"/>
        <v>Contingency</v>
      </c>
      <c r="Q32" s="282"/>
      <c r="T32" s="243"/>
    </row>
    <row r="33" spans="2:19" ht="15" customHeight="1" outlineLevel="1">
      <c r="B33" s="7"/>
      <c r="C33" s="7"/>
      <c r="D33" s="300" t="s">
        <v>1486</v>
      </c>
      <c r="E33" s="365">
        <v>0</v>
      </c>
      <c r="F33" s="365">
        <v>13.67</v>
      </c>
      <c r="H33" s="305"/>
      <c r="J33" s="305"/>
      <c r="L33" s="362"/>
      <c r="N33" s="315"/>
      <c r="O33" s="274">
        <f t="shared" ref="O33:O36" si="6">SUM(E33:F33)-SUM(G33:N33)</f>
        <v>13.67</v>
      </c>
      <c r="P33" s="274" t="str">
        <f t="shared" si="5"/>
        <v>TV</v>
      </c>
      <c r="Q33" s="282"/>
    </row>
    <row r="34" spans="2:19" ht="15" customHeight="1" outlineLevel="1">
      <c r="B34" s="7"/>
      <c r="C34" s="7"/>
      <c r="D34" s="300" t="s">
        <v>1296</v>
      </c>
      <c r="E34" s="365">
        <v>0</v>
      </c>
      <c r="F34" s="365">
        <f>15+80</f>
        <v>95</v>
      </c>
      <c r="H34" s="305"/>
      <c r="J34" s="305"/>
      <c r="L34" s="362"/>
      <c r="N34" s="315"/>
      <c r="O34" s="274">
        <f t="shared" si="6"/>
        <v>95</v>
      </c>
      <c r="P34" s="274" t="str">
        <f t="shared" si="5"/>
        <v>Offset</v>
      </c>
      <c r="Q34" s="282"/>
    </row>
    <row r="35" spans="2:19" ht="15" customHeight="1" outlineLevel="1">
      <c r="B35" s="7"/>
      <c r="C35" s="7"/>
      <c r="D35" s="300" t="s">
        <v>354</v>
      </c>
      <c r="E35" s="365">
        <v>0</v>
      </c>
      <c r="F35" s="365">
        <f>650+2200+200+20+30</f>
        <v>3100</v>
      </c>
      <c r="G35">
        <v>320</v>
      </c>
      <c r="H35" s="305">
        <f>-724.49</f>
        <v>-724.49</v>
      </c>
      <c r="J35" s="305">
        <f>87.5+8.15</f>
        <v>95.65</v>
      </c>
      <c r="L35" s="362"/>
      <c r="N35" s="315"/>
      <c r="O35" s="274">
        <f t="shared" si="6"/>
        <v>3408.84</v>
      </c>
      <c r="P35" s="274" t="str">
        <f t="shared" si="5"/>
        <v>Holiday</v>
      </c>
      <c r="Q35" s="282"/>
    </row>
    <row r="36" spans="2:19" ht="15" customHeight="1" outlineLevel="1">
      <c r="B36" s="7"/>
      <c r="C36" s="7"/>
      <c r="D36" s="300" t="s">
        <v>701</v>
      </c>
      <c r="E36" s="365">
        <v>0</v>
      </c>
      <c r="F36" s="365">
        <f>250</f>
        <v>250</v>
      </c>
      <c r="H36" s="305">
        <f>41.5+140</f>
        <v>181.5</v>
      </c>
      <c r="J36" s="305">
        <f>108</f>
        <v>108</v>
      </c>
      <c r="L36" s="362"/>
      <c r="N36" s="315"/>
      <c r="O36" s="274">
        <f t="shared" si="6"/>
        <v>-39.5</v>
      </c>
      <c r="P36" s="274" t="str">
        <f t="shared" si="5"/>
        <v>Gift</v>
      </c>
      <c r="Q36" s="282"/>
    </row>
    <row r="37" spans="2:19" ht="15" customHeight="1">
      <c r="B37" s="118"/>
      <c r="C37" s="118"/>
      <c r="E37" s="365"/>
      <c r="F37" s="365"/>
      <c r="H37" s="305"/>
      <c r="J37" s="305"/>
      <c r="L37" s="305"/>
      <c r="N37" s="305"/>
      <c r="O37" s="273"/>
      <c r="P37" s="273"/>
      <c r="Q37" s="282"/>
      <c r="R37" s="243"/>
    </row>
    <row r="38" spans="2:19" ht="15" customHeight="1">
      <c r="B38" s="727" t="str">
        <f>_xlfn.CONCAT("Wants - 30 - ",G44*0.3," / Actual = ",D39," (",ROUND((D39/G44)*100,2),")")</f>
        <v>Wants - 30 - 2062.344 / Actual = 966.15 (14.05)</v>
      </c>
      <c r="C38" s="727"/>
      <c r="D38" s="727"/>
      <c r="E38" s="727"/>
      <c r="F38" s="318"/>
      <c r="H38" s="305"/>
      <c r="J38" s="305"/>
      <c r="L38" s="305"/>
      <c r="N38" s="305"/>
      <c r="O38" s="273"/>
      <c r="P38" s="273"/>
      <c r="Q38" s="282"/>
      <c r="S38" s="243"/>
    </row>
    <row r="39" spans="2:19" ht="15" customHeight="1">
      <c r="B39" s="727" t="str">
        <f>IF(ISNUMBER((SEARCH("Over",B$5))),"Operating under budget","Operating over budget")</f>
        <v>Operating over budget</v>
      </c>
      <c r="C39" s="727"/>
      <c r="D39" s="759">
        <f>(E$44-D5-D26-E43)</f>
        <v>966.14999999999964</v>
      </c>
      <c r="E39" s="727"/>
      <c r="F39" s="319">
        <f>F40</f>
        <v>140.14999999999964</v>
      </c>
      <c r="H39" s="305"/>
      <c r="J39" s="305"/>
      <c r="L39" s="305"/>
      <c r="N39" s="305"/>
      <c r="O39" s="285">
        <f>0</f>
        <v>0</v>
      </c>
      <c r="P39" s="285" t="s">
        <v>899</v>
      </c>
      <c r="Q39" s="282">
        <f>SUM(Q40:Q40)</f>
        <v>268.58000000000033</v>
      </c>
      <c r="S39" s="243"/>
    </row>
    <row r="40" spans="2:19" ht="18" outlineLevel="1">
      <c r="B40" s="7"/>
      <c r="C40" s="284"/>
      <c r="D40" s="13" t="s">
        <v>922</v>
      </c>
      <c r="E40" s="365">
        <v>0</v>
      </c>
      <c r="F40" s="365">
        <f>D39-F41</f>
        <v>140.14999999999964</v>
      </c>
      <c r="G40" s="11"/>
      <c r="H40">
        <f>8.45+2.2-50+59.19+4.75+22.5+24.45+5.1-1.11+11.65+5.02+20+13.49+2.8+9.6</f>
        <v>138.08999999999997</v>
      </c>
      <c r="J40" s="305">
        <f>9.3+27.58+3.3+3.65+5.49+4.5+5+43.73+36.94+5.5+6.06+77.15+3.05+3.99+3+32.4</f>
        <v>270.64</v>
      </c>
      <c r="N40" s="305"/>
      <c r="O40" s="274">
        <f>SUM(E40:F40)-SUM(G40:N40)</f>
        <v>-268.58000000000033</v>
      </c>
      <c r="P40" s="274" t="str">
        <f t="shared" ref="P40:P42" si="7">D40</f>
        <v>Matt Fun</v>
      </c>
      <c r="Q40" s="282">
        <f>IF(SUM(E40:F40)-SUM(G40:N40)&lt;=0,(SUM(E40:F40)-SUM(G40:N40))*-1,0)</f>
        <v>268.58000000000033</v>
      </c>
    </row>
    <row r="41" spans="2:19" ht="18" outlineLevel="1">
      <c r="B41" s="7"/>
      <c r="C41" s="284"/>
      <c r="D41" s="13" t="s">
        <v>152</v>
      </c>
      <c r="E41" s="365">
        <v>0</v>
      </c>
      <c r="F41" s="365">
        <f>60+20+85+30+80+148+70+74+55-20-30+20+100+55+45+34</f>
        <v>826</v>
      </c>
      <c r="G41" s="11"/>
      <c r="H41" s="306">
        <f>71.99+148.5+74.23+55+31.49+6.35+12.25+11.4+(152.6-22)+17.38+42.38+55</f>
        <v>656.57</v>
      </c>
      <c r="J41" s="305">
        <f>73+39.94+39.57+45.5+34</f>
        <v>232.01</v>
      </c>
      <c r="L41" s="305"/>
      <c r="N41" s="305"/>
      <c r="O41" s="274">
        <f>SUM(E41:F41)-SUM(G41:N41)</f>
        <v>-62.580000000000041</v>
      </c>
      <c r="P41" s="274" t="str">
        <f t="shared" si="7"/>
        <v>Kris</v>
      </c>
      <c r="Q41" s="271">
        <f>IF(F41-SUM(G41:N41)&lt;=0,(F41-SUM(G41:N41))*-1,0)</f>
        <v>62.580000000000041</v>
      </c>
    </row>
    <row r="42" spans="2:19" ht="18" outlineLevel="1">
      <c r="B42" s="7"/>
      <c r="C42" s="284"/>
      <c r="D42" s="13" t="s">
        <v>1641</v>
      </c>
      <c r="E42" s="365">
        <v>0</v>
      </c>
      <c r="F42" s="365"/>
      <c r="G42" s="11"/>
      <c r="H42" s="306">
        <f>375.67+16.99+98.29</f>
        <v>490.95000000000005</v>
      </c>
      <c r="J42" s="305"/>
      <c r="L42" s="305"/>
      <c r="N42" s="305"/>
      <c r="O42" s="274">
        <f>SUM(E42:F42)-SUM(G42:N42)</f>
        <v>-490.95000000000005</v>
      </c>
      <c r="P42" s="274" t="str">
        <f t="shared" si="7"/>
        <v>Work</v>
      </c>
      <c r="Q42" s="271"/>
    </row>
    <row r="43" spans="2:19">
      <c r="B43" s="118"/>
      <c r="C43" s="118"/>
      <c r="E43" s="365">
        <f>E27</f>
        <v>0</v>
      </c>
      <c r="F43" s="365"/>
      <c r="G43" s="349"/>
      <c r="J43" s="7"/>
      <c r="L43" s="7"/>
      <c r="N43" s="7"/>
      <c r="O43" s="273"/>
      <c r="P43" s="273"/>
      <c r="Q43" s="282"/>
    </row>
    <row r="44" spans="2:19" ht="18">
      <c r="B44" s="728" t="s">
        <v>817</v>
      </c>
      <c r="C44" s="728"/>
      <c r="D44" s="728"/>
      <c r="E44" s="375">
        <f>G44+I44+K44+M44+N44+E43</f>
        <v>6874.48</v>
      </c>
      <c r="F44" s="379"/>
      <c r="G44" s="271">
        <f>5402.48+850+60+20+85+30+80+148+70+74+55</f>
        <v>6874.48</v>
      </c>
      <c r="H44" s="282"/>
      <c r="I44" s="271"/>
      <c r="J44" s="271"/>
      <c r="K44" s="271"/>
      <c r="L44" s="271"/>
      <c r="M44" s="271"/>
      <c r="N44" s="271"/>
      <c r="O44" s="314">
        <f>ROUND(O5+O39+O26+IF(O40&lt;0,0,O40)+O41+O4,2)</f>
        <v>2745.46</v>
      </c>
      <c r="P44" s="274"/>
      <c r="Q44" s="282">
        <f>SUM(Q39,Q26,Q5)</f>
        <v>285.90000000000032</v>
      </c>
    </row>
    <row r="45" spans="2:19" ht="18">
      <c r="B45" s="118"/>
      <c r="C45" s="7"/>
      <c r="D45" s="13" t="s">
        <v>1451</v>
      </c>
      <c r="E45" s="365"/>
      <c r="F45" s="365"/>
      <c r="G45" s="384"/>
      <c r="H45" s="243"/>
      <c r="L45" s="243"/>
    </row>
    <row r="46" spans="2:19" ht="14.4">
      <c r="B46" s="729"/>
      <c r="C46" s="729"/>
      <c r="D46" s="729"/>
      <c r="E46" s="729"/>
      <c r="F46" s="729"/>
      <c r="G46" s="729"/>
      <c r="H46" s="297"/>
      <c r="K46" s="729"/>
      <c r="L46" s="729"/>
      <c r="M46" s="729"/>
      <c r="N46" s="729"/>
      <c r="O46" s="729"/>
      <c r="P46" s="297"/>
    </row>
    <row r="47" spans="2:19" ht="15" customHeight="1">
      <c r="B47" s="726" t="s">
        <v>955</v>
      </c>
      <c r="C47" s="726"/>
      <c r="D47" s="726"/>
      <c r="E47" s="726"/>
      <c r="F47" s="348"/>
      <c r="K47" s="212"/>
      <c r="L47" s="212"/>
      <c r="N47" s="118" t="s">
        <v>1508</v>
      </c>
      <c r="O47" s="316">
        <v>45277</v>
      </c>
      <c r="P47" s="7">
        <f ca="1">DATEDIF(O47,NOW(),"d")</f>
        <v>974</v>
      </c>
      <c r="Q47">
        <v>270</v>
      </c>
      <c r="R47" t="s">
        <v>1500</v>
      </c>
    </row>
    <row r="48" spans="2:19">
      <c r="B48" s="365"/>
      <c r="C48" s="38"/>
      <c r="D48" s="459" t="s">
        <v>1540</v>
      </c>
      <c r="E48" s="461">
        <f>724/2</f>
        <v>362</v>
      </c>
      <c r="F48" s="11"/>
      <c r="G48" s="367"/>
      <c r="H48">
        <f>60+20+85+30+80+148+70+74+55</f>
        <v>622</v>
      </c>
      <c r="I48" s="243"/>
      <c r="K48" s="11"/>
      <c r="L48" s="243"/>
      <c r="N48" s="322" t="s">
        <v>1692</v>
      </c>
      <c r="O48" s="42">
        <v>45375</v>
      </c>
      <c r="P48" s="7">
        <f ca="1">DATEDIF(O48,NOW(),"d")</f>
        <v>876</v>
      </c>
      <c r="Q48">
        <v>30.04</v>
      </c>
      <c r="R48" t="s">
        <v>1470</v>
      </c>
    </row>
    <row r="49" spans="2:18">
      <c r="D49" s="188" t="s">
        <v>19</v>
      </c>
      <c r="E49" s="230">
        <v>120</v>
      </c>
      <c r="F49" s="457"/>
      <c r="G49" s="445"/>
      <c r="I49">
        <f>54.57-20</f>
        <v>34.57</v>
      </c>
      <c r="L49" s="243"/>
      <c r="N49" t="s">
        <v>1693</v>
      </c>
      <c r="O49" s="316">
        <v>45375</v>
      </c>
      <c r="P49" s="7">
        <f ca="1">DATEDIF(O49,NOW(),"d")</f>
        <v>876</v>
      </c>
      <c r="Q49">
        <v>20</v>
      </c>
      <c r="R49" t="s">
        <v>1694</v>
      </c>
    </row>
    <row r="50" spans="2:18" ht="16.2" customHeight="1">
      <c r="D50" s="188"/>
      <c r="E50" s="230"/>
      <c r="F50" s="457"/>
      <c r="G50" s="458"/>
      <c r="H50" s="243"/>
      <c r="I50" s="243"/>
      <c r="J50" s="213"/>
      <c r="K50" s="213"/>
      <c r="L50" s="243"/>
      <c r="O50" s="316"/>
    </row>
    <row r="51" spans="2:18">
      <c r="B51" s="378"/>
      <c r="D51" s="188" t="s">
        <v>1536</v>
      </c>
      <c r="E51" s="230">
        <v>250</v>
      </c>
      <c r="F51" s="278"/>
      <c r="G51" s="243" t="s">
        <v>1539</v>
      </c>
      <c r="J51" s="243"/>
      <c r="L51" s="243"/>
      <c r="P51" s="56"/>
    </row>
    <row r="52" spans="2:18" ht="14.4">
      <c r="D52" s="188" t="s">
        <v>1537</v>
      </c>
      <c r="E52" s="230">
        <v>30</v>
      </c>
      <c r="F52" s="451"/>
      <c r="H52" s="369"/>
      <c r="J52" s="243"/>
      <c r="K52" s="369"/>
      <c r="L52" s="243"/>
      <c r="M52">
        <v>100</v>
      </c>
      <c r="N52" s="243" t="s">
        <v>1642</v>
      </c>
      <c r="P52"/>
    </row>
    <row r="53" spans="2:18">
      <c r="D53" s="460" t="s">
        <v>1541</v>
      </c>
      <c r="E53" s="230">
        <v>200</v>
      </c>
      <c r="F53" s="451"/>
      <c r="G53" s="734" t="s">
        <v>1534</v>
      </c>
      <c r="H53" s="734"/>
      <c r="I53" t="s">
        <v>1619</v>
      </c>
      <c r="K53" s="369"/>
      <c r="L53" s="243"/>
      <c r="M53" s="243"/>
      <c r="P53" s="212"/>
      <c r="Q53" s="212"/>
    </row>
    <row r="54" spans="2:18" ht="15" customHeight="1">
      <c r="D54" s="405" t="s">
        <v>1529</v>
      </c>
      <c r="E54" s="462">
        <v>300</v>
      </c>
      <c r="F54"/>
      <c r="G54" s="465" t="s">
        <v>360</v>
      </c>
      <c r="H54" s="466" t="s">
        <v>1575</v>
      </c>
      <c r="K54" s="353"/>
      <c r="L54" s="243"/>
      <c r="M54" s="243">
        <v>120</v>
      </c>
      <c r="N54" t="s">
        <v>1643</v>
      </c>
      <c r="P54" s="56"/>
      <c r="Q54" s="38"/>
    </row>
    <row r="55" spans="2:18">
      <c r="D55" s="460" t="s">
        <v>1538</v>
      </c>
      <c r="E55" s="230">
        <f>1309*0.5</f>
        <v>654.5</v>
      </c>
      <c r="F55"/>
      <c r="G55" s="465" t="s">
        <v>1576</v>
      </c>
      <c r="H55" s="465" t="s">
        <v>1575</v>
      </c>
      <c r="I55" s="726"/>
      <c r="J55" s="726"/>
      <c r="L55" s="243"/>
      <c r="M55">
        <v>200</v>
      </c>
      <c r="N55" t="s">
        <v>1644</v>
      </c>
      <c r="O55"/>
      <c r="P55"/>
    </row>
    <row r="56" spans="2:18" ht="15" customHeight="1">
      <c r="D56" t="s">
        <v>1542</v>
      </c>
      <c r="E56" s="413">
        <v>787</v>
      </c>
      <c r="F56"/>
      <c r="G56" s="465" t="s">
        <v>597</v>
      </c>
      <c r="H56" s="466" t="s">
        <v>1575</v>
      </c>
      <c r="L56" s="243"/>
      <c r="O56"/>
      <c r="P56"/>
    </row>
    <row r="57" spans="2:18">
      <c r="E57" s="446"/>
      <c r="F57"/>
      <c r="G57" s="467" t="s">
        <v>1582</v>
      </c>
      <c r="H57" s="467" t="s">
        <v>1583</v>
      </c>
      <c r="I57" s="467" t="s">
        <v>1584</v>
      </c>
      <c r="K57" t="s">
        <v>1586</v>
      </c>
      <c r="L57" s="243"/>
      <c r="O57"/>
      <c r="P57"/>
    </row>
    <row r="58" spans="2:18">
      <c r="B58" s="11"/>
      <c r="E58" s="405"/>
      <c r="G58" s="467" t="s">
        <v>1585</v>
      </c>
      <c r="H58" s="468" t="s">
        <v>1583</v>
      </c>
      <c r="I58" s="469" t="s">
        <v>1588</v>
      </c>
      <c r="O58"/>
      <c r="P58"/>
    </row>
    <row r="59" spans="2:18">
      <c r="B59" s="11"/>
      <c r="D59" t="s">
        <v>1494</v>
      </c>
      <c r="E59" s="118"/>
      <c r="G59" s="467" t="s">
        <v>705</v>
      </c>
      <c r="H59" s="467" t="s">
        <v>1583</v>
      </c>
      <c r="I59" s="467" t="s">
        <v>1595</v>
      </c>
      <c r="J59" s="453" t="s">
        <v>1585</v>
      </c>
      <c r="K59" s="358" t="s">
        <v>1587</v>
      </c>
      <c r="O59"/>
      <c r="P59"/>
    </row>
    <row r="60" spans="2:18">
      <c r="D60" t="s">
        <v>1495</v>
      </c>
      <c r="E60" s="405"/>
      <c r="G60" s="467" t="s">
        <v>1596</v>
      </c>
      <c r="H60" s="467" t="s">
        <v>1597</v>
      </c>
      <c r="I60" s="467" t="s">
        <v>1598</v>
      </c>
      <c r="J60" s="470" t="s">
        <v>595</v>
      </c>
      <c r="K60" s="475" t="s">
        <v>1594</v>
      </c>
      <c r="L60" s="243"/>
      <c r="M60" s="243"/>
      <c r="O60"/>
      <c r="P60"/>
    </row>
    <row r="61" spans="2:18">
      <c r="B61" s="212"/>
      <c r="C61" s="212"/>
      <c r="D61" t="s">
        <v>1577</v>
      </c>
      <c r="E61" s="405"/>
      <c r="F61" s="384"/>
      <c r="G61" s="472" t="s">
        <v>1599</v>
      </c>
      <c r="H61" s="467" t="s">
        <v>56</v>
      </c>
      <c r="I61" s="467" t="s">
        <v>1600</v>
      </c>
      <c r="J61" s="453" t="s">
        <v>715</v>
      </c>
      <c r="K61" s="476"/>
      <c r="M61">
        <f>675.54-20.49</f>
        <v>655.04999999999995</v>
      </c>
      <c r="O61"/>
      <c r="P61"/>
    </row>
    <row r="62" spans="2:18" ht="14.4">
      <c r="C62" s="56"/>
      <c r="D62" t="s">
        <v>1578</v>
      </c>
      <c r="E62" s="405"/>
      <c r="F62"/>
      <c r="G62" s="358" t="s">
        <v>1601</v>
      </c>
      <c r="H62" s="358" t="s">
        <v>56</v>
      </c>
      <c r="I62" s="358" t="s">
        <v>1613</v>
      </c>
      <c r="J62" s="453" t="s">
        <v>1593</v>
      </c>
      <c r="K62" s="476"/>
      <c r="O62"/>
      <c r="P62"/>
    </row>
    <row r="63" spans="2:18" ht="15.75" customHeight="1">
      <c r="C63" s="56"/>
      <c r="D63" t="s">
        <v>1579</v>
      </c>
      <c r="E63" s="405" t="s">
        <v>68</v>
      </c>
      <c r="F63"/>
      <c r="G63" s="467" t="s">
        <v>1602</v>
      </c>
      <c r="H63" s="467" t="s">
        <v>56</v>
      </c>
      <c r="I63" s="467" t="s">
        <v>1614</v>
      </c>
      <c r="M63" s="243"/>
      <c r="O63"/>
      <c r="P63"/>
    </row>
    <row r="64" spans="2:18" ht="14.4">
      <c r="C64" s="56"/>
      <c r="D64" t="s">
        <v>1580</v>
      </c>
      <c r="E64" t="s">
        <v>1581</v>
      </c>
      <c r="F64"/>
      <c r="G64" s="467" t="s">
        <v>1603</v>
      </c>
      <c r="H64" s="467" t="s">
        <v>56</v>
      </c>
      <c r="I64" s="467" t="s">
        <v>1615</v>
      </c>
      <c r="J64" s="79" t="s">
        <v>1589</v>
      </c>
      <c r="K64" s="467" t="s">
        <v>1691</v>
      </c>
      <c r="M64" s="243"/>
      <c r="O64"/>
      <c r="P64" s="771"/>
    </row>
    <row r="65" spans="2:16" ht="14.4">
      <c r="C65" s="56"/>
      <c r="D65" s="79"/>
      <c r="E65"/>
      <c r="F65" s="79"/>
      <c r="G65" s="467" t="s">
        <v>1604</v>
      </c>
      <c r="H65" s="467" t="s">
        <v>56</v>
      </c>
      <c r="I65" s="467" t="s">
        <v>1616</v>
      </c>
      <c r="J65" s="390" t="s">
        <v>1363</v>
      </c>
      <c r="O65"/>
      <c r="P65" s="771"/>
    </row>
    <row r="66" spans="2:16" ht="14.4">
      <c r="C66" s="56"/>
      <c r="E66"/>
      <c r="F66"/>
      <c r="G66" s="467" t="s">
        <v>1604</v>
      </c>
      <c r="H66" s="467" t="s">
        <v>56</v>
      </c>
      <c r="I66" s="407" t="s">
        <v>1616</v>
      </c>
      <c r="J66" s="471" t="s">
        <v>1590</v>
      </c>
      <c r="K66" s="467" t="s">
        <v>1587</v>
      </c>
      <c r="O66"/>
      <c r="P66" s="771"/>
    </row>
    <row r="67" spans="2:16" ht="14.4">
      <c r="C67" s="56"/>
      <c r="D67" s="726" t="s">
        <v>1627</v>
      </c>
      <c r="E67" s="726"/>
      <c r="F67"/>
      <c r="G67" s="407" t="s">
        <v>1605</v>
      </c>
      <c r="H67" s="467" t="s">
        <v>56</v>
      </c>
      <c r="I67" s="467" t="s">
        <v>1600</v>
      </c>
      <c r="J67" s="470" t="s">
        <v>1591</v>
      </c>
      <c r="K67" s="467" t="s">
        <v>1592</v>
      </c>
      <c r="O67"/>
      <c r="P67" s="771"/>
    </row>
    <row r="68" spans="2:16" ht="14.4">
      <c r="C68" s="56"/>
      <c r="D68" t="s">
        <v>1628</v>
      </c>
      <c r="E68"/>
      <c r="F68"/>
      <c r="G68" s="467" t="s">
        <v>1606</v>
      </c>
      <c r="J68" s="243"/>
      <c r="O68"/>
      <c r="P68"/>
    </row>
    <row r="69" spans="2:16">
      <c r="C69" s="56"/>
      <c r="D69" t="s">
        <v>1629</v>
      </c>
      <c r="E69" s="347"/>
      <c r="F69" s="456"/>
      <c r="G69" s="473" t="s">
        <v>1607</v>
      </c>
      <c r="H69" s="448" t="s">
        <v>1575</v>
      </c>
      <c r="I69" s="448"/>
      <c r="J69" s="243"/>
      <c r="O69"/>
      <c r="P69"/>
    </row>
    <row r="70" spans="2:16" ht="14.4">
      <c r="C70" s="56"/>
      <c r="D70" s="448" t="s">
        <v>1630</v>
      </c>
      <c r="E70" s="477"/>
      <c r="F70"/>
      <c r="G70" s="312" t="s">
        <v>1608</v>
      </c>
      <c r="H70" s="312"/>
      <c r="I70" s="312" t="s">
        <v>1617</v>
      </c>
      <c r="O70"/>
      <c r="P70" s="771"/>
    </row>
    <row r="71" spans="2:16" ht="14.4">
      <c r="C71" s="56"/>
      <c r="D71" s="358" t="s">
        <v>1631</v>
      </c>
      <c r="E71" s="358"/>
      <c r="F71"/>
      <c r="G71" s="448" t="s">
        <v>595</v>
      </c>
      <c r="H71" s="448" t="s">
        <v>1575</v>
      </c>
      <c r="I71" s="448" t="s">
        <v>1618</v>
      </c>
      <c r="J71" s="243"/>
      <c r="O71"/>
      <c r="P71" s="771"/>
    </row>
    <row r="72" spans="2:16">
      <c r="C72" s="56"/>
      <c r="D72" t="s">
        <v>1632</v>
      </c>
      <c r="F72" s="79"/>
      <c r="G72" s="448" t="s">
        <v>1609</v>
      </c>
      <c r="H72" s="474">
        <v>45407</v>
      </c>
      <c r="I72" s="448" t="s">
        <v>1600</v>
      </c>
      <c r="L72" t="s">
        <v>1695</v>
      </c>
      <c r="M72">
        <v>2058.19</v>
      </c>
      <c r="O72"/>
      <c r="P72" s="771"/>
    </row>
    <row r="73" spans="2:16" ht="14.4">
      <c r="D73" t="s">
        <v>1633</v>
      </c>
      <c r="E73" t="s">
        <v>1640</v>
      </c>
      <c r="F73"/>
      <c r="G73" s="467" t="s">
        <v>181</v>
      </c>
      <c r="I73" t="s">
        <v>1600</v>
      </c>
      <c r="L73" t="s">
        <v>1696</v>
      </c>
      <c r="M73">
        <f>M72-146.65</f>
        <v>1911.54</v>
      </c>
      <c r="O73"/>
      <c r="P73" s="771"/>
    </row>
    <row r="74" spans="2:16">
      <c r="B74" s="212"/>
      <c r="C74" s="294"/>
      <c r="D74" t="s">
        <v>1634</v>
      </c>
      <c r="E74" s="365"/>
      <c r="F74"/>
      <c r="G74" s="407" t="s">
        <v>1610</v>
      </c>
      <c r="L74" t="s">
        <v>1697</v>
      </c>
      <c r="M74">
        <f>5898.62-M73</f>
        <v>3987.08</v>
      </c>
      <c r="O74"/>
      <c r="P74"/>
    </row>
    <row r="75" spans="2:16">
      <c r="C75" s="56"/>
      <c r="D75" s="56" t="s">
        <v>1635</v>
      </c>
      <c r="E75" s="56"/>
      <c r="G75" s="467" t="s">
        <v>1611</v>
      </c>
      <c r="L75" t="s">
        <v>1698</v>
      </c>
      <c r="M75" s="243">
        <f>M74+H42</f>
        <v>4478.03</v>
      </c>
      <c r="O75"/>
      <c r="P75"/>
    </row>
    <row r="76" spans="2:16" ht="14.4">
      <c r="C76" s="56"/>
      <c r="D76" s="56" t="s">
        <v>1636</v>
      </c>
      <c r="E76" s="56"/>
      <c r="F76" s="56"/>
      <c r="G76" s="467" t="s">
        <v>1609</v>
      </c>
      <c r="O76"/>
      <c r="P76" s="771"/>
    </row>
    <row r="77" spans="2:16" ht="14.4">
      <c r="C77" s="56"/>
      <c r="D77" s="56" t="s">
        <v>1637</v>
      </c>
      <c r="E77" s="56"/>
      <c r="F77" s="56"/>
      <c r="G77" s="467" t="s">
        <v>446</v>
      </c>
      <c r="O77"/>
      <c r="P77" s="771"/>
    </row>
    <row r="78" spans="2:16" ht="14.4">
      <c r="C78" s="56"/>
      <c r="D78" s="56" t="s">
        <v>1638</v>
      </c>
      <c r="E78" s="56"/>
      <c r="F78"/>
      <c r="G78" s="467" t="s">
        <v>1612</v>
      </c>
      <c r="O78"/>
      <c r="P78" s="771"/>
    </row>
    <row r="79" spans="2:16" ht="14.4">
      <c r="C79" s="56"/>
      <c r="D79" s="56" t="s">
        <v>1639</v>
      </c>
      <c r="E79" s="56"/>
      <c r="F79" s="332"/>
      <c r="G79" s="467" t="s">
        <v>715</v>
      </c>
      <c r="O79"/>
      <c r="P79" s="771"/>
    </row>
    <row r="80" spans="2:16" ht="14.4">
      <c r="C80" s="56"/>
      <c r="D80" s="56"/>
      <c r="E80" s="56"/>
      <c r="F80"/>
      <c r="O80"/>
      <c r="P80"/>
    </row>
    <row r="81" spans="5:16">
      <c r="F81"/>
      <c r="O81"/>
      <c r="P81"/>
    </row>
    <row r="82" spans="5:16">
      <c r="E82" s="212"/>
      <c r="F82" s="365"/>
      <c r="O82"/>
      <c r="P82" s="771"/>
    </row>
    <row r="83" spans="5:16" ht="14.4">
      <c r="E83" s="56"/>
      <c r="F83" s="212"/>
      <c r="O83"/>
      <c r="P83" s="771"/>
    </row>
    <row r="84" spans="5:16" ht="14.4">
      <c r="E84" s="56"/>
      <c r="F84" s="56"/>
      <c r="O84"/>
      <c r="P84" s="771"/>
    </row>
    <row r="85" spans="5:16" ht="14.4">
      <c r="E85" s="56"/>
      <c r="F85" s="56"/>
      <c r="O85"/>
      <c r="P85" s="771"/>
    </row>
    <row r="86" spans="5:16" ht="14.4">
      <c r="E86" s="56"/>
      <c r="F86" s="56"/>
      <c r="O86"/>
      <c r="P86"/>
    </row>
    <row r="87" spans="5:16" ht="14.4">
      <c r="E87" s="56"/>
      <c r="F87" s="56"/>
      <c r="O87"/>
      <c r="P87"/>
    </row>
    <row r="88" spans="5:16" ht="14.4">
      <c r="E88" s="56"/>
      <c r="F88" s="56"/>
      <c r="O88"/>
      <c r="P88" s="771"/>
    </row>
    <row r="89" spans="5:16">
      <c r="O89"/>
      <c r="P89" s="771"/>
    </row>
    <row r="90" spans="5:16" ht="14.4">
      <c r="E90" s="212"/>
      <c r="F90" s="212"/>
      <c r="O90"/>
      <c r="P90" s="771"/>
    </row>
    <row r="91" spans="5:16" ht="14.4">
      <c r="E91" s="56"/>
      <c r="F91" s="56"/>
      <c r="O91"/>
      <c r="P91" s="771"/>
    </row>
    <row r="92" spans="5:16" ht="14.4">
      <c r="E92" s="56"/>
      <c r="F92" s="56"/>
      <c r="O92"/>
      <c r="P92"/>
    </row>
    <row r="93" spans="5:16" ht="14.4">
      <c r="E93" s="56"/>
      <c r="F93" s="56"/>
      <c r="G93" s="407"/>
      <c r="O93"/>
      <c r="P93"/>
    </row>
    <row r="94" spans="5:16" ht="14.4">
      <c r="E94" s="56"/>
      <c r="F94" s="56"/>
      <c r="G94" s="407"/>
      <c r="O94"/>
      <c r="P94" s="771"/>
    </row>
    <row r="95" spans="5:16" ht="14.4">
      <c r="E95" s="56"/>
      <c r="F95" s="56"/>
      <c r="G95" s="407"/>
      <c r="O95"/>
      <c r="P95" s="771"/>
    </row>
    <row r="96" spans="5:16" ht="14.4">
      <c r="E96" s="56"/>
      <c r="F96" s="56"/>
      <c r="G96" s="407"/>
      <c r="O96"/>
      <c r="P96" s="771"/>
    </row>
    <row r="97" spans="5:16">
      <c r="E97" s="365"/>
      <c r="F97" s="365"/>
      <c r="G97" s="407"/>
      <c r="O97"/>
      <c r="P97" s="771"/>
    </row>
    <row r="98" spans="5:16">
      <c r="G98" s="407"/>
      <c r="O98"/>
      <c r="P98"/>
    </row>
    <row r="99" spans="5:16">
      <c r="G99" s="407"/>
      <c r="O99"/>
      <c r="P99"/>
    </row>
    <row r="100" spans="5:16">
      <c r="G100" s="407"/>
    </row>
    <row r="104" spans="5:16">
      <c r="F104" s="384"/>
    </row>
    <row r="105" spans="5:16">
      <c r="F105" s="384"/>
    </row>
  </sheetData>
  <mergeCells count="31">
    <mergeCell ref="D67:E67"/>
    <mergeCell ref="P94:P97"/>
    <mergeCell ref="P64:P67"/>
    <mergeCell ref="P70:P73"/>
    <mergeCell ref="P76:P79"/>
    <mergeCell ref="P82:P85"/>
    <mergeCell ref="P88:P91"/>
    <mergeCell ref="I55:J55"/>
    <mergeCell ref="B1:O1"/>
    <mergeCell ref="G3:H3"/>
    <mergeCell ref="I3:J3"/>
    <mergeCell ref="K3:L3"/>
    <mergeCell ref="M3:N3"/>
    <mergeCell ref="B4:E4"/>
    <mergeCell ref="B5:C5"/>
    <mergeCell ref="D5:E5"/>
    <mergeCell ref="B6:B22"/>
    <mergeCell ref="C6:C22"/>
    <mergeCell ref="E10:F10"/>
    <mergeCell ref="K46:O46"/>
    <mergeCell ref="B47:C47"/>
    <mergeCell ref="D47:E47"/>
    <mergeCell ref="B44:D44"/>
    <mergeCell ref="B46:G46"/>
    <mergeCell ref="B26:C26"/>
    <mergeCell ref="D26:E26"/>
    <mergeCell ref="G53:H53"/>
    <mergeCell ref="B25:E25"/>
    <mergeCell ref="B38:E38"/>
    <mergeCell ref="B39:C39"/>
    <mergeCell ref="D39:E39"/>
  </mergeCells>
  <pageMargins left="0.7" right="0.7" top="0.75" bottom="0.75" header="0.3" footer="0.3"/>
  <pageSetup orientation="portrait" r:id="rId1"/>
  <legacyDrawing r:id="rId2"/>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1B610-F9DD-A34B-947B-EBBD9A5F1C81}">
  <dimension ref="A1:T106"/>
  <sheetViews>
    <sheetView topLeftCell="D15" zoomScale="90" zoomScaleNormal="90" workbookViewId="0">
      <selection activeCell="G45" sqref="G45"/>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FEB-MAR R 24</v>
      </c>
      <c r="B1" s="730" t="str">
        <f ca="1">MID(CELL("filename",B1),FIND("]",CELL("filename",B1))+1,255)</f>
        <v>MAR-APR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ROUND(O5+O40+O27+IF(O41&lt;0,0,O41)+O43+O4,2) &amp; " / " &amp; "£" &amp; E45</f>
        <v>£7020.93 / £4994.85</v>
      </c>
      <c r="E3" s="365"/>
      <c r="F3" s="365"/>
      <c r="G3" s="732">
        <v>45194</v>
      </c>
      <c r="H3" s="732"/>
      <c r="I3" s="732">
        <f>G3+7</f>
        <v>45201</v>
      </c>
      <c r="J3" s="732"/>
      <c r="K3" s="732">
        <f>I3+7</f>
        <v>45208</v>
      </c>
      <c r="L3" s="732"/>
      <c r="M3" s="732">
        <f>K3+7</f>
        <v>45215</v>
      </c>
      <c r="N3" s="732"/>
      <c r="O3" s="308">
        <v>0</v>
      </c>
      <c r="P3" s="325" t="s">
        <v>1224</v>
      </c>
      <c r="Q3" s="282"/>
    </row>
    <row r="4" spans="1:20" ht="15" customHeight="1">
      <c r="B4" s="727" t="str">
        <f>_xlfn.CONCAT("Expenses - 50 - ",G45*0.5," / Actual = ",ROUND(D5,2)," (",ROUND((D5/G45)*100,2),")")</f>
        <v>Expenses - 50 - 2497.425 / Actual = 3095.96 (61.98)</v>
      </c>
      <c r="C4" s="727"/>
      <c r="D4" s="727"/>
      <c r="E4" s="727"/>
      <c r="F4" s="318"/>
      <c r="G4" s="243"/>
      <c r="H4" s="304">
        <f>SUM(H5:H43)</f>
        <v>3665.5</v>
      </c>
      <c r="I4" s="243"/>
      <c r="J4" s="304">
        <f>SUM(J5:J43)</f>
        <v>1185.49</v>
      </c>
      <c r="K4" s="243">
        <f>J4+332.6</f>
        <v>1518.0900000000001</v>
      </c>
      <c r="L4" s="304">
        <f>SUM(L5:L43)</f>
        <v>0</v>
      </c>
      <c r="M4" s="243"/>
      <c r="N4" s="304">
        <f>SUM(N5:N43)-SUM(N31:N37)</f>
        <v>0</v>
      </c>
      <c r="O4" s="308">
        <f>IF(H44&lt;&gt;"PAID",H4,0)+IF(J44&lt;&gt;"PAID",J4,0)+IF(L44&lt;&gt;"PAID",L4,0)+IF(N44&lt;&gt;"PAID",N4,0)</f>
        <v>4850.99</v>
      </c>
      <c r="P4" s="309" t="s">
        <v>973</v>
      </c>
      <c r="Q4" s="408">
        <f>O4+402.34</f>
        <v>5253.33</v>
      </c>
      <c r="R4" s="243"/>
      <c r="S4" s="243"/>
    </row>
    <row r="5" spans="1:20" ht="15" customHeight="1">
      <c r="B5" s="733" t="str">
        <f>IF(D5&gt;E$45*0.5,ROUND(D5-E$45*0.5,2) &amp; " Over",ROUND(E$45*0.5-D5,2) &amp; " Under")</f>
        <v>598.54 Over</v>
      </c>
      <c r="C5" s="733"/>
      <c r="D5" s="761">
        <f>ROUND(SUM(F6:F24),2)</f>
        <v>3095.96</v>
      </c>
      <c r="E5" s="761"/>
      <c r="F5" s="321"/>
      <c r="G5" s="284"/>
      <c r="H5" s="306"/>
      <c r="I5" s="79"/>
      <c r="J5" s="306"/>
      <c r="K5" s="390">
        <f>(H4+J4)-3729.13</f>
        <v>1121.8599999999997</v>
      </c>
      <c r="L5" s="306"/>
      <c r="M5" s="79"/>
      <c r="N5" s="305"/>
      <c r="O5" s="285">
        <f>SUMIF(O6:O24,"&gt;0")</f>
        <v>2153.2321999999999</v>
      </c>
      <c r="P5" s="285" t="s">
        <v>892</v>
      </c>
      <c r="Q5" s="282">
        <f>SUM(Q6:Q22)</f>
        <v>82.240000000000009</v>
      </c>
      <c r="R5" s="243"/>
    </row>
    <row r="6" spans="1:20" ht="15" customHeight="1">
      <c r="B6" s="734" t="str">
        <f>"50%: " &amp; E$45*0.5</f>
        <v>50%: 2497.425</v>
      </c>
      <c r="C6" s="734" t="str">
        <f>ROUND((D5/E$45)*100,2) &amp; "%: " &amp;D5</f>
        <v>61.98%: 3095.96</v>
      </c>
      <c r="D6" s="13" t="s">
        <v>805</v>
      </c>
      <c r="E6" s="365">
        <v>0</v>
      </c>
      <c r="F6" s="374">
        <v>150</v>
      </c>
      <c r="H6" s="304">
        <f>30.02+30.14+30.51+25.05+30.37</f>
        <v>146.09</v>
      </c>
      <c r="J6" s="305">
        <f>30.02</f>
        <v>30.02</v>
      </c>
      <c r="L6" s="305"/>
      <c r="N6" s="305"/>
      <c r="O6" s="274">
        <f>SUM(E6:F6)-SUM(G6:N6)</f>
        <v>-26.110000000000014</v>
      </c>
      <c r="P6" s="274" t="str">
        <f t="shared" ref="P6:P24" si="0">D6</f>
        <v>Car Petrol / commuting</v>
      </c>
      <c r="Q6" s="282">
        <f t="shared" ref="Q6:Q22" si="1">IF(O6&lt;0,O6*-1,0)</f>
        <v>26.110000000000014</v>
      </c>
      <c r="R6" s="243"/>
    </row>
    <row r="7" spans="1:20" ht="15" customHeight="1">
      <c r="B7" s="734"/>
      <c r="C7" s="734"/>
      <c r="D7" s="13" t="s">
        <v>169</v>
      </c>
      <c r="E7" s="365">
        <v>0</v>
      </c>
      <c r="F7" s="365">
        <v>300</v>
      </c>
      <c r="H7" s="304">
        <f>0.05+7.65+15.27+11.5+7.2+2+4.15+4.23+13.3+50.2+64.54+27.55+4.68+43.3</f>
        <v>255.62</v>
      </c>
      <c r="J7" s="305">
        <f>55.35+24.79+7.87+6.05</f>
        <v>94.06</v>
      </c>
      <c r="L7" s="305"/>
      <c r="N7" s="305"/>
      <c r="O7" s="274">
        <f>SUM(E7:F7)-SUM(G7:N7)</f>
        <v>-49.680000000000007</v>
      </c>
      <c r="P7" s="274" t="str">
        <f t="shared" si="0"/>
        <v>Food</v>
      </c>
      <c r="Q7" s="282">
        <f t="shared" si="1"/>
        <v>49.680000000000007</v>
      </c>
      <c r="R7" s="243"/>
    </row>
    <row r="8" spans="1:20" ht="15" customHeight="1">
      <c r="B8" s="734"/>
      <c r="C8" s="734"/>
      <c r="D8" s="13" t="s">
        <v>153</v>
      </c>
      <c r="E8" s="365">
        <v>0</v>
      </c>
      <c r="F8" s="365">
        <f>60</f>
        <v>60</v>
      </c>
      <c r="H8" s="305">
        <f>17.7+22.45</f>
        <v>40.15</v>
      </c>
      <c r="J8" s="305">
        <f>13.2+13.1</f>
        <v>26.299999999999997</v>
      </c>
      <c r="L8" s="305"/>
      <c r="N8" s="305"/>
      <c r="O8" s="274">
        <f>SUM(E8:F8)-SUM(G8:N8)</f>
        <v>-6.4499999999999886</v>
      </c>
      <c r="P8" s="274" t="str">
        <f t="shared" si="0"/>
        <v>Luna</v>
      </c>
      <c r="Q8" s="282">
        <f t="shared" si="1"/>
        <v>6.4499999999999886</v>
      </c>
    </row>
    <row r="9" spans="1:20" ht="15" customHeight="1">
      <c r="B9" s="734"/>
      <c r="C9" s="734"/>
      <c r="D9" s="13" t="s">
        <v>1079</v>
      </c>
      <c r="E9" s="365">
        <v>0</v>
      </c>
      <c r="F9" s="365">
        <v>40</v>
      </c>
      <c r="H9" s="305">
        <f>12</f>
        <v>12</v>
      </c>
      <c r="J9" s="305">
        <v>4.99</v>
      </c>
      <c r="L9" s="305"/>
      <c r="N9" s="305"/>
      <c r="O9" s="274">
        <f>SUM(E9:F9)-SUM(G9:N9)</f>
        <v>23.009999999999998</v>
      </c>
      <c r="P9" s="274" t="str">
        <f t="shared" si="0"/>
        <v>Creamy</v>
      </c>
      <c r="Q9" s="282">
        <f t="shared" si="1"/>
        <v>0</v>
      </c>
      <c r="R9" s="243"/>
    </row>
    <row r="10" spans="1:20" ht="15" customHeight="1">
      <c r="B10" s="734"/>
      <c r="C10" s="734"/>
      <c r="D10" s="13" t="s">
        <v>189</v>
      </c>
      <c r="E10" s="780">
        <f>SUM(F11:F24)</f>
        <v>2545.9621999999999</v>
      </c>
      <c r="F10" s="780"/>
      <c r="H10" s="305"/>
      <c r="J10" s="305"/>
      <c r="L10" s="305"/>
      <c r="N10" s="305"/>
      <c r="O10" s="274"/>
      <c r="P10" s="274" t="str">
        <f t="shared" si="0"/>
        <v>Direct debits</v>
      </c>
      <c r="Q10" s="282"/>
      <c r="R10" s="243"/>
    </row>
    <row r="11" spans="1:20" ht="15" customHeight="1" outlineLevel="1">
      <c r="B11" s="734"/>
      <c r="C11" s="734"/>
      <c r="D11" s="201" t="s">
        <v>595</v>
      </c>
      <c r="E11" s="365">
        <v>0</v>
      </c>
      <c r="F11" s="365">
        <v>835.29</v>
      </c>
      <c r="H11" s="304"/>
      <c r="J11" s="305"/>
      <c r="L11" s="305"/>
      <c r="N11" s="305"/>
      <c r="O11" s="274">
        <f t="shared" ref="O11:O16" si="2">SUM(E11:F11)-SUM(G11:N11)</f>
        <v>835.29</v>
      </c>
      <c r="P11" s="274" t="str">
        <f t="shared" si="0"/>
        <v>Mortgage</v>
      </c>
      <c r="Q11" s="282">
        <f t="shared" si="1"/>
        <v>0</v>
      </c>
      <c r="R11" s="243"/>
      <c r="S11" s="11">
        <f>SUM(O11:O24)</f>
        <v>2130.2222000000002</v>
      </c>
    </row>
    <row r="12" spans="1:20" ht="15" customHeight="1" outlineLevel="1">
      <c r="B12" s="734"/>
      <c r="C12" s="734"/>
      <c r="D12" s="201" t="s">
        <v>596</v>
      </c>
      <c r="E12" s="365">
        <v>0</v>
      </c>
      <c r="F12" s="480">
        <v>154</v>
      </c>
      <c r="H12" s="305"/>
      <c r="J12" s="305"/>
      <c r="L12" s="305"/>
      <c r="N12" s="305"/>
      <c r="O12" s="274">
        <f t="shared" si="2"/>
        <v>154</v>
      </c>
      <c r="P12" s="274" t="str">
        <f t="shared" si="0"/>
        <v>Council tax</v>
      </c>
      <c r="Q12" s="282">
        <f t="shared" si="1"/>
        <v>0</v>
      </c>
      <c r="S12" s="349">
        <f>S11-S21</f>
        <v>1640.2522000000001</v>
      </c>
    </row>
    <row r="13" spans="1:20" ht="15" customHeight="1" outlineLevel="1">
      <c r="B13" s="734"/>
      <c r="C13" s="734"/>
      <c r="D13" s="201" t="s">
        <v>1002</v>
      </c>
      <c r="E13" s="365">
        <v>0</v>
      </c>
      <c r="F13" s="480">
        <f>34+111.75</f>
        <v>145.75</v>
      </c>
      <c r="G13">
        <f>34+111.75</f>
        <v>145.75</v>
      </c>
      <c r="H13" s="305"/>
      <c r="J13" s="305"/>
      <c r="L13" s="305"/>
      <c r="N13" s="305"/>
      <c r="O13" s="274">
        <f>SUM(E13:F13)-SUM(G13:N13)</f>
        <v>0</v>
      </c>
      <c r="P13" s="274" t="str">
        <f t="shared" si="0"/>
        <v>Utilities (G,W,E,HTB)</v>
      </c>
      <c r="Q13" s="282">
        <f t="shared" si="1"/>
        <v>0</v>
      </c>
    </row>
    <row r="14" spans="1:20" ht="15" customHeight="1" outlineLevel="1">
      <c r="B14" s="734"/>
      <c r="C14" s="734"/>
      <c r="D14" s="201" t="s">
        <v>996</v>
      </c>
      <c r="E14" s="365">
        <v>0</v>
      </c>
      <c r="F14" s="480">
        <v>22</v>
      </c>
      <c r="H14" s="305"/>
      <c r="J14" s="305"/>
      <c r="L14" s="305"/>
      <c r="N14" s="305"/>
      <c r="O14" s="274">
        <f>SUM(E14:F14)-SUM(G14:N14)</f>
        <v>22</v>
      </c>
      <c r="P14" s="274" t="str">
        <f t="shared" si="0"/>
        <v>Home Insurance</v>
      </c>
      <c r="Q14" s="282">
        <f t="shared" si="1"/>
        <v>0</v>
      </c>
    </row>
    <row r="15" spans="1:20" ht="15" customHeight="1" outlineLevel="1">
      <c r="B15" s="734"/>
      <c r="C15" s="734"/>
      <c r="D15" s="201" t="s">
        <v>1056</v>
      </c>
      <c r="E15" s="365">
        <v>0</v>
      </c>
      <c r="F15" s="365">
        <f>8+17.2+17.99</f>
        <v>43.19</v>
      </c>
      <c r="H15" s="305"/>
      <c r="J15" s="305"/>
      <c r="L15" s="305"/>
      <c r="N15" s="305"/>
      <c r="O15" s="274">
        <f>SUM(E15:F15)-SUM(G15:N15)</f>
        <v>43.19</v>
      </c>
      <c r="P15" s="274" t="str">
        <f t="shared" si="0"/>
        <v>Pet Health / Insurance</v>
      </c>
      <c r="Q15" s="282">
        <f t="shared" si="1"/>
        <v>0</v>
      </c>
    </row>
    <row r="16" spans="1:20" ht="15" customHeight="1" outlineLevel="1">
      <c r="B16" s="734"/>
      <c r="C16" s="734"/>
      <c r="D16" s="201" t="s">
        <v>1057</v>
      </c>
      <c r="E16" s="365">
        <v>0</v>
      </c>
      <c r="F16" s="365">
        <f>4.52+15.97+30.8</f>
        <v>51.290000000000006</v>
      </c>
      <c r="H16" s="305"/>
      <c r="I16" s="11"/>
      <c r="J16" s="305"/>
      <c r="L16" s="305"/>
      <c r="N16" s="305"/>
      <c r="O16" s="274">
        <f t="shared" si="2"/>
        <v>51.290000000000006</v>
      </c>
      <c r="P16" s="274" t="str">
        <f t="shared" si="0"/>
        <v>Life / Income Insurance</v>
      </c>
      <c r="Q16" s="282">
        <f t="shared" si="1"/>
        <v>0</v>
      </c>
    </row>
    <row r="17" spans="2:19" ht="15" customHeight="1" outlineLevel="1">
      <c r="B17" s="734"/>
      <c r="C17" s="734"/>
      <c r="D17" s="201" t="s">
        <v>602</v>
      </c>
      <c r="E17" s="365">
        <v>0</v>
      </c>
      <c r="F17" s="480">
        <f>(28.6*1.079)</f>
        <v>30.859400000000001</v>
      </c>
      <c r="H17" s="305"/>
      <c r="J17" s="305"/>
      <c r="L17" s="305"/>
      <c r="N17" s="305"/>
      <c r="O17" s="274">
        <f t="shared" ref="O17:O22" si="3">SUM(E17:F17)-SUM(G17:N17)</f>
        <v>30.859400000000001</v>
      </c>
      <c r="P17" s="274" t="str">
        <f t="shared" si="0"/>
        <v>Broadband / TV</v>
      </c>
      <c r="Q17" s="282">
        <f t="shared" si="1"/>
        <v>0</v>
      </c>
    </row>
    <row r="18" spans="2:19" ht="15" customHeight="1" outlineLevel="1">
      <c r="B18" s="734"/>
      <c r="C18" s="734"/>
      <c r="D18" s="201" t="s">
        <v>582</v>
      </c>
      <c r="E18" s="365">
        <v>0</v>
      </c>
      <c r="F18" s="365">
        <v>7.99</v>
      </c>
      <c r="H18" s="305"/>
      <c r="J18" s="305"/>
      <c r="L18" s="305"/>
      <c r="N18" s="305"/>
      <c r="O18" s="274">
        <f t="shared" si="3"/>
        <v>7.99</v>
      </c>
      <c r="P18" s="274" t="str">
        <f t="shared" si="0"/>
        <v>Onedrive (6th)</v>
      </c>
      <c r="Q18" s="282">
        <f t="shared" si="1"/>
        <v>0</v>
      </c>
    </row>
    <row r="19" spans="2:19" ht="15" customHeight="1" outlineLevel="1">
      <c r="B19" s="734"/>
      <c r="C19" s="734"/>
      <c r="D19" s="201" t="s">
        <v>788</v>
      </c>
      <c r="E19" s="365">
        <v>0</v>
      </c>
      <c r="F19" s="480">
        <f>(13.2*1.079)</f>
        <v>14.242799999999999</v>
      </c>
      <c r="H19" s="305"/>
      <c r="J19" s="305"/>
      <c r="L19" s="305"/>
      <c r="N19" s="305"/>
      <c r="O19" s="274">
        <f t="shared" si="3"/>
        <v>14.242799999999999</v>
      </c>
      <c r="P19" s="274" t="str">
        <f t="shared" si="0"/>
        <v>Matt Phone</v>
      </c>
      <c r="Q19" s="282">
        <f t="shared" si="1"/>
        <v>0</v>
      </c>
    </row>
    <row r="20" spans="2:19" ht="15" customHeight="1" outlineLevel="1">
      <c r="B20" s="734"/>
      <c r="C20" s="734"/>
      <c r="D20" s="201" t="s">
        <v>1279</v>
      </c>
      <c r="E20" s="365">
        <v>0</v>
      </c>
      <c r="F20" s="365">
        <v>232.5</v>
      </c>
      <c r="G20">
        <v>232.5</v>
      </c>
      <c r="H20" s="305"/>
      <c r="J20" s="305"/>
      <c r="L20" s="305"/>
      <c r="N20" s="305"/>
      <c r="O20" s="274">
        <f t="shared" si="3"/>
        <v>0</v>
      </c>
      <c r="P20" s="274" t="str">
        <f t="shared" si="0"/>
        <v>Watch</v>
      </c>
      <c r="Q20" s="282">
        <f t="shared" si="1"/>
        <v>0</v>
      </c>
    </row>
    <row r="21" spans="2:19" ht="15" customHeight="1" outlineLevel="1">
      <c r="B21" s="734"/>
      <c r="C21" s="734"/>
      <c r="D21" s="201" t="s">
        <v>690</v>
      </c>
      <c r="E21" s="365">
        <v>0</v>
      </c>
      <c r="F21" s="365">
        <f>11.81+14.43+270.97+46.72+89.64+468.84</f>
        <v>902.41000000000008</v>
      </c>
      <c r="H21" s="305"/>
      <c r="J21" s="305"/>
      <c r="L21" s="305"/>
      <c r="N21" s="305"/>
      <c r="O21" s="274">
        <f t="shared" si="3"/>
        <v>902.41000000000008</v>
      </c>
      <c r="P21" s="274" t="str">
        <f t="shared" si="0"/>
        <v>Cars</v>
      </c>
      <c r="Q21" s="282">
        <f t="shared" si="1"/>
        <v>0</v>
      </c>
      <c r="S21">
        <f>468.84+21.13</f>
        <v>489.96999999999997</v>
      </c>
    </row>
    <row r="22" spans="2:19" ht="15" customHeight="1" outlineLevel="1">
      <c r="B22" s="734"/>
      <c r="C22" s="734"/>
      <c r="D22" s="201" t="s">
        <v>944</v>
      </c>
      <c r="E22" s="365">
        <v>0</v>
      </c>
      <c r="F22" s="365">
        <v>15</v>
      </c>
      <c r="G22">
        <v>15</v>
      </c>
      <c r="H22" s="305"/>
      <c r="J22" s="305"/>
      <c r="L22" s="305"/>
      <c r="N22" s="305"/>
      <c r="O22" s="274">
        <f t="shared" si="3"/>
        <v>0</v>
      </c>
      <c r="P22" s="274" t="str">
        <f t="shared" si="0"/>
        <v>Windows</v>
      </c>
      <c r="Q22" s="282">
        <f t="shared" si="1"/>
        <v>0</v>
      </c>
      <c r="R22" s="243"/>
    </row>
    <row r="23" spans="2:19" ht="15" customHeight="1" outlineLevel="1">
      <c r="B23" s="7"/>
      <c r="C23" s="7"/>
      <c r="D23" s="201" t="s">
        <v>604</v>
      </c>
      <c r="E23" s="365">
        <v>0</v>
      </c>
      <c r="F23" s="365">
        <f>22.49</f>
        <v>22.49</v>
      </c>
      <c r="H23" s="305">
        <f>22.49+17.99</f>
        <v>40.479999999999997</v>
      </c>
      <c r="J23" s="305"/>
      <c r="L23" s="305"/>
      <c r="N23" s="305"/>
      <c r="O23" s="274"/>
      <c r="P23" s="274" t="str">
        <f t="shared" si="0"/>
        <v>Health</v>
      </c>
      <c r="Q23" s="282"/>
      <c r="R23" s="243"/>
    </row>
    <row r="24" spans="2:19" ht="15" customHeight="1" outlineLevel="1">
      <c r="B24" s="7"/>
      <c r="C24" s="7"/>
      <c r="D24" s="201"/>
      <c r="E24" s="365">
        <v>0</v>
      </c>
      <c r="F24" s="365">
        <f>13+6.99+0.99+10.99+8.99+25+2.99</f>
        <v>68.95</v>
      </c>
      <c r="G24" s="11"/>
      <c r="H24" s="305"/>
      <c r="J24" s="305"/>
      <c r="L24" s="305"/>
      <c r="N24" s="305"/>
      <c r="O24" s="274">
        <f t="shared" ref="O24" si="4">SUM(E24:F24)-SUM(G24:N24)</f>
        <v>68.95</v>
      </c>
      <c r="P24" s="274">
        <f t="shared" si="0"/>
        <v>0</v>
      </c>
      <c r="Q24" s="282"/>
      <c r="R24" s="243"/>
    </row>
    <row r="25" spans="2:19" ht="15" customHeight="1">
      <c r="B25" s="118"/>
      <c r="C25" s="118"/>
      <c r="D25" s="188"/>
      <c r="E25" s="365"/>
      <c r="F25" s="365"/>
      <c r="H25" s="305"/>
      <c r="J25" s="305"/>
      <c r="L25" s="305"/>
      <c r="N25" s="305"/>
      <c r="O25" s="273"/>
      <c r="P25" s="273"/>
      <c r="Q25" s="282"/>
    </row>
    <row r="26" spans="2:19" ht="15" customHeight="1">
      <c r="B26" s="736" t="str">
        <f>_xlfn.CONCAT("Savings - 20 - ",G45*0.2," / Actual = ",D27," (",ROUND((D27/G45)*100,2),")")</f>
        <v>Savings - 20 - 998.97 / Actual = 613.17 (12.28)</v>
      </c>
      <c r="C26" s="736"/>
      <c r="D26" s="736"/>
      <c r="E26" s="736"/>
      <c r="F26" s="320"/>
      <c r="H26" s="305"/>
      <c r="J26" s="305"/>
      <c r="L26" s="305"/>
      <c r="N26" s="305"/>
      <c r="O26" s="274"/>
      <c r="P26" s="274"/>
      <c r="Q26" s="282"/>
    </row>
    <row r="27" spans="2:19" ht="15" customHeight="1">
      <c r="B27" s="727" t="str">
        <f>IF(ISNUMBER((SEARCH("Over",C$5))),"Operating under budget","Operating over budget")</f>
        <v>Operating over budget</v>
      </c>
      <c r="C27" s="727"/>
      <c r="D27" s="759">
        <f>F28</f>
        <v>613.17000000000007</v>
      </c>
      <c r="E27" s="759"/>
      <c r="F27" s="319"/>
      <c r="H27" s="305"/>
      <c r="J27" s="305"/>
      <c r="L27" s="305"/>
      <c r="N27" s="305"/>
      <c r="O27" s="285">
        <f>0</f>
        <v>0</v>
      </c>
      <c r="P27" s="285" t="s">
        <v>895</v>
      </c>
      <c r="Q27" s="282">
        <f>SUM(Q28:Q28)</f>
        <v>0</v>
      </c>
    </row>
    <row r="28" spans="2:19" ht="15" customHeight="1" outlineLevel="1">
      <c r="B28" s="7" t="str">
        <f>"20% : " &amp; E$45*0.2</f>
        <v>20% : 998.97</v>
      </c>
      <c r="C28" s="7" t="str">
        <f>"20% : " &amp; E$45*0.2</f>
        <v>20% : 998.97</v>
      </c>
      <c r="D28" s="300" t="s">
        <v>183</v>
      </c>
      <c r="E28" s="365">
        <v>0</v>
      </c>
      <c r="F28" s="365">
        <f>SUM(F29:F37)</f>
        <v>613.17000000000007</v>
      </c>
      <c r="H28" s="305"/>
      <c r="J28" s="305"/>
      <c r="L28" s="305"/>
      <c r="N28" s="305"/>
      <c r="O28" s="274">
        <f>SUM(O29:O37)</f>
        <v>-2435.2200000000007</v>
      </c>
      <c r="P28" s="274" t="str">
        <f t="shared" ref="P28:P37" si="5">D28</f>
        <v>Savings</v>
      </c>
      <c r="Q28" s="282">
        <v>0</v>
      </c>
      <c r="S28" s="243"/>
    </row>
    <row r="29" spans="2:19" ht="15" customHeight="1" outlineLevel="1">
      <c r="B29" s="7"/>
      <c r="C29" s="7"/>
      <c r="D29" s="300" t="s">
        <v>1279</v>
      </c>
      <c r="E29" s="365">
        <v>0</v>
      </c>
      <c r="F29" s="365">
        <v>-232.5</v>
      </c>
      <c r="H29" s="305"/>
      <c r="J29" s="305"/>
      <c r="L29" s="305"/>
      <c r="N29" s="305"/>
      <c r="O29" s="274">
        <f>SUM(E29:F29)-SUM(G29:N29)</f>
        <v>-232.5</v>
      </c>
      <c r="P29" s="274" t="str">
        <f t="shared" si="5"/>
        <v>Watch</v>
      </c>
      <c r="Q29" s="282"/>
      <c r="S29" s="243"/>
    </row>
    <row r="30" spans="2:19" ht="15" customHeight="1" outlineLevel="1">
      <c r="B30" s="7"/>
      <c r="C30" s="7"/>
      <c r="D30" s="300" t="s">
        <v>1015</v>
      </c>
      <c r="E30" s="365">
        <v>0</v>
      </c>
      <c r="F30" s="365">
        <v>-468</v>
      </c>
      <c r="H30" s="305"/>
      <c r="J30" s="305"/>
      <c r="L30" s="315"/>
      <c r="N30" s="305"/>
      <c r="O30" s="274">
        <f>SUM(E30:F30)-SUM(G30:N30)</f>
        <v>-468</v>
      </c>
      <c r="P30" s="274" t="str">
        <f>D30</f>
        <v>Tesco</v>
      </c>
      <c r="Q30" s="282"/>
      <c r="R30" s="243"/>
    </row>
    <row r="31" spans="2:19" ht="15" customHeight="1" outlineLevel="1">
      <c r="B31" s="7"/>
      <c r="C31" s="7"/>
      <c r="D31" s="300" t="s">
        <v>1485</v>
      </c>
      <c r="E31" s="365">
        <v>0</v>
      </c>
      <c r="F31" s="365">
        <v>40</v>
      </c>
      <c r="H31" s="305"/>
      <c r="J31" s="305"/>
      <c r="L31" s="362"/>
      <c r="N31" s="315"/>
      <c r="O31" s="274">
        <f>SUM(E31:F31)-SUM(G31:N31)</f>
        <v>40</v>
      </c>
      <c r="P31" s="274" t="str">
        <f t="shared" si="5"/>
        <v>MOT / Service</v>
      </c>
      <c r="Q31" s="282"/>
      <c r="R31" s="243"/>
    </row>
    <row r="32" spans="2:19" ht="15" customHeight="1" outlineLevel="1">
      <c r="B32" s="7"/>
      <c r="C32" s="7"/>
      <c r="D32" s="300" t="s">
        <v>772</v>
      </c>
      <c r="E32" s="365">
        <v>0</v>
      </c>
      <c r="F32" s="365">
        <v>0</v>
      </c>
      <c r="H32" s="305"/>
      <c r="J32" s="305"/>
      <c r="L32" s="362"/>
      <c r="N32" s="315"/>
      <c r="O32" s="274">
        <f>SUM(E32:F32)-SUM(G32:N32)</f>
        <v>0</v>
      </c>
      <c r="P32" s="274" t="str">
        <f t="shared" si="5"/>
        <v>Home</v>
      </c>
      <c r="Q32" s="282"/>
      <c r="R32" s="243"/>
    </row>
    <row r="33" spans="2:20" ht="15" customHeight="1" outlineLevel="1">
      <c r="B33" s="7"/>
      <c r="C33" s="7"/>
      <c r="D33" s="300" t="s">
        <v>590</v>
      </c>
      <c r="E33" s="365">
        <v>0</v>
      </c>
      <c r="F33" s="365">
        <v>165</v>
      </c>
      <c r="H33" s="305">
        <f>8.21+9.99</f>
        <v>18.200000000000003</v>
      </c>
      <c r="J33" s="305">
        <f>88+282.5+4.5+20</f>
        <v>395</v>
      </c>
      <c r="L33" s="362"/>
      <c r="N33" s="315"/>
      <c r="O33" s="274">
        <f>SUM(E33:F33)-SUM(G33:N33)-Q45</f>
        <v>-365.97000000000054</v>
      </c>
      <c r="P33" s="274" t="str">
        <f t="shared" si="5"/>
        <v>Contingency</v>
      </c>
      <c r="Q33" s="282"/>
      <c r="T33" s="243"/>
    </row>
    <row r="34" spans="2:20" ht="15" customHeight="1" outlineLevel="1">
      <c r="B34" s="7"/>
      <c r="C34" s="7"/>
      <c r="D34" s="300" t="s">
        <v>1486</v>
      </c>
      <c r="E34" s="365">
        <v>0</v>
      </c>
      <c r="F34" s="365">
        <v>13.67</v>
      </c>
      <c r="H34" s="305"/>
      <c r="J34" s="305"/>
      <c r="L34" s="362"/>
      <c r="N34" s="315"/>
      <c r="O34" s="274">
        <f t="shared" ref="O34:O37" si="6">SUM(E34:F34)-SUM(G34:N34)</f>
        <v>13.67</v>
      </c>
      <c r="P34" s="274" t="str">
        <f t="shared" si="5"/>
        <v>TV</v>
      </c>
      <c r="Q34" s="282"/>
    </row>
    <row r="35" spans="2:20" ht="15" customHeight="1" outlineLevel="1">
      <c r="B35" s="7"/>
      <c r="C35" s="7"/>
      <c r="D35" s="300" t="s">
        <v>1296</v>
      </c>
      <c r="E35" s="365">
        <v>0</v>
      </c>
      <c r="F35" s="365">
        <f>15+80</f>
        <v>95</v>
      </c>
      <c r="H35" s="305"/>
      <c r="J35" s="305"/>
      <c r="L35" s="362"/>
      <c r="N35" s="315"/>
      <c r="O35" s="274">
        <f t="shared" si="6"/>
        <v>95</v>
      </c>
      <c r="P35" s="274" t="str">
        <f t="shared" si="5"/>
        <v>Offset</v>
      </c>
      <c r="Q35" s="282"/>
    </row>
    <row r="36" spans="2:20" ht="15" customHeight="1" outlineLevel="1">
      <c r="B36" s="7"/>
      <c r="C36" s="7"/>
      <c r="D36" s="300" t="s">
        <v>354</v>
      </c>
      <c r="E36" s="365">
        <v>0</v>
      </c>
      <c r="F36" s="365">
        <f>750</f>
        <v>750</v>
      </c>
      <c r="H36" s="305">
        <f>150+150+1645.91+356.01</f>
        <v>2301.92</v>
      </c>
      <c r="J36" s="305"/>
      <c r="L36" s="362"/>
      <c r="N36" s="315"/>
      <c r="O36" s="274">
        <f t="shared" si="6"/>
        <v>-1551.92</v>
      </c>
      <c r="P36" s="274" t="str">
        <f t="shared" si="5"/>
        <v>Holiday</v>
      </c>
      <c r="Q36" s="282"/>
    </row>
    <row r="37" spans="2:20" ht="15" customHeight="1" outlineLevel="1">
      <c r="B37" s="7"/>
      <c r="C37" s="7"/>
      <c r="D37" s="300" t="s">
        <v>701</v>
      </c>
      <c r="E37" s="365">
        <v>0</v>
      </c>
      <c r="F37" s="365">
        <f>250</f>
        <v>250</v>
      </c>
      <c r="H37" s="305">
        <f>59.5-140</f>
        <v>-80.5</v>
      </c>
      <c r="J37" s="305">
        <f>82+94+120</f>
        <v>296</v>
      </c>
      <c r="L37" s="362"/>
      <c r="N37" s="315"/>
      <c r="O37" s="274">
        <f t="shared" si="6"/>
        <v>34.5</v>
      </c>
      <c r="P37" s="274" t="str">
        <f t="shared" si="5"/>
        <v>Gift</v>
      </c>
      <c r="Q37" s="282"/>
    </row>
    <row r="38" spans="2:20" ht="15" customHeight="1">
      <c r="B38" s="118"/>
      <c r="C38" s="118"/>
      <c r="E38" s="365"/>
      <c r="F38" s="365"/>
      <c r="H38" s="305"/>
      <c r="J38" s="305"/>
      <c r="L38" s="305"/>
      <c r="N38" s="305"/>
      <c r="O38" s="273"/>
      <c r="P38" s="273"/>
      <c r="Q38" s="282"/>
      <c r="R38" s="243"/>
    </row>
    <row r="39" spans="2:20" ht="15" customHeight="1">
      <c r="B39" s="727" t="str">
        <f>_xlfn.CONCAT("Wants - 30 - ",G45*0.3," / Actual = ",D40," (",ROUND((D40/G45)*100,2),")")</f>
        <v>Wants - 30 - 1498.455 / Actual = 1285.72 (25.74)</v>
      </c>
      <c r="C39" s="727"/>
      <c r="D39" s="727"/>
      <c r="E39" s="727"/>
      <c r="F39" s="318"/>
      <c r="H39" s="305"/>
      <c r="J39" s="305"/>
      <c r="L39" s="305"/>
      <c r="N39" s="305"/>
      <c r="O39" s="273"/>
      <c r="P39" s="273"/>
      <c r="Q39" s="282"/>
      <c r="S39" s="243"/>
    </row>
    <row r="40" spans="2:20" ht="15" customHeight="1">
      <c r="B40" s="727" t="str">
        <f>IF(ISNUMBER((SEARCH("Over",B$5))),"Operating under budget","Operating over budget")</f>
        <v>Operating under budget</v>
      </c>
      <c r="C40" s="727"/>
      <c r="D40" s="759">
        <f>(E$45-D5-D27-E44)</f>
        <v>1285.7199999999993</v>
      </c>
      <c r="E40" s="727"/>
      <c r="F40" s="319">
        <f>F41</f>
        <v>516.86999999999932</v>
      </c>
      <c r="H40" s="305"/>
      <c r="J40" s="305"/>
      <c r="L40" s="305"/>
      <c r="N40" s="305"/>
      <c r="O40" s="285">
        <f>0</f>
        <v>0</v>
      </c>
      <c r="P40" s="285" t="s">
        <v>899</v>
      </c>
      <c r="Q40" s="282">
        <f>SUM(Q41:Q41)</f>
        <v>35.530000000000541</v>
      </c>
      <c r="S40" s="243"/>
    </row>
    <row r="41" spans="2:20" ht="18" outlineLevel="1">
      <c r="B41" s="7"/>
      <c r="C41" s="284"/>
      <c r="D41" s="13" t="s">
        <v>922</v>
      </c>
      <c r="E41" s="365">
        <v>0</v>
      </c>
      <c r="F41" s="365">
        <f>D40-F43</f>
        <v>516.86999999999932</v>
      </c>
      <c r="G41" s="11"/>
      <c r="H41">
        <f>24.99+6.99+6.99+69.99+40+5.95+119.1+154-6.99+18.99+13.5+20+9.78+11.4+2.9+7.95+26.35</f>
        <v>531.88999999999987</v>
      </c>
      <c r="J41" s="305">
        <f>16+14.49+7.2-44+11.49+3.3+6.99+2.54+2.5</f>
        <v>20.510000000000005</v>
      </c>
      <c r="N41" s="305"/>
      <c r="O41" s="274">
        <f>SUM(E41:F41)-SUM(G41:N41)</f>
        <v>-35.530000000000541</v>
      </c>
      <c r="P41" s="274" t="str">
        <f t="shared" ref="P41:P43" si="7">D41</f>
        <v>Matt Fun</v>
      </c>
      <c r="Q41" s="282">
        <f>IF(SUM(E41:F41)-SUM(G41:N41)&lt;=0,(SUM(E41:F41)-SUM(G41:N41))*-1,0)</f>
        <v>35.530000000000541</v>
      </c>
    </row>
    <row r="42" spans="2:20" ht="18" outlineLevel="1">
      <c r="B42" s="7"/>
      <c r="C42" s="284"/>
      <c r="D42" s="13" t="s">
        <v>1641</v>
      </c>
      <c r="E42" s="365">
        <v>0</v>
      </c>
      <c r="F42" s="365">
        <v>0</v>
      </c>
      <c r="G42" s="11"/>
      <c r="H42" s="306">
        <f>6.12</f>
        <v>6.12</v>
      </c>
      <c r="J42" s="305"/>
      <c r="N42" s="305"/>
      <c r="O42" s="274">
        <f>SUM(E42:F42)-SUM(G42:N42)</f>
        <v>-6.12</v>
      </c>
      <c r="P42" s="274" t="str">
        <f t="shared" si="7"/>
        <v>Work</v>
      </c>
      <c r="Q42" s="282">
        <f>IF(SUM(E42:F42)-SUM(G42:N42)&lt;=0,(SUM(E42:F42)-SUM(G42:N42))*-1,0)</f>
        <v>6.12</v>
      </c>
    </row>
    <row r="43" spans="2:20" ht="18" outlineLevel="1">
      <c r="B43" s="7"/>
      <c r="C43" s="284"/>
      <c r="D43" s="13" t="s">
        <v>152</v>
      </c>
      <c r="E43" s="365">
        <v>0</v>
      </c>
      <c r="F43" s="365">
        <f>35+29+34+41.5+89+55+22.87+13+148.5+40+40+65.98+15+20+30+15+20+55</f>
        <v>768.85</v>
      </c>
      <c r="G43" s="11">
        <v>40</v>
      </c>
      <c r="H43" s="306">
        <f>29+0.05+55+148.5+65.98+40+55</f>
        <v>393.53000000000003</v>
      </c>
      <c r="J43" s="305">
        <f>34+29+35+41.5+89+22.87+14.24+38+15</f>
        <v>318.61</v>
      </c>
      <c r="L43" s="305"/>
      <c r="N43" s="305"/>
      <c r="O43" s="274">
        <f>SUM(E43:F43)-SUM(G43:N43)</f>
        <v>16.709999999999923</v>
      </c>
      <c r="P43" s="274" t="str">
        <f t="shared" si="7"/>
        <v>Kris</v>
      </c>
      <c r="Q43" s="271">
        <f>IF(F43-SUM(G43:N43)&lt;=0,(F43-SUM(G43:N43))*-1,0)</f>
        <v>0</v>
      </c>
    </row>
    <row r="44" spans="2:20">
      <c r="B44" s="118"/>
      <c r="C44" s="118"/>
      <c r="E44" s="365">
        <f>E28</f>
        <v>0</v>
      </c>
      <c r="F44" s="365"/>
      <c r="G44" s="349"/>
      <c r="J44" s="7"/>
      <c r="L44" s="7"/>
      <c r="N44" s="7"/>
      <c r="O44" s="273"/>
      <c r="P44" s="273"/>
      <c r="Q44" s="282"/>
    </row>
    <row r="45" spans="2:20" ht="18">
      <c r="B45" s="728" t="s">
        <v>817</v>
      </c>
      <c r="C45" s="728"/>
      <c r="D45" s="728"/>
      <c r="E45" s="375">
        <f>G45+I45+K45+M45+N45+E44</f>
        <v>4994.8499999999995</v>
      </c>
      <c r="F45" s="379"/>
      <c r="G45" s="271">
        <f>3360+850+35+29+41.5+89+50+55+22.87+13+148.5+40+40+65.98+15+20+30+15+20+55</f>
        <v>4994.8499999999995</v>
      </c>
      <c r="H45" s="282"/>
      <c r="I45" s="271"/>
      <c r="J45" s="271"/>
      <c r="K45" s="271"/>
      <c r="L45" s="271"/>
      <c r="M45" s="271"/>
      <c r="N45" s="271"/>
      <c r="O45" s="314">
        <f>ROUND(O5+O40+O27+IF(O41&lt;0,0,O41)+O43+O4,2)</f>
        <v>7020.93</v>
      </c>
      <c r="P45" s="274"/>
      <c r="Q45" s="282">
        <f>SUM(Q40,Q27,Q5)</f>
        <v>117.77000000000055</v>
      </c>
    </row>
    <row r="46" spans="2:20" ht="18">
      <c r="B46" s="118"/>
      <c r="C46" s="7"/>
      <c r="D46" s="13" t="s">
        <v>1451</v>
      </c>
      <c r="E46" s="365"/>
      <c r="F46" s="365"/>
      <c r="G46" s="384"/>
      <c r="H46" s="243"/>
      <c r="L46" s="243"/>
    </row>
    <row r="47" spans="2:20" ht="14.4">
      <c r="B47" s="729"/>
      <c r="C47" s="729"/>
      <c r="D47" s="729"/>
      <c r="E47" s="729"/>
      <c r="F47" s="729"/>
      <c r="G47" s="729"/>
      <c r="H47" s="297"/>
      <c r="K47" s="729"/>
      <c r="L47" s="729"/>
      <c r="M47" s="729"/>
      <c r="N47" s="729"/>
      <c r="O47" s="729"/>
      <c r="P47" s="297"/>
    </row>
    <row r="48" spans="2:20" ht="15" customHeight="1">
      <c r="B48" s="726" t="s">
        <v>955</v>
      </c>
      <c r="C48" s="726"/>
      <c r="D48" s="726"/>
      <c r="E48" s="726"/>
      <c r="F48" s="348"/>
      <c r="K48" s="212"/>
      <c r="L48" s="212"/>
      <c r="N48" s="118" t="s">
        <v>1508</v>
      </c>
      <c r="O48" s="316">
        <v>45277</v>
      </c>
      <c r="P48" s="7">
        <f ca="1">DATEDIF(O48,NOW(),"d")</f>
        <v>974</v>
      </c>
      <c r="Q48">
        <v>270</v>
      </c>
      <c r="R48" t="s">
        <v>1500</v>
      </c>
    </row>
    <row r="49" spans="2:18">
      <c r="B49" s="365"/>
      <c r="C49" s="38"/>
      <c r="D49" s="459" t="s">
        <v>1540</v>
      </c>
      <c r="E49" s="461">
        <f>724/2</f>
        <v>362</v>
      </c>
      <c r="F49" s="11"/>
      <c r="G49" s="367"/>
      <c r="I49" s="243"/>
      <c r="K49" s="11"/>
      <c r="L49" s="243"/>
      <c r="N49" s="322" t="s">
        <v>1702</v>
      </c>
      <c r="O49" s="42">
        <v>45389</v>
      </c>
      <c r="P49" s="7">
        <f ca="1">DATEDIF(O49,NOW(),"d")</f>
        <v>862</v>
      </c>
      <c r="Q49">
        <v>55</v>
      </c>
      <c r="R49" t="s">
        <v>1703</v>
      </c>
    </row>
    <row r="50" spans="2:18">
      <c r="D50" s="188" t="s">
        <v>19</v>
      </c>
      <c r="E50" s="230">
        <v>120</v>
      </c>
      <c r="F50" s="457"/>
      <c r="G50" s="445"/>
      <c r="J50" s="243">
        <f>3660.83-F20-468.84-SUM(M52:M55)</f>
        <v>2566.2399999999998</v>
      </c>
      <c r="L50" s="243"/>
      <c r="N50" t="s">
        <v>1726</v>
      </c>
      <c r="O50" s="316">
        <v>45396</v>
      </c>
      <c r="P50" s="7">
        <f ca="1">DATEDIF(O50,NOW(),"d")</f>
        <v>855</v>
      </c>
      <c r="Q50">
        <v>14.24</v>
      </c>
      <c r="R50" t="s">
        <v>1317</v>
      </c>
    </row>
    <row r="51" spans="2:18" ht="16.2" customHeight="1">
      <c r="D51" s="188" t="s">
        <v>1535</v>
      </c>
      <c r="E51" s="230">
        <f>(61*3)+24</f>
        <v>207</v>
      </c>
      <c r="F51" s="457"/>
      <c r="G51" s="458"/>
      <c r="H51" s="243"/>
      <c r="I51" s="243"/>
      <c r="J51" s="213">
        <f>7945.55-J50</f>
        <v>5379.31</v>
      </c>
      <c r="K51" s="213"/>
      <c r="L51" s="243" t="s">
        <v>1701</v>
      </c>
      <c r="O51" s="316"/>
    </row>
    <row r="52" spans="2:18">
      <c r="B52" s="378"/>
      <c r="D52" s="188" t="s">
        <v>1536</v>
      </c>
      <c r="E52" s="230">
        <v>250</v>
      </c>
      <c r="F52" s="278"/>
      <c r="G52" s="243"/>
      <c r="J52" s="243"/>
      <c r="L52" s="243" t="s">
        <v>1279</v>
      </c>
      <c r="M52">
        <v>232.5</v>
      </c>
      <c r="P52" s="56"/>
    </row>
    <row r="53" spans="2:18" ht="14.4">
      <c r="D53" s="188" t="s">
        <v>1537</v>
      </c>
      <c r="E53" s="230">
        <v>30</v>
      </c>
      <c r="F53" s="451"/>
      <c r="H53" s="369"/>
      <c r="J53" s="243"/>
      <c r="K53" s="369"/>
      <c r="L53" s="243" t="s">
        <v>1607</v>
      </c>
      <c r="M53">
        <v>111.75</v>
      </c>
      <c r="N53" s="243"/>
      <c r="P53"/>
    </row>
    <row r="54" spans="2:18">
      <c r="D54" s="460" t="s">
        <v>1541</v>
      </c>
      <c r="E54" s="230">
        <v>200</v>
      </c>
      <c r="F54" s="451"/>
      <c r="G54" s="734" t="s">
        <v>1534</v>
      </c>
      <c r="H54" s="734"/>
      <c r="I54" t="s">
        <v>1619</v>
      </c>
      <c r="K54" s="369"/>
      <c r="L54" s="243" t="s">
        <v>597</v>
      </c>
      <c r="M54" s="243">
        <v>34</v>
      </c>
      <c r="P54" s="212"/>
      <c r="Q54" s="212"/>
    </row>
    <row r="55" spans="2:18" ht="15" customHeight="1">
      <c r="D55" s="405" t="s">
        <v>1529</v>
      </c>
      <c r="E55" s="462">
        <v>300</v>
      </c>
      <c r="F55"/>
      <c r="G55" s="465" t="s">
        <v>360</v>
      </c>
      <c r="H55" s="466" t="s">
        <v>1575</v>
      </c>
      <c r="K55" s="353"/>
      <c r="L55" s="243" t="s">
        <v>944</v>
      </c>
      <c r="M55" s="243">
        <v>15</v>
      </c>
      <c r="P55" s="56"/>
      <c r="Q55" s="38"/>
    </row>
    <row r="56" spans="2:18">
      <c r="D56" s="460" t="s">
        <v>1538</v>
      </c>
      <c r="E56" s="230">
        <f>1309*0.5</f>
        <v>654.5</v>
      </c>
      <c r="F56"/>
      <c r="G56" s="465" t="s">
        <v>1576</v>
      </c>
      <c r="H56" s="465" t="s">
        <v>1575</v>
      </c>
      <c r="I56" s="726"/>
      <c r="J56" s="726"/>
      <c r="L56" s="243"/>
      <c r="O56"/>
      <c r="P56"/>
    </row>
    <row r="57" spans="2:18" ht="15" customHeight="1">
      <c r="D57" t="s">
        <v>1542</v>
      </c>
      <c r="E57" s="413">
        <v>787</v>
      </c>
      <c r="F57"/>
      <c r="G57" s="465" t="s">
        <v>597</v>
      </c>
      <c r="H57" s="466" t="s">
        <v>1575</v>
      </c>
      <c r="L57" s="243"/>
      <c r="O57"/>
      <c r="P57"/>
    </row>
    <row r="58" spans="2:18">
      <c r="E58" s="446"/>
      <c r="F58"/>
      <c r="G58" s="467" t="s">
        <v>1582</v>
      </c>
      <c r="H58" s="467" t="s">
        <v>1583</v>
      </c>
      <c r="I58" s="467" t="s">
        <v>1584</v>
      </c>
      <c r="K58" t="s">
        <v>1586</v>
      </c>
      <c r="L58" s="243"/>
      <c r="O58"/>
      <c r="P58"/>
    </row>
    <row r="59" spans="2:18">
      <c r="B59" s="11"/>
      <c r="E59" s="405"/>
      <c r="G59" s="467" t="s">
        <v>1585</v>
      </c>
      <c r="H59" s="468" t="s">
        <v>1583</v>
      </c>
      <c r="I59" s="469" t="s">
        <v>1588</v>
      </c>
      <c r="J59" s="470" t="s">
        <v>595</v>
      </c>
      <c r="K59" s="475" t="s">
        <v>1594</v>
      </c>
      <c r="O59"/>
      <c r="P59"/>
    </row>
    <row r="60" spans="2:18">
      <c r="B60" s="11"/>
      <c r="D60" t="s">
        <v>1494</v>
      </c>
      <c r="E60" s="118"/>
      <c r="G60" s="467" t="s">
        <v>705</v>
      </c>
      <c r="H60" s="467" t="s">
        <v>1583</v>
      </c>
      <c r="I60" s="467" t="s">
        <v>1595</v>
      </c>
      <c r="J60" s="79" t="s">
        <v>1589</v>
      </c>
      <c r="O60"/>
      <c r="P60"/>
    </row>
    <row r="61" spans="2:18">
      <c r="D61" t="s">
        <v>1495</v>
      </c>
      <c r="E61" s="405"/>
      <c r="G61" s="467" t="s">
        <v>1596</v>
      </c>
      <c r="H61" s="467" t="s">
        <v>1597</v>
      </c>
      <c r="I61" s="467" t="s">
        <v>1598</v>
      </c>
      <c r="J61" s="390" t="s">
        <v>1363</v>
      </c>
      <c r="L61" s="243"/>
      <c r="M61" s="243"/>
      <c r="O61"/>
      <c r="P61"/>
    </row>
    <row r="62" spans="2:18">
      <c r="B62" s="212"/>
      <c r="C62" s="212"/>
      <c r="D62" t="s">
        <v>1577</v>
      </c>
      <c r="E62" s="405"/>
      <c r="F62" s="384"/>
      <c r="G62" s="472" t="s">
        <v>1599</v>
      </c>
      <c r="H62" s="467" t="s">
        <v>56</v>
      </c>
      <c r="I62" s="467" t="s">
        <v>1600</v>
      </c>
      <c r="J62" s="470" t="s">
        <v>1591</v>
      </c>
      <c r="K62" s="467" t="s">
        <v>1592</v>
      </c>
      <c r="O62"/>
      <c r="P62"/>
    </row>
    <row r="63" spans="2:18" ht="14.4">
      <c r="C63" s="56"/>
      <c r="D63" t="s">
        <v>1578</v>
      </c>
      <c r="E63" s="405"/>
      <c r="F63"/>
      <c r="G63" s="467" t="s">
        <v>1601</v>
      </c>
      <c r="H63" s="467" t="s">
        <v>56</v>
      </c>
      <c r="I63" s="467" t="s">
        <v>1613</v>
      </c>
      <c r="J63" s="79"/>
      <c r="K63" s="118"/>
      <c r="O63"/>
      <c r="P63"/>
    </row>
    <row r="64" spans="2:18" ht="15.75" customHeight="1">
      <c r="C64" s="56"/>
      <c r="D64" t="s">
        <v>1579</v>
      </c>
      <c r="E64" s="405" t="s">
        <v>68</v>
      </c>
      <c r="F64"/>
      <c r="G64" s="467" t="s">
        <v>1602</v>
      </c>
      <c r="H64" s="467" t="s">
        <v>56</v>
      </c>
      <c r="I64" s="467" t="s">
        <v>1614</v>
      </c>
      <c r="M64" s="243">
        <f>111.75*12</f>
        <v>1341</v>
      </c>
      <c r="O64"/>
      <c r="P64"/>
    </row>
    <row r="65" spans="2:16" ht="14.4">
      <c r="C65" s="56"/>
      <c r="D65" t="s">
        <v>1580</v>
      </c>
      <c r="E65" t="s">
        <v>1581</v>
      </c>
      <c r="F65"/>
      <c r="G65" s="467" t="s">
        <v>1603</v>
      </c>
      <c r="H65" s="467" t="s">
        <v>56</v>
      </c>
      <c r="I65" s="467" t="s">
        <v>1615</v>
      </c>
      <c r="M65" s="243">
        <f>760.77+604.11</f>
        <v>1364.88</v>
      </c>
      <c r="N65">
        <f>(M65/M66)*100</f>
        <v>110.78571428571429</v>
      </c>
      <c r="O65"/>
      <c r="P65" s="771"/>
    </row>
    <row r="66" spans="2:16" ht="14.4">
      <c r="C66" s="56"/>
      <c r="D66" s="79"/>
      <c r="E66"/>
      <c r="F66" s="79"/>
      <c r="G66" s="467" t="s">
        <v>1604</v>
      </c>
      <c r="H66" s="467" t="s">
        <v>56</v>
      </c>
      <c r="I66" s="467" t="s">
        <v>1616</v>
      </c>
      <c r="M66">
        <f>520+712</f>
        <v>1232</v>
      </c>
      <c r="N66">
        <f>(M66/M65)</f>
        <v>0.9026434558349451</v>
      </c>
      <c r="O66"/>
      <c r="P66" s="771"/>
    </row>
    <row r="67" spans="2:16" ht="14.4">
      <c r="C67" s="56"/>
      <c r="E67"/>
      <c r="F67"/>
      <c r="G67" s="467" t="s">
        <v>1604</v>
      </c>
      <c r="H67" s="467" t="s">
        <v>56</v>
      </c>
      <c r="I67" s="407" t="s">
        <v>1616</v>
      </c>
      <c r="M67" s="243">
        <f>(M65-M66)</f>
        <v>132.88000000000011</v>
      </c>
      <c r="O67"/>
      <c r="P67" s="771"/>
    </row>
    <row r="68" spans="2:16" ht="14.4">
      <c r="C68" s="56"/>
      <c r="E68" s="407"/>
      <c r="F68"/>
      <c r="G68" s="407" t="s">
        <v>1605</v>
      </c>
      <c r="H68" s="467" t="s">
        <v>56</v>
      </c>
      <c r="I68" s="467" t="s">
        <v>1600</v>
      </c>
      <c r="M68">
        <f>111.75*N66</f>
        <v>100.87040618955511</v>
      </c>
      <c r="O68"/>
      <c r="P68" s="771"/>
    </row>
    <row r="69" spans="2:16" ht="14.4">
      <c r="C69" s="56"/>
      <c r="E69"/>
      <c r="F69"/>
      <c r="G69" s="467" t="s">
        <v>1606</v>
      </c>
      <c r="J69" s="243"/>
      <c r="O69"/>
      <c r="P69"/>
    </row>
    <row r="70" spans="2:16">
      <c r="C70" s="56"/>
      <c r="E70" s="347"/>
      <c r="F70" s="456"/>
      <c r="G70" s="473" t="s">
        <v>1607</v>
      </c>
      <c r="H70" s="448" t="s">
        <v>1575</v>
      </c>
      <c r="I70" s="448"/>
      <c r="J70" s="243"/>
      <c r="O70"/>
      <c r="P70"/>
    </row>
    <row r="71" spans="2:16" ht="14.4">
      <c r="C71" s="56"/>
      <c r="E71" s="332"/>
      <c r="F71"/>
      <c r="G71" s="312" t="s">
        <v>1608</v>
      </c>
      <c r="H71" s="312"/>
      <c r="I71" s="312" t="s">
        <v>1617</v>
      </c>
      <c r="L71" t="s">
        <v>650</v>
      </c>
      <c r="M71">
        <f>3987.08</f>
        <v>3987.08</v>
      </c>
      <c r="O71"/>
      <c r="P71" s="771"/>
    </row>
    <row r="72" spans="2:16" ht="14.4">
      <c r="C72" s="56"/>
      <c r="E72"/>
      <c r="F72"/>
      <c r="G72" s="448" t="s">
        <v>595</v>
      </c>
      <c r="H72" s="448" t="s">
        <v>1575</v>
      </c>
      <c r="I72" s="448" t="s">
        <v>1618</v>
      </c>
      <c r="J72" s="243"/>
      <c r="L72" t="s">
        <v>1699</v>
      </c>
      <c r="M72">
        <f>M71+1267</f>
        <v>5254.08</v>
      </c>
      <c r="O72"/>
      <c r="P72" s="771"/>
    </row>
    <row r="73" spans="2:16">
      <c r="C73" s="56"/>
      <c r="F73" s="79"/>
      <c r="G73" s="448" t="s">
        <v>1609</v>
      </c>
      <c r="H73" s="474">
        <v>45407</v>
      </c>
      <c r="I73" s="448" t="s">
        <v>1600</v>
      </c>
      <c r="L73" t="s">
        <v>1700</v>
      </c>
      <c r="M73">
        <f>M72+500</f>
        <v>5754.08</v>
      </c>
      <c r="O73"/>
      <c r="P73" s="771"/>
    </row>
    <row r="74" spans="2:16" ht="14.4">
      <c r="E74"/>
      <c r="F74"/>
      <c r="G74" s="467" t="s">
        <v>181</v>
      </c>
      <c r="I74" t="s">
        <v>1600</v>
      </c>
      <c r="O74"/>
      <c r="P74" s="771"/>
    </row>
    <row r="75" spans="2:16">
      <c r="B75" s="212"/>
      <c r="C75" s="294"/>
      <c r="E75" s="365"/>
      <c r="F75"/>
      <c r="G75" s="407" t="s">
        <v>1610</v>
      </c>
      <c r="M75">
        <f>7217-M73</f>
        <v>1462.92</v>
      </c>
      <c r="O75"/>
      <c r="P75"/>
    </row>
    <row r="76" spans="2:16">
      <c r="C76" s="56"/>
      <c r="D76" s="56"/>
      <c r="E76" s="56"/>
      <c r="G76" s="467" t="s">
        <v>1611</v>
      </c>
      <c r="M76" s="243">
        <f>M75-SUM(M78:M84)</f>
        <v>370.92000000000007</v>
      </c>
      <c r="O76"/>
      <c r="P76"/>
    </row>
    <row r="77" spans="2:16" ht="14.4">
      <c r="C77" s="56"/>
      <c r="D77" s="56"/>
      <c r="E77" s="56"/>
      <c r="F77" s="56"/>
      <c r="G77" s="467" t="s">
        <v>1609</v>
      </c>
      <c r="O77"/>
      <c r="P77" s="771"/>
    </row>
    <row r="78" spans="2:16" ht="14.4">
      <c r="C78" s="56"/>
      <c r="D78" s="56"/>
      <c r="E78" s="56"/>
      <c r="F78" s="56"/>
      <c r="G78" s="467" t="s">
        <v>446</v>
      </c>
      <c r="L78" s="459" t="s">
        <v>1540</v>
      </c>
      <c r="M78" s="461">
        <f>724/2</f>
        <v>362</v>
      </c>
      <c r="O78"/>
      <c r="P78" s="771"/>
    </row>
    <row r="79" spans="2:16" ht="14.4">
      <c r="C79" s="56"/>
      <c r="D79" s="56"/>
      <c r="E79" s="56"/>
      <c r="F79"/>
      <c r="G79" s="467" t="s">
        <v>1612</v>
      </c>
      <c r="L79" s="188" t="s">
        <v>19</v>
      </c>
      <c r="M79" s="230">
        <v>0</v>
      </c>
      <c r="O79"/>
      <c r="P79" s="771"/>
    </row>
    <row r="80" spans="2:16" ht="14.4">
      <c r="C80" s="56"/>
      <c r="D80" s="56"/>
      <c r="E80" s="56"/>
      <c r="F80" s="332"/>
      <c r="G80" s="467" t="s">
        <v>715</v>
      </c>
      <c r="L80" s="188" t="s">
        <v>1009</v>
      </c>
      <c r="M80" s="230">
        <v>100</v>
      </c>
      <c r="O80"/>
      <c r="P80" s="771"/>
    </row>
    <row r="81" spans="3:16" ht="14.4">
      <c r="C81" s="56"/>
      <c r="E81" s="56"/>
      <c r="F81"/>
      <c r="L81" s="188" t="s">
        <v>1536</v>
      </c>
      <c r="M81" s="230">
        <v>250</v>
      </c>
      <c r="O81"/>
      <c r="P81"/>
    </row>
    <row r="82" spans="3:16">
      <c r="F82"/>
      <c r="G82" s="467" t="s">
        <v>1626</v>
      </c>
      <c r="H82">
        <f>20/4/2024</f>
        <v>2.4703557312252965E-3</v>
      </c>
      <c r="L82" s="188" t="s">
        <v>1537</v>
      </c>
      <c r="M82" s="230">
        <v>30</v>
      </c>
      <c r="O82"/>
      <c r="P82"/>
    </row>
    <row r="83" spans="3:16">
      <c r="E83" s="212"/>
      <c r="F83" s="365"/>
      <c r="L83" s="460" t="s">
        <v>1541</v>
      </c>
      <c r="M83" s="230">
        <v>200</v>
      </c>
      <c r="O83"/>
      <c r="P83" s="771"/>
    </row>
    <row r="84" spans="3:16" ht="14.4">
      <c r="E84" s="56"/>
      <c r="F84" s="212"/>
      <c r="L84" s="405" t="s">
        <v>1529</v>
      </c>
      <c r="M84" s="462">
        <v>150</v>
      </c>
      <c r="O84"/>
      <c r="P84" s="771"/>
    </row>
    <row r="85" spans="3:16" ht="14.4">
      <c r="E85" s="56"/>
      <c r="F85" s="56"/>
      <c r="O85"/>
      <c r="P85" s="771"/>
    </row>
    <row r="86" spans="3:16" ht="14.4">
      <c r="E86" s="56"/>
      <c r="F86" s="56"/>
      <c r="G86">
        <f>55000</f>
        <v>55000</v>
      </c>
      <c r="O86"/>
      <c r="P86" s="771"/>
    </row>
    <row r="87" spans="3:16" ht="14.4">
      <c r="E87" s="56"/>
      <c r="F87" s="56"/>
      <c r="G87">
        <f>500*12</f>
        <v>6000</v>
      </c>
      <c r="J87">
        <f>38697</f>
        <v>38697</v>
      </c>
      <c r="O87"/>
      <c r="P87"/>
    </row>
    <row r="88" spans="3:16" ht="14.4">
      <c r="E88" s="56"/>
      <c r="F88" s="56"/>
      <c r="G88">
        <f>G86*0.13</f>
        <v>7150</v>
      </c>
      <c r="H88">
        <f>G86+G87+G88</f>
        <v>68150</v>
      </c>
      <c r="J88">
        <v>51653</v>
      </c>
      <c r="O88"/>
      <c r="P88"/>
    </row>
    <row r="89" spans="3:16" ht="14.4">
      <c r="E89" s="56"/>
      <c r="F89" s="56"/>
      <c r="G89">
        <f>G86*0.205</f>
        <v>11275</v>
      </c>
      <c r="H89">
        <f>G86+G87+G89</f>
        <v>72275</v>
      </c>
      <c r="O89"/>
      <c r="P89" s="771"/>
    </row>
    <row r="90" spans="3:16">
      <c r="O90"/>
      <c r="P90" s="771"/>
    </row>
    <row r="91" spans="3:16" ht="14.4">
      <c r="E91" s="212"/>
      <c r="F91" s="212"/>
      <c r="O91"/>
      <c r="P91" s="771"/>
    </row>
    <row r="92" spans="3:16" ht="14.4">
      <c r="E92" s="56"/>
      <c r="F92" s="56"/>
      <c r="O92"/>
      <c r="P92" s="771"/>
    </row>
    <row r="93" spans="3:16" ht="14.4">
      <c r="E93" s="56"/>
      <c r="F93" s="56"/>
      <c r="O93"/>
      <c r="P93"/>
    </row>
    <row r="94" spans="3:16" ht="14.4">
      <c r="E94" s="56"/>
      <c r="F94" s="56"/>
      <c r="G94" s="407"/>
      <c r="O94"/>
      <c r="P94"/>
    </row>
    <row r="95" spans="3:16" ht="14.4">
      <c r="E95" s="56"/>
      <c r="F95" s="56"/>
      <c r="G95" s="407"/>
      <c r="O95"/>
      <c r="P95" s="771"/>
    </row>
    <row r="96" spans="3:16" ht="14.4">
      <c r="E96" s="56"/>
      <c r="F96" s="56"/>
      <c r="G96" s="407"/>
      <c r="O96"/>
      <c r="P96" s="771"/>
    </row>
    <row r="97" spans="5:16" ht="14.4">
      <c r="E97" s="56"/>
      <c r="F97" s="56"/>
      <c r="G97" s="407"/>
      <c r="O97"/>
      <c r="P97" s="771"/>
    </row>
    <row r="98" spans="5:16">
      <c r="E98" s="365"/>
      <c r="F98" s="365"/>
      <c r="G98" s="407"/>
      <c r="O98"/>
      <c r="P98" s="771"/>
    </row>
    <row r="99" spans="5:16">
      <c r="G99" s="407"/>
      <c r="O99"/>
      <c r="P99"/>
    </row>
    <row r="100" spans="5:16">
      <c r="G100" s="407"/>
      <c r="O100"/>
      <c r="P100"/>
    </row>
    <row r="101" spans="5:16">
      <c r="G101" s="407"/>
    </row>
    <row r="105" spans="5:16">
      <c r="F105" s="384"/>
    </row>
    <row r="106" spans="5:16">
      <c r="F106" s="384"/>
    </row>
  </sheetData>
  <mergeCells count="30">
    <mergeCell ref="B27:C27"/>
    <mergeCell ref="D27:E27"/>
    <mergeCell ref="B26:E26"/>
    <mergeCell ref="B1:O1"/>
    <mergeCell ref="G3:H3"/>
    <mergeCell ref="I3:J3"/>
    <mergeCell ref="K3:L3"/>
    <mergeCell ref="M3:N3"/>
    <mergeCell ref="B4:E4"/>
    <mergeCell ref="B5:C5"/>
    <mergeCell ref="D5:E5"/>
    <mergeCell ref="B6:B22"/>
    <mergeCell ref="C6:C22"/>
    <mergeCell ref="E10:F10"/>
    <mergeCell ref="B39:E39"/>
    <mergeCell ref="B40:C40"/>
    <mergeCell ref="D40:E40"/>
    <mergeCell ref="K47:O47"/>
    <mergeCell ref="B48:C48"/>
    <mergeCell ref="D48:E48"/>
    <mergeCell ref="B45:D45"/>
    <mergeCell ref="B47:G47"/>
    <mergeCell ref="G54:H54"/>
    <mergeCell ref="P95:P98"/>
    <mergeCell ref="P65:P68"/>
    <mergeCell ref="P71:P74"/>
    <mergeCell ref="P77:P80"/>
    <mergeCell ref="P83:P86"/>
    <mergeCell ref="P89:P92"/>
    <mergeCell ref="I56:J56"/>
  </mergeCells>
  <pageMargins left="0.7" right="0.7" top="0.75" bottom="0.75" header="0.3" footer="0.3"/>
  <pageSetup orientation="portrait" r:id="rId1"/>
  <legacyDrawing r:id="rId2"/>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E21FE-09D8-494E-88AF-815FB0272BD1}">
  <dimension ref="A1:T106"/>
  <sheetViews>
    <sheetView topLeftCell="D10" zoomScale="90" zoomScaleNormal="90" workbookViewId="0">
      <selection activeCell="F16" sqref="F16"/>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MAR-APR Y 24</v>
      </c>
      <c r="B1" s="730" t="str">
        <f ca="1">MID(CELL("filename",B1),FIND("]",CELL("filename",B1))+1,255)</f>
        <v>APR-MAY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ROUND(O5+O40+O27+IF(O41&lt;0,0,O41)+O43+O4,2) &amp; " / " &amp; "£" &amp; E45</f>
        <v>£4855.5 / £4978.58</v>
      </c>
      <c r="E3" s="365"/>
      <c r="F3" s="365"/>
      <c r="G3" s="732">
        <v>45194</v>
      </c>
      <c r="H3" s="732"/>
      <c r="I3" s="732">
        <f>G3+7</f>
        <v>45201</v>
      </c>
      <c r="J3" s="732"/>
      <c r="K3" s="732">
        <f>I3+7</f>
        <v>45208</v>
      </c>
      <c r="L3" s="732"/>
      <c r="M3" s="732">
        <f>K3+7</f>
        <v>45215</v>
      </c>
      <c r="N3" s="732"/>
      <c r="O3" s="308">
        <v>0</v>
      </c>
      <c r="P3" s="325" t="s">
        <v>1224</v>
      </c>
      <c r="Q3" s="282"/>
    </row>
    <row r="4" spans="1:20" ht="15" customHeight="1">
      <c r="B4" s="727" t="str">
        <f>_xlfn.CONCAT("Expenses - 50 - ",G45*0.5," / Actual = ",ROUND(D5,2)," (",ROUND((D5/G45)*100,2),")")</f>
        <v>Expenses - 50 - 2489.29 / Actual = 3201.88 (64.31)</v>
      </c>
      <c r="C4" s="727"/>
      <c r="D4" s="727"/>
      <c r="E4" s="727"/>
      <c r="F4" s="318"/>
      <c r="G4" s="243"/>
      <c r="H4" s="304">
        <f>SUM(H5:H43)</f>
        <v>4025.8199999999997</v>
      </c>
      <c r="I4" s="482">
        <f>4025.82-H4</f>
        <v>0</v>
      </c>
      <c r="J4" s="304">
        <f>SUM(J5:J43)</f>
        <v>851.38999999999987</v>
      </c>
      <c r="K4" s="243">
        <f>4877.21-4429.83</f>
        <v>447.38000000000011</v>
      </c>
      <c r="L4" s="304">
        <f>SUM(L5:L43)</f>
        <v>0</v>
      </c>
      <c r="M4" s="243"/>
      <c r="N4" s="304">
        <f>SUM(N5:N43)-SUM(N31:N37)</f>
        <v>0</v>
      </c>
      <c r="O4" s="308">
        <f>IF(H44&lt;&gt;"PAID",H4,0)+IF(J44&lt;&gt;"PAID",J4,0)+IF(L44&lt;&gt;"PAID",L4,0)+IF(N44&lt;&gt;"PAID",N4,0)</f>
        <v>4877.2099999999991</v>
      </c>
      <c r="P4" s="309" t="s">
        <v>973</v>
      </c>
      <c r="Q4" s="408">
        <f>O4+402.34</f>
        <v>5279.5499999999993</v>
      </c>
      <c r="R4" s="243"/>
      <c r="S4" s="243"/>
    </row>
    <row r="5" spans="1:20" ht="15" customHeight="1">
      <c r="B5" s="733" t="str">
        <f>IF(D5&gt;E$45*0.5,ROUND(D5-E$45*0.5,2) &amp; " Over",ROUND(E$45*0.5-D5,2) &amp; " Under")</f>
        <v>712.59 Over</v>
      </c>
      <c r="C5" s="733"/>
      <c r="D5" s="761">
        <f>ROUND(SUM(F6:F24),2)</f>
        <v>3201.88</v>
      </c>
      <c r="E5" s="761"/>
      <c r="F5" s="321"/>
      <c r="G5" s="284"/>
      <c r="H5" s="306"/>
      <c r="I5" s="79"/>
      <c r="J5" s="306"/>
      <c r="K5" s="79"/>
      <c r="L5" s="306"/>
      <c r="M5" s="79"/>
      <c r="N5" s="305"/>
      <c r="O5" s="285">
        <f>SUMIF(O6:O24,"&gt;0")</f>
        <v>46.48</v>
      </c>
      <c r="P5" s="285" t="s">
        <v>892</v>
      </c>
      <c r="Q5" s="282">
        <f>SUM(Q6:Q22)</f>
        <v>13.55060000000001</v>
      </c>
      <c r="R5" s="243"/>
    </row>
    <row r="6" spans="1:20" ht="15" customHeight="1">
      <c r="B6" s="734" t="str">
        <f>"50%: " &amp; E$45*0.5</f>
        <v>50%: 2489.29</v>
      </c>
      <c r="C6" s="734" t="str">
        <f>ROUND((D5/E$45)*100,2) &amp; "%: " &amp;D5</f>
        <v>64.31%: 3201.88</v>
      </c>
      <c r="D6" s="13" t="s">
        <v>805</v>
      </c>
      <c r="E6" s="365">
        <v>0</v>
      </c>
      <c r="F6" s="374">
        <v>150</v>
      </c>
      <c r="H6" s="304">
        <f>30.17+30.36+20.01+20.23+25.38+30.15</f>
        <v>156.30000000000001</v>
      </c>
      <c r="J6" s="305"/>
      <c r="L6" s="305"/>
      <c r="N6" s="305"/>
      <c r="O6" s="274">
        <f>SUM(E6:F6)-SUM(G6:N6)</f>
        <v>-6.3000000000000114</v>
      </c>
      <c r="P6" s="274" t="str">
        <f t="shared" ref="P6:P24" si="0">D6</f>
        <v>Car Petrol / commuting</v>
      </c>
      <c r="Q6" s="282">
        <f t="shared" ref="Q6:Q22" si="1">IF(O6&lt;0,O6*-1,0)</f>
        <v>6.3000000000000114</v>
      </c>
      <c r="R6" s="243"/>
    </row>
    <row r="7" spans="1:20" ht="15" customHeight="1">
      <c r="B7" s="734"/>
      <c r="C7" s="734"/>
      <c r="D7" s="13" t="s">
        <v>169</v>
      </c>
      <c r="E7" s="365">
        <v>0</v>
      </c>
      <c r="F7" s="365">
        <f>400+4.74</f>
        <v>404.74</v>
      </c>
      <c r="G7">
        <f>1.85+1.25</f>
        <v>3.1</v>
      </c>
      <c r="H7" s="304">
        <f>55.13+5.2+21.01+1+3.6+21.87+9.23+22.84+48.77+3.68+3.65+17.78+56.24+33.7+44.45+5.6+23.59</f>
        <v>377.34</v>
      </c>
      <c r="J7" s="305">
        <f>28.92</f>
        <v>28.92</v>
      </c>
      <c r="L7" s="305"/>
      <c r="N7" s="305"/>
      <c r="O7" s="274">
        <f>SUM(E7:F7)-SUM(G7:N7)</f>
        <v>-4.6200000000000045</v>
      </c>
      <c r="P7" s="274" t="str">
        <f t="shared" si="0"/>
        <v>Food</v>
      </c>
      <c r="Q7" s="282">
        <f t="shared" si="1"/>
        <v>4.6200000000000045</v>
      </c>
      <c r="R7" s="243"/>
    </row>
    <row r="8" spans="1:20" ht="15" customHeight="1">
      <c r="B8" s="734"/>
      <c r="C8" s="734"/>
      <c r="D8" s="13" t="s">
        <v>153</v>
      </c>
      <c r="E8" s="365">
        <v>0</v>
      </c>
      <c r="F8" s="365">
        <f>60+11.02-4.74</f>
        <v>66.28</v>
      </c>
      <c r="H8" s="305">
        <f>17.73+22.85</f>
        <v>40.58</v>
      </c>
      <c r="J8" s="305">
        <f>25.7</f>
        <v>25.7</v>
      </c>
      <c r="L8" s="305"/>
      <c r="N8" s="305"/>
      <c r="O8" s="274">
        <f>SUM(E8:F8)-SUM(G8:N8)</f>
        <v>0</v>
      </c>
      <c r="P8" s="274" t="str">
        <f t="shared" si="0"/>
        <v>Luna</v>
      </c>
      <c r="Q8" s="282">
        <f t="shared" si="1"/>
        <v>0</v>
      </c>
    </row>
    <row r="9" spans="1:20" ht="15" customHeight="1">
      <c r="B9" s="734"/>
      <c r="C9" s="734"/>
      <c r="D9" s="13" t="s">
        <v>1079</v>
      </c>
      <c r="E9" s="365">
        <v>0</v>
      </c>
      <c r="F9" s="365">
        <f>40-11.02</f>
        <v>28.98</v>
      </c>
      <c r="H9" s="305">
        <f>12+4.99</f>
        <v>16.990000000000002</v>
      </c>
      <c r="J9" s="305">
        <v>11.99</v>
      </c>
      <c r="L9" s="305"/>
      <c r="N9" s="305"/>
      <c r="O9" s="274">
        <f>SUM(E9:F9)-SUM(G9:N9)</f>
        <v>0</v>
      </c>
      <c r="P9" s="274" t="str">
        <f t="shared" si="0"/>
        <v>Creamy</v>
      </c>
      <c r="Q9" s="282">
        <f t="shared" si="1"/>
        <v>0</v>
      </c>
      <c r="R9" s="243"/>
    </row>
    <row r="10" spans="1:20" ht="15" customHeight="1">
      <c r="B10" s="734"/>
      <c r="C10" s="734"/>
      <c r="D10" s="13" t="s">
        <v>189</v>
      </c>
      <c r="E10" s="780">
        <f>SUM(F11:F24)</f>
        <v>2551.8793999999994</v>
      </c>
      <c r="F10" s="780"/>
      <c r="G10" s="243">
        <f>ROUND(E10-SUM(G11:G24),2)</f>
        <v>42.35</v>
      </c>
      <c r="H10" s="305"/>
      <c r="J10" s="305"/>
      <c r="L10" s="305"/>
      <c r="N10" s="305"/>
      <c r="O10" s="274"/>
      <c r="P10" s="274" t="str">
        <f t="shared" si="0"/>
        <v>Direct debits</v>
      </c>
      <c r="Q10" s="282"/>
      <c r="R10" s="243"/>
    </row>
    <row r="11" spans="1:20" ht="15" customHeight="1" outlineLevel="1">
      <c r="B11" s="734"/>
      <c r="C11" s="734"/>
      <c r="D11" s="201" t="s">
        <v>595</v>
      </c>
      <c r="E11" s="365">
        <v>0</v>
      </c>
      <c r="F11" s="365">
        <v>838</v>
      </c>
      <c r="G11">
        <v>838</v>
      </c>
      <c r="H11" s="304"/>
      <c r="J11" s="305"/>
      <c r="L11" s="305"/>
      <c r="N11" s="305"/>
      <c r="O11" s="274">
        <f t="shared" ref="O11:O16" si="2">SUM(E11:F11)-SUM(G11:N11)</f>
        <v>0</v>
      </c>
      <c r="P11" s="274" t="str">
        <f t="shared" si="0"/>
        <v>Mortgage</v>
      </c>
      <c r="Q11" s="282">
        <f t="shared" si="1"/>
        <v>0</v>
      </c>
      <c r="R11" s="243"/>
      <c r="S11" s="11">
        <f>SUM(O11:O24)</f>
        <v>42.349400000000003</v>
      </c>
    </row>
    <row r="12" spans="1:20" ht="15" customHeight="1" outlineLevel="1">
      <c r="B12" s="734"/>
      <c r="C12" s="734"/>
      <c r="D12" s="201" t="s">
        <v>596</v>
      </c>
      <c r="E12" s="365">
        <v>0</v>
      </c>
      <c r="F12" s="365">
        <v>152.38999999999999</v>
      </c>
      <c r="G12">
        <v>152.38999999999999</v>
      </c>
      <c r="H12" s="305"/>
      <c r="J12" s="305"/>
      <c r="L12" s="305"/>
      <c r="N12" s="305"/>
      <c r="O12" s="274">
        <f t="shared" si="2"/>
        <v>0</v>
      </c>
      <c r="P12" s="274" t="str">
        <f t="shared" si="0"/>
        <v>Council tax</v>
      </c>
      <c r="Q12" s="282">
        <f t="shared" si="1"/>
        <v>0</v>
      </c>
      <c r="S12" s="349">
        <f>S11-S21</f>
        <v>-447.62059999999997</v>
      </c>
    </row>
    <row r="13" spans="1:20" ht="15" customHeight="1" outlineLevel="1">
      <c r="B13" s="734"/>
      <c r="C13" s="734"/>
      <c r="D13" s="201" t="s">
        <v>1002</v>
      </c>
      <c r="E13" s="365">
        <v>0</v>
      </c>
      <c r="F13" s="365">
        <f>34+111.75</f>
        <v>145.75</v>
      </c>
      <c r="G13">
        <f>111.75+34</f>
        <v>145.75</v>
      </c>
      <c r="H13" s="305"/>
      <c r="J13" s="305"/>
      <c r="L13" s="305"/>
      <c r="N13" s="305"/>
      <c r="O13" s="274">
        <f>SUM(E13:F13)-SUM(G13:N13)</f>
        <v>0</v>
      </c>
      <c r="P13" s="274" t="str">
        <f t="shared" si="0"/>
        <v>Utilities (G,W,E,HTB)</v>
      </c>
      <c r="Q13" s="282">
        <f t="shared" si="1"/>
        <v>0</v>
      </c>
    </row>
    <row r="14" spans="1:20" ht="15" customHeight="1" outlineLevel="1">
      <c r="B14" s="734"/>
      <c r="C14" s="734"/>
      <c r="D14" s="201" t="s">
        <v>996</v>
      </c>
      <c r="E14" s="365">
        <v>0</v>
      </c>
      <c r="F14" s="365">
        <v>22.7</v>
      </c>
      <c r="G14">
        <v>22.7</v>
      </c>
      <c r="H14" s="305"/>
      <c r="J14" s="305"/>
      <c r="L14" s="305"/>
      <c r="N14" s="305"/>
      <c r="O14" s="274">
        <f>SUM(E14:F14)-SUM(G14:N14)</f>
        <v>0</v>
      </c>
      <c r="P14" s="274" t="str">
        <f t="shared" si="0"/>
        <v>Home Insurance</v>
      </c>
      <c r="Q14" s="282">
        <f t="shared" si="1"/>
        <v>0</v>
      </c>
    </row>
    <row r="15" spans="1:20" ht="15" customHeight="1" outlineLevel="1">
      <c r="B15" s="734"/>
      <c r="C15" s="734"/>
      <c r="D15" s="201" t="s">
        <v>1056</v>
      </c>
      <c r="E15" s="365">
        <v>0</v>
      </c>
      <c r="F15" s="365">
        <f>8+23.99+17.99</f>
        <v>49.98</v>
      </c>
      <c r="G15">
        <f>17.99+8</f>
        <v>25.99</v>
      </c>
      <c r="H15" s="305"/>
      <c r="J15" s="305"/>
      <c r="L15" s="305"/>
      <c r="N15" s="305"/>
      <c r="O15" s="274">
        <f>SUM(E15:F15)-SUM(G15:N15)</f>
        <v>23.99</v>
      </c>
      <c r="P15" s="274" t="str">
        <f t="shared" si="0"/>
        <v>Pet Health / Insurance</v>
      </c>
      <c r="Q15" s="282">
        <f t="shared" si="1"/>
        <v>0</v>
      </c>
    </row>
    <row r="16" spans="1:20" ht="15" customHeight="1" outlineLevel="1">
      <c r="B16" s="734"/>
      <c r="C16" s="734"/>
      <c r="D16" s="201" t="s">
        <v>1057</v>
      </c>
      <c r="E16" s="365">
        <v>0</v>
      </c>
      <c r="F16" s="365">
        <f>4.52+15.97+30.8</f>
        <v>51.290000000000006</v>
      </c>
      <c r="G16">
        <f>20.49+30.8</f>
        <v>51.29</v>
      </c>
      <c r="H16" s="305"/>
      <c r="I16" s="11"/>
      <c r="J16" s="305"/>
      <c r="L16" s="305"/>
      <c r="N16" s="305"/>
      <c r="O16" s="274">
        <f t="shared" si="2"/>
        <v>0</v>
      </c>
      <c r="P16" s="274" t="str">
        <f t="shared" si="0"/>
        <v>Life / Income Insurance</v>
      </c>
      <c r="Q16" s="282">
        <f t="shared" si="1"/>
        <v>0</v>
      </c>
    </row>
    <row r="17" spans="2:19" ht="15" customHeight="1" outlineLevel="1">
      <c r="B17" s="734"/>
      <c r="C17" s="734"/>
      <c r="D17" s="201" t="s">
        <v>602</v>
      </c>
      <c r="E17" s="365">
        <v>0</v>
      </c>
      <c r="F17" s="365">
        <f>(28.6*1.079)</f>
        <v>30.859400000000001</v>
      </c>
      <c r="G17">
        <f>30.86</f>
        <v>30.86</v>
      </c>
      <c r="H17" s="305"/>
      <c r="J17" s="305"/>
      <c r="L17" s="305"/>
      <c r="N17" s="305"/>
      <c r="O17" s="274">
        <f t="shared" ref="O17:O23" si="3">SUM(E17:F17)-SUM(G17:N17)</f>
        <v>-5.9999999999860165E-4</v>
      </c>
      <c r="P17" s="274" t="str">
        <f t="shared" si="0"/>
        <v>Broadband / TV</v>
      </c>
      <c r="Q17" s="282">
        <f t="shared" si="1"/>
        <v>5.9999999999860165E-4</v>
      </c>
    </row>
    <row r="18" spans="2:19" ht="15" customHeight="1" outlineLevel="1">
      <c r="B18" s="734"/>
      <c r="C18" s="734"/>
      <c r="D18" s="201" t="s">
        <v>582</v>
      </c>
      <c r="E18" s="365">
        <v>0</v>
      </c>
      <c r="F18" s="365">
        <v>7.99</v>
      </c>
      <c r="G18">
        <v>7.99</v>
      </c>
      <c r="H18" s="305"/>
      <c r="J18" s="305"/>
      <c r="L18" s="305"/>
      <c r="N18" s="305"/>
      <c r="O18" s="274">
        <f t="shared" si="3"/>
        <v>0</v>
      </c>
      <c r="P18" s="274" t="str">
        <f t="shared" si="0"/>
        <v>Onedrive (6th)</v>
      </c>
      <c r="Q18" s="282">
        <f t="shared" si="1"/>
        <v>0</v>
      </c>
    </row>
    <row r="19" spans="2:19" ht="15" customHeight="1" outlineLevel="1">
      <c r="B19" s="734"/>
      <c r="C19" s="734"/>
      <c r="D19" s="201" t="s">
        <v>788</v>
      </c>
      <c r="E19" s="365">
        <v>0</v>
      </c>
      <c r="F19" s="365">
        <v>11.6</v>
      </c>
      <c r="G19">
        <v>11.6</v>
      </c>
      <c r="H19" s="305"/>
      <c r="J19" s="305"/>
      <c r="L19" s="305"/>
      <c r="N19" s="305"/>
      <c r="O19" s="274">
        <f t="shared" si="3"/>
        <v>0</v>
      </c>
      <c r="P19" s="274" t="str">
        <f t="shared" si="0"/>
        <v>Matt Phone</v>
      </c>
      <c r="Q19" s="282">
        <f t="shared" si="1"/>
        <v>0</v>
      </c>
    </row>
    <row r="20" spans="2:19" ht="15" customHeight="1" outlineLevel="1">
      <c r="B20" s="734"/>
      <c r="C20" s="734"/>
      <c r="D20" s="201" t="s">
        <v>1279</v>
      </c>
      <c r="E20" s="365">
        <v>0</v>
      </c>
      <c r="F20" s="365">
        <v>232.5</v>
      </c>
      <c r="G20">
        <v>232.5</v>
      </c>
      <c r="H20" s="305"/>
      <c r="J20" s="305"/>
      <c r="L20" s="305"/>
      <c r="N20" s="305"/>
      <c r="O20" s="274">
        <f t="shared" si="3"/>
        <v>0</v>
      </c>
      <c r="P20" s="274" t="str">
        <f t="shared" si="0"/>
        <v>Watch</v>
      </c>
      <c r="Q20" s="282">
        <f t="shared" si="1"/>
        <v>0</v>
      </c>
    </row>
    <row r="21" spans="2:19" ht="15" customHeight="1" outlineLevel="1">
      <c r="B21" s="734"/>
      <c r="C21" s="734"/>
      <c r="D21" s="201" t="s">
        <v>690</v>
      </c>
      <c r="E21" s="365">
        <v>0</v>
      </c>
      <c r="F21" s="365">
        <f>11.81+14.43+270.97+46.69+89.64+468.84</f>
        <v>902.38</v>
      </c>
      <c r="G21">
        <f>46.69+13.12+15.75+89.64+468.84+270.97</f>
        <v>905.01</v>
      </c>
      <c r="H21" s="305"/>
      <c r="J21" s="305"/>
      <c r="L21" s="305"/>
      <c r="N21" s="305"/>
      <c r="O21" s="274">
        <f t="shared" si="3"/>
        <v>-2.6299999999999955</v>
      </c>
      <c r="P21" s="274" t="str">
        <f t="shared" si="0"/>
        <v>Cars</v>
      </c>
      <c r="Q21" s="282">
        <f t="shared" si="1"/>
        <v>2.6299999999999955</v>
      </c>
      <c r="S21">
        <f>468.84+21.13</f>
        <v>489.96999999999997</v>
      </c>
    </row>
    <row r="22" spans="2:19" ht="15" customHeight="1" outlineLevel="1">
      <c r="B22" s="734"/>
      <c r="C22" s="734"/>
      <c r="D22" s="201" t="s">
        <v>944</v>
      </c>
      <c r="E22" s="365">
        <v>0</v>
      </c>
      <c r="F22" s="365">
        <v>15</v>
      </c>
      <c r="G22">
        <v>15</v>
      </c>
      <c r="H22" s="305"/>
      <c r="J22" s="305"/>
      <c r="L22" s="305"/>
      <c r="N22" s="305"/>
      <c r="O22" s="274">
        <f t="shared" si="3"/>
        <v>0</v>
      </c>
      <c r="P22" s="274" t="str">
        <f t="shared" si="0"/>
        <v>Windows</v>
      </c>
      <c r="Q22" s="282">
        <f t="shared" si="1"/>
        <v>0</v>
      </c>
      <c r="R22" s="243"/>
    </row>
    <row r="23" spans="2:19" ht="15" customHeight="1" outlineLevel="1">
      <c r="B23" s="7"/>
      <c r="C23" s="7"/>
      <c r="D23" s="201" t="s">
        <v>604</v>
      </c>
      <c r="E23" s="365">
        <v>0</v>
      </c>
      <c r="F23" s="365">
        <f>22.49</f>
        <v>22.49</v>
      </c>
      <c r="H23" s="305"/>
      <c r="J23" s="305"/>
      <c r="L23" s="305"/>
      <c r="N23" s="305"/>
      <c r="O23" s="274">
        <f t="shared" si="3"/>
        <v>22.49</v>
      </c>
      <c r="P23" s="274" t="str">
        <f t="shared" si="0"/>
        <v>Health</v>
      </c>
      <c r="Q23" s="282"/>
      <c r="R23" s="243"/>
    </row>
    <row r="24" spans="2:19" ht="15" customHeight="1" outlineLevel="1">
      <c r="B24" s="7"/>
      <c r="C24" s="7"/>
      <c r="D24" s="201" t="s">
        <v>781</v>
      </c>
      <c r="E24" s="365">
        <v>0</v>
      </c>
      <c r="F24" s="365">
        <f>13+6.99+0.99+10.99+8.99+25+2.99</f>
        <v>68.95</v>
      </c>
      <c r="G24" s="11">
        <f>2.99+13+10.99+1.49+25+7.99+8.99</f>
        <v>70.45</v>
      </c>
      <c r="H24" s="305"/>
      <c r="J24" s="305"/>
      <c r="L24" s="305"/>
      <c r="N24" s="305"/>
      <c r="O24" s="274">
        <f t="shared" ref="O24" si="4">SUM(E24:F24)-SUM(G24:N24)</f>
        <v>-1.5</v>
      </c>
      <c r="P24" s="274" t="str">
        <f t="shared" si="0"/>
        <v>Subscriptions</v>
      </c>
      <c r="Q24" s="282"/>
      <c r="R24" s="243"/>
    </row>
    <row r="25" spans="2:19" ht="15" customHeight="1">
      <c r="B25" s="118"/>
      <c r="C25" s="118"/>
      <c r="D25" s="188"/>
      <c r="E25" s="365"/>
      <c r="F25" s="365"/>
      <c r="H25" s="305"/>
      <c r="J25" s="305"/>
      <c r="L25" s="305"/>
      <c r="N25" s="305"/>
      <c r="O25" s="273"/>
      <c r="P25" s="273"/>
      <c r="Q25" s="282"/>
    </row>
    <row r="26" spans="2:19" ht="15" customHeight="1">
      <c r="B26" s="736" t="str">
        <f>_xlfn.CONCAT("Savings - 20 - ",G45*0.2," / Actual = ",D27," (",ROUND((D27/G45)*100,2),")")</f>
        <v>Savings - 20 - 995.716 / Actual = 863.17 (17.34)</v>
      </c>
      <c r="C26" s="736"/>
      <c r="D26" s="736"/>
      <c r="E26" s="736"/>
      <c r="F26" s="320"/>
      <c r="H26" s="305"/>
      <c r="J26" s="305"/>
      <c r="L26" s="305"/>
      <c r="N26" s="305"/>
      <c r="O26" s="274"/>
      <c r="P26" s="274"/>
      <c r="Q26" s="282"/>
    </row>
    <row r="27" spans="2:19" ht="15" customHeight="1">
      <c r="B27" s="727" t="str">
        <f>IF(ISNUMBER((SEARCH("Over",C$5))),"Operating under budget","Operating over budget")</f>
        <v>Operating over budget</v>
      </c>
      <c r="C27" s="727"/>
      <c r="D27" s="759">
        <f>F28</f>
        <v>863.17000000000007</v>
      </c>
      <c r="E27" s="759"/>
      <c r="F27" s="319"/>
      <c r="H27" s="305"/>
      <c r="J27" s="305"/>
      <c r="L27" s="305"/>
      <c r="N27" s="305"/>
      <c r="O27" s="285">
        <f>0</f>
        <v>0</v>
      </c>
      <c r="P27" s="285" t="s">
        <v>895</v>
      </c>
      <c r="Q27" s="282">
        <f>SUM(Q28:Q28)</f>
        <v>0</v>
      </c>
    </row>
    <row r="28" spans="2:19" ht="15" customHeight="1" outlineLevel="1">
      <c r="B28" s="7" t="str">
        <f>"20% : " &amp; E$45*0.2</f>
        <v>20% : 995.716</v>
      </c>
      <c r="C28" s="7" t="str">
        <f>"20% : " &amp; E$45*0.2</f>
        <v>20% : 995.716</v>
      </c>
      <c r="D28" s="300" t="s">
        <v>183</v>
      </c>
      <c r="E28" s="365">
        <v>0</v>
      </c>
      <c r="F28" s="365">
        <f>SUM(F29:F37)</f>
        <v>863.17000000000007</v>
      </c>
      <c r="H28" s="305"/>
      <c r="J28" s="305"/>
      <c r="L28" s="305"/>
      <c r="N28" s="305"/>
      <c r="O28" s="274">
        <f>SUM(O29:O37)</f>
        <v>-447.22060000000022</v>
      </c>
      <c r="P28" s="274" t="str">
        <f t="shared" ref="P28:P37" si="5">D28</f>
        <v>Savings</v>
      </c>
      <c r="Q28" s="282">
        <v>0</v>
      </c>
      <c r="S28" s="243"/>
    </row>
    <row r="29" spans="2:19" ht="15" customHeight="1" outlineLevel="1">
      <c r="B29" s="7"/>
      <c r="C29" s="7"/>
      <c r="D29" s="300" t="s">
        <v>1279</v>
      </c>
      <c r="E29" s="365">
        <v>0</v>
      </c>
      <c r="F29" s="365">
        <v>-232.5</v>
      </c>
      <c r="H29" s="305"/>
      <c r="J29" s="305"/>
      <c r="L29" s="305"/>
      <c r="N29" s="305"/>
      <c r="O29" s="274">
        <f>SUM(E29:F29)-SUM(G29:N29)</f>
        <v>-232.5</v>
      </c>
      <c r="P29" s="274" t="str">
        <f t="shared" si="5"/>
        <v>Watch</v>
      </c>
      <c r="Q29" s="282"/>
      <c r="S29" s="243"/>
    </row>
    <row r="30" spans="2:19" ht="15" customHeight="1" outlineLevel="1">
      <c r="B30" s="7"/>
      <c r="C30" s="7"/>
      <c r="D30" s="300" t="s">
        <v>1015</v>
      </c>
      <c r="E30" s="365">
        <v>0</v>
      </c>
      <c r="F30" s="365">
        <v>-468</v>
      </c>
      <c r="H30" s="305"/>
      <c r="J30" s="305"/>
      <c r="L30" s="315"/>
      <c r="N30" s="305"/>
      <c r="O30" s="274">
        <f>SUM(E30:F30)-SUM(G30:N30)</f>
        <v>-468</v>
      </c>
      <c r="P30" s="274" t="str">
        <f>D30</f>
        <v>Tesco</v>
      </c>
      <c r="Q30" s="282"/>
      <c r="R30" s="243"/>
    </row>
    <row r="31" spans="2:19" ht="15" customHeight="1" outlineLevel="1">
      <c r="B31" s="7"/>
      <c r="C31" s="7"/>
      <c r="D31" s="300" t="s">
        <v>1485</v>
      </c>
      <c r="E31" s="365">
        <v>0</v>
      </c>
      <c r="F31" s="365">
        <v>40</v>
      </c>
      <c r="H31" s="305"/>
      <c r="J31" s="305"/>
      <c r="L31" s="362"/>
      <c r="N31" s="315"/>
      <c r="O31" s="274">
        <f>SUM(E31:F31)-SUM(G31:N31)</f>
        <v>40</v>
      </c>
      <c r="P31" s="274" t="str">
        <f t="shared" si="5"/>
        <v>MOT / Service</v>
      </c>
      <c r="Q31" s="282"/>
      <c r="R31" s="243"/>
    </row>
    <row r="32" spans="2:19" ht="15" customHeight="1" outlineLevel="1">
      <c r="B32" s="7"/>
      <c r="C32" s="7"/>
      <c r="D32" s="300" t="s">
        <v>772</v>
      </c>
      <c r="E32" s="365">
        <v>0</v>
      </c>
      <c r="F32" s="365">
        <v>0</v>
      </c>
      <c r="H32" s="305"/>
      <c r="J32" s="305"/>
      <c r="L32" s="362"/>
      <c r="N32" s="315"/>
      <c r="O32" s="274">
        <f>SUM(E32:F32)-SUM(G32:N32)</f>
        <v>0</v>
      </c>
      <c r="P32" s="274" t="str">
        <f t="shared" si="5"/>
        <v>Home</v>
      </c>
      <c r="Q32" s="282"/>
      <c r="R32" s="243"/>
    </row>
    <row r="33" spans="2:20" ht="15" customHeight="1" outlineLevel="1">
      <c r="B33" s="7"/>
      <c r="C33" s="7"/>
      <c r="D33" s="300" t="s">
        <v>590</v>
      </c>
      <c r="E33" s="365">
        <v>0</v>
      </c>
      <c r="F33" s="365">
        <v>165</v>
      </c>
      <c r="G33">
        <v>0.6</v>
      </c>
      <c r="H33" s="305">
        <f>4+29.99+9.18+2.75+46.94</f>
        <v>92.859999999999985</v>
      </c>
      <c r="J33" s="305">
        <f>282.5+9.65+23.48+260+14.24+1.79</f>
        <v>591.66</v>
      </c>
      <c r="L33" s="362"/>
      <c r="N33" s="315"/>
      <c r="O33" s="274">
        <f>SUM(E33:F33)-SUM(G33:N33)-Q45</f>
        <v>-702.12060000000031</v>
      </c>
      <c r="P33" s="274" t="str">
        <f t="shared" si="5"/>
        <v>Contingency</v>
      </c>
      <c r="Q33" s="282"/>
      <c r="T33" s="243"/>
    </row>
    <row r="34" spans="2:20" ht="15" customHeight="1" outlineLevel="1">
      <c r="B34" s="7"/>
      <c r="C34" s="7"/>
      <c r="D34" s="300" t="s">
        <v>1486</v>
      </c>
      <c r="E34" s="365">
        <v>0</v>
      </c>
      <c r="F34" s="365">
        <v>13.67</v>
      </c>
      <c r="G34">
        <v>43.64</v>
      </c>
      <c r="H34" s="305"/>
      <c r="J34" s="305"/>
      <c r="L34" s="362"/>
      <c r="N34" s="315"/>
      <c r="O34" s="274">
        <f t="shared" ref="O34:O37" si="6">SUM(E34:F34)-SUM(G34:N34)</f>
        <v>-29.97</v>
      </c>
      <c r="P34" s="274" t="str">
        <f t="shared" si="5"/>
        <v>TV</v>
      </c>
      <c r="Q34" s="282"/>
    </row>
    <row r="35" spans="2:20" ht="15" customHeight="1" outlineLevel="1">
      <c r="B35" s="7"/>
      <c r="C35" s="7"/>
      <c r="D35" s="300" t="s">
        <v>1296</v>
      </c>
      <c r="E35" s="365">
        <v>0</v>
      </c>
      <c r="F35" s="365">
        <f>15+80</f>
        <v>95</v>
      </c>
      <c r="H35" s="305"/>
      <c r="J35" s="305"/>
      <c r="L35" s="362"/>
      <c r="N35" s="315"/>
      <c r="O35" s="274">
        <f t="shared" si="6"/>
        <v>95</v>
      </c>
      <c r="P35" s="274" t="str">
        <f t="shared" si="5"/>
        <v>Offset</v>
      </c>
      <c r="Q35" s="282"/>
    </row>
    <row r="36" spans="2:20" ht="15" customHeight="1" outlineLevel="1">
      <c r="B36" s="7"/>
      <c r="C36" s="7"/>
      <c r="D36" s="300" t="s">
        <v>354</v>
      </c>
      <c r="E36" s="365">
        <v>0</v>
      </c>
      <c r="F36" s="365">
        <f>750+250</f>
        <v>1000</v>
      </c>
      <c r="H36" s="305"/>
      <c r="J36" s="305"/>
      <c r="L36" s="362"/>
      <c r="N36" s="315"/>
      <c r="O36" s="274">
        <f t="shared" si="6"/>
        <v>1000</v>
      </c>
      <c r="P36" s="274" t="str">
        <f t="shared" si="5"/>
        <v>Holiday</v>
      </c>
      <c r="Q36" s="282"/>
    </row>
    <row r="37" spans="2:20" ht="15" customHeight="1" outlineLevel="1">
      <c r="B37" s="7"/>
      <c r="C37" s="7"/>
      <c r="D37" s="300" t="s">
        <v>701</v>
      </c>
      <c r="E37" s="365">
        <v>0</v>
      </c>
      <c r="F37" s="365">
        <f>250</f>
        <v>250</v>
      </c>
      <c r="G37">
        <v>60</v>
      </c>
      <c r="H37" s="305">
        <f>11.6+130+26.98+118.96+52.09</f>
        <v>339.63</v>
      </c>
      <c r="J37" s="305"/>
      <c r="L37" s="362"/>
      <c r="N37" s="315"/>
      <c r="O37" s="274">
        <f t="shared" si="6"/>
        <v>-149.63</v>
      </c>
      <c r="P37" s="274" t="str">
        <f t="shared" si="5"/>
        <v>Gift</v>
      </c>
      <c r="Q37" s="282"/>
    </row>
    <row r="38" spans="2:20" ht="15" customHeight="1">
      <c r="B38" s="118"/>
      <c r="C38" s="118"/>
      <c r="E38" s="365"/>
      <c r="F38" s="365"/>
      <c r="H38" s="305"/>
      <c r="J38" s="305"/>
      <c r="L38" s="305"/>
      <c r="N38" s="305"/>
      <c r="O38" s="273"/>
      <c r="P38" s="273"/>
      <c r="Q38" s="282"/>
      <c r="R38" s="243"/>
    </row>
    <row r="39" spans="2:20" ht="15" customHeight="1">
      <c r="B39" s="727" t="str">
        <f>_xlfn.CONCAT("Wants - 30 - ",G45*0.3," / Actual = ",D40," (",ROUND((D40/G45)*100,2),")")</f>
        <v>Wants - 30 - 1493.574 / Actual = 913.53 (18.35)</v>
      </c>
      <c r="C39" s="727"/>
      <c r="D39" s="727"/>
      <c r="E39" s="727"/>
      <c r="F39" s="318"/>
      <c r="H39" s="305"/>
      <c r="J39" s="305"/>
      <c r="L39" s="305"/>
      <c r="N39" s="305"/>
      <c r="O39" s="273"/>
      <c r="P39" s="273"/>
      <c r="Q39" s="282"/>
      <c r="S39" s="243"/>
    </row>
    <row r="40" spans="2:20" ht="15" customHeight="1">
      <c r="B40" s="727" t="str">
        <f>IF(ISNUMBER((SEARCH("Over",B$5))),"Operating under budget","Operating over budget")</f>
        <v>Operating under budget</v>
      </c>
      <c r="C40" s="727"/>
      <c r="D40" s="759">
        <f>(E$45-D5-D27-E44)</f>
        <v>913.52999999999975</v>
      </c>
      <c r="E40" s="727"/>
      <c r="F40" s="319">
        <f>F41</f>
        <v>396.9499999999997</v>
      </c>
      <c r="H40" s="305"/>
      <c r="J40" s="305"/>
      <c r="L40" s="305"/>
      <c r="N40" s="305"/>
      <c r="O40" s="285">
        <f>0</f>
        <v>0</v>
      </c>
      <c r="P40" s="285" t="s">
        <v>899</v>
      </c>
      <c r="Q40" s="282">
        <f>SUM(Q41:Q41)</f>
        <v>168.45000000000039</v>
      </c>
      <c r="S40" s="243"/>
    </row>
    <row r="41" spans="2:20" ht="18" outlineLevel="1">
      <c r="B41" s="7"/>
      <c r="C41" s="284"/>
      <c r="D41" s="13" t="s">
        <v>922</v>
      </c>
      <c r="E41" s="365">
        <v>0</v>
      </c>
      <c r="F41" s="365">
        <f>D40-F43</f>
        <v>396.9499999999997</v>
      </c>
      <c r="G41" s="11">
        <v>21.99</v>
      </c>
      <c r="H41">
        <f>40.8+19.95+5.23+42.47+68.99+26.58+2.46+65.97+8.21+6.14+(59.98/2)+15+11.1+7.99+50+36.24+15+22.49</f>
        <v>474.61</v>
      </c>
      <c r="J41" s="305">
        <f>2.85+16+5+5.5+6.5+13.85+11.1+8</f>
        <v>68.800000000000011</v>
      </c>
      <c r="N41" s="305"/>
      <c r="O41" s="274">
        <f>SUM(E41:F41)-SUM(G41:N41)</f>
        <v>-168.45000000000039</v>
      </c>
      <c r="P41" s="274" t="str">
        <f t="shared" ref="P41:P43" si="7">D41</f>
        <v>Matt Fun</v>
      </c>
      <c r="Q41" s="282">
        <f>IF(SUM(E41:F41)-SUM(G41:N41)&lt;=0,(SUM(E41:F41)-SUM(G41:N41))*-1,0)</f>
        <v>168.45000000000039</v>
      </c>
    </row>
    <row r="42" spans="2:20" ht="18" outlineLevel="1">
      <c r="B42" s="7"/>
      <c r="C42" s="284"/>
      <c r="D42" s="13" t="s">
        <v>1641</v>
      </c>
      <c r="E42" s="365">
        <v>0</v>
      </c>
      <c r="F42" s="365">
        <v>0</v>
      </c>
      <c r="G42" s="11"/>
      <c r="H42" s="306">
        <f>10+18.13+57.71+36.83+101.01+78.19+107.72+10.6+121.15+49.33+623.42+829.58+6.29+5.2</f>
        <v>2055.16</v>
      </c>
      <c r="J42" s="305">
        <f>11.9</f>
        <v>11.9</v>
      </c>
      <c r="N42" s="305"/>
      <c r="O42" s="274">
        <f>SUM(E42:F42)-SUM(G42:N42)</f>
        <v>-2067.06</v>
      </c>
      <c r="P42" s="274" t="str">
        <f t="shared" si="7"/>
        <v>Work</v>
      </c>
      <c r="Q42" s="282">
        <f>IF(SUM(E42:F42)-SUM(G42:N42)&lt;=0,(SUM(E42:F42)-SUM(G42:N42))*-1,0)</f>
        <v>2067.06</v>
      </c>
    </row>
    <row r="43" spans="2:20" ht="18" outlineLevel="1">
      <c r="B43" s="7"/>
      <c r="C43" s="284"/>
      <c r="D43" s="13" t="s">
        <v>152</v>
      </c>
      <c r="E43" s="365">
        <v>0</v>
      </c>
      <c r="F43" s="365">
        <f>(24.93+46.8+59+83.95+64.4+30+50+70+87.5)</f>
        <v>516.58000000000004</v>
      </c>
      <c r="G43" s="11"/>
      <c r="H43" s="306">
        <f>(118-59)+59.98-63.03+138.45+46.8+111.4+29.24+71.98+(59.98/2)+166.89-50-130-29.99-76.02-54.5+72.16+90</f>
        <v>472.35</v>
      </c>
      <c r="J43" s="305">
        <f>24.92+87.5</f>
        <v>112.42</v>
      </c>
      <c r="L43" s="305"/>
      <c r="N43" s="305"/>
      <c r="O43" s="274">
        <f>SUM(E43:F43)-SUM(G43:N43)</f>
        <v>-68.189999999999941</v>
      </c>
      <c r="P43" s="274" t="str">
        <f t="shared" si="7"/>
        <v>Kris</v>
      </c>
      <c r="Q43" s="271">
        <f>IF(F43-SUM(G43:N43)&lt;=0,(F43-SUM(G43:N43))*-1,0)</f>
        <v>68.189999999999941</v>
      </c>
    </row>
    <row r="44" spans="2:20">
      <c r="B44" s="118"/>
      <c r="C44" s="118"/>
      <c r="E44" s="365">
        <f>E28</f>
        <v>0</v>
      </c>
      <c r="F44" s="365"/>
      <c r="G44" s="349"/>
      <c r="J44" s="7"/>
      <c r="L44" s="7"/>
      <c r="N44" s="7"/>
      <c r="O44" s="273"/>
      <c r="P44" s="273"/>
      <c r="Q44" s="282"/>
    </row>
    <row r="45" spans="2:20" ht="18">
      <c r="B45" s="728" t="s">
        <v>817</v>
      </c>
      <c r="C45" s="728"/>
      <c r="D45" s="728"/>
      <c r="E45" s="375">
        <f>G45+I45+K45+M45+N45+E44</f>
        <v>4978.58</v>
      </c>
      <c r="F45" s="379"/>
      <c r="G45" s="271">
        <f>3612+850+(24.93+46.8+59+83.95+64.4+30+50+70+87.5)</f>
        <v>4978.58</v>
      </c>
      <c r="H45" s="282"/>
      <c r="I45" s="271"/>
      <c r="J45" s="271"/>
      <c r="K45" s="271"/>
      <c r="L45" s="271"/>
      <c r="M45" s="271"/>
      <c r="N45" s="271"/>
      <c r="O45" s="314">
        <f>ROUND(O5+O40+O27+IF(O41&lt;0,0,O41)+O43+O4,2)</f>
        <v>4855.5</v>
      </c>
      <c r="P45" s="274"/>
      <c r="Q45" s="282">
        <f>SUM(Q40,Q27,Q5)</f>
        <v>182.00060000000039</v>
      </c>
    </row>
    <row r="46" spans="2:20" ht="18">
      <c r="B46" s="118"/>
      <c r="C46" s="7"/>
      <c r="D46" s="13" t="s">
        <v>1451</v>
      </c>
      <c r="E46" s="365"/>
      <c r="F46" s="365"/>
      <c r="G46" s="384"/>
      <c r="H46" s="243"/>
      <c r="L46" s="243"/>
    </row>
    <row r="47" spans="2:20" ht="14.4">
      <c r="B47" s="729"/>
      <c r="C47" s="729"/>
      <c r="D47" s="729"/>
      <c r="E47" s="729"/>
      <c r="F47" s="729"/>
      <c r="G47" s="729"/>
      <c r="H47" s="297"/>
      <c r="K47" s="729"/>
      <c r="L47" s="729"/>
      <c r="M47" s="729"/>
      <c r="N47" s="729"/>
      <c r="O47" s="729"/>
      <c r="P47" s="297"/>
    </row>
    <row r="48" spans="2:20" ht="15" customHeight="1">
      <c r="B48" s="726" t="s">
        <v>955</v>
      </c>
      <c r="C48" s="726"/>
      <c r="D48" s="726"/>
      <c r="E48" s="726"/>
      <c r="F48" s="348"/>
      <c r="H48" s="243">
        <v>130</v>
      </c>
      <c r="K48" s="212"/>
      <c r="L48" s="212"/>
      <c r="M48" s="243">
        <f>O43+H50</f>
        <v>121.79000000000005</v>
      </c>
      <c r="N48" s="118" t="s">
        <v>1508</v>
      </c>
      <c r="O48" s="316">
        <v>45277</v>
      </c>
      <c r="P48" s="7">
        <f ca="1">DATEDIF(O48,NOW(),"d")</f>
        <v>974</v>
      </c>
      <c r="Q48">
        <v>270</v>
      </c>
      <c r="R48" t="s">
        <v>1500</v>
      </c>
    </row>
    <row r="49" spans="2:18">
      <c r="B49" s="365"/>
      <c r="C49" s="38"/>
      <c r="E49" s="267">
        <f>H42+J42+E78</f>
        <v>4752.9799999999996</v>
      </c>
      <c r="F49" s="11"/>
      <c r="G49" s="367" t="s">
        <v>1740</v>
      </c>
      <c r="H49">
        <f>71.98+29.24+80</f>
        <v>181.22</v>
      </c>
      <c r="I49" s="243"/>
      <c r="K49" s="11"/>
      <c r="L49" s="243"/>
      <c r="N49" s="483" t="s">
        <v>1742</v>
      </c>
      <c r="O49" s="42">
        <v>45432</v>
      </c>
      <c r="P49" s="7">
        <f ca="1">DATEDIF(O49,NOW(),"d")</f>
        <v>819</v>
      </c>
      <c r="Q49">
        <v>52</v>
      </c>
      <c r="R49" t="s">
        <v>1743</v>
      </c>
    </row>
    <row r="50" spans="2:18">
      <c r="E50" s="267">
        <f>2610.92-E49</f>
        <v>-2142.0599999999995</v>
      </c>
      <c r="F50" s="457"/>
      <c r="G50" s="445" t="s">
        <v>612</v>
      </c>
      <c r="H50" s="243">
        <f>59.98+50+80</f>
        <v>189.98</v>
      </c>
      <c r="J50" s="243"/>
      <c r="L50" s="243"/>
      <c r="N50" s="358" t="s">
        <v>1744</v>
      </c>
      <c r="O50" s="316">
        <v>45432</v>
      </c>
      <c r="P50" s="7">
        <f ca="1">DATEDIF(O50,NOW(),"d")</f>
        <v>819</v>
      </c>
      <c r="Q50">
        <v>87.5</v>
      </c>
      <c r="R50" t="s">
        <v>1745</v>
      </c>
    </row>
    <row r="51" spans="2:18" ht="16.2" customHeight="1">
      <c r="F51" s="457"/>
      <c r="G51" s="458"/>
      <c r="H51" s="243"/>
      <c r="I51" s="243"/>
      <c r="J51" s="213"/>
      <c r="K51" s="213"/>
      <c r="L51" s="243"/>
      <c r="O51" s="316"/>
    </row>
    <row r="52" spans="2:18">
      <c r="B52" s="378"/>
      <c r="D52">
        <f>276.35</f>
        <v>276.35000000000002</v>
      </c>
      <c r="F52" s="278"/>
      <c r="G52" s="243"/>
      <c r="J52" s="243"/>
      <c r="L52" s="243"/>
      <c r="P52" s="56"/>
    </row>
    <row r="53" spans="2:18">
      <c r="D53">
        <f>306.35</f>
        <v>306.35000000000002</v>
      </c>
      <c r="F53" s="451"/>
      <c r="H53" s="369"/>
      <c r="J53" s="243"/>
      <c r="K53" s="369"/>
      <c r="L53" s="243"/>
      <c r="N53" s="243"/>
      <c r="P53"/>
    </row>
    <row r="54" spans="2:18">
      <c r="D54">
        <f>D53-D52</f>
        <v>30</v>
      </c>
      <c r="F54" s="451"/>
      <c r="G54" s="734" t="s">
        <v>1534</v>
      </c>
      <c r="H54" s="734"/>
      <c r="I54" t="s">
        <v>1619</v>
      </c>
      <c r="K54" s="369"/>
      <c r="L54" s="243"/>
      <c r="M54" s="243"/>
      <c r="P54" s="212"/>
      <c r="Q54" s="212"/>
    </row>
    <row r="55" spans="2:18" ht="15" customHeight="1">
      <c r="D55">
        <v>21.81</v>
      </c>
      <c r="F55"/>
      <c r="G55" s="465" t="s">
        <v>360</v>
      </c>
      <c r="H55" s="466" t="s">
        <v>1575</v>
      </c>
      <c r="K55" s="353"/>
      <c r="L55" s="243"/>
      <c r="M55" s="243"/>
      <c r="P55" s="56"/>
      <c r="Q55" s="38"/>
    </row>
    <row r="56" spans="2:18">
      <c r="F56"/>
      <c r="G56" s="465" t="s">
        <v>1576</v>
      </c>
      <c r="H56" s="465" t="s">
        <v>1575</v>
      </c>
      <c r="I56" s="726"/>
      <c r="J56" s="726"/>
      <c r="L56" s="243"/>
      <c r="O56"/>
      <c r="P56"/>
    </row>
    <row r="57" spans="2:18" ht="15" customHeight="1">
      <c r="F57"/>
      <c r="G57" s="465" t="s">
        <v>597</v>
      </c>
      <c r="H57" s="466" t="s">
        <v>1575</v>
      </c>
      <c r="L57" s="243"/>
      <c r="O57"/>
      <c r="P57"/>
    </row>
    <row r="58" spans="2:18">
      <c r="E58" s="446"/>
      <c r="F58"/>
      <c r="G58" s="467" t="s">
        <v>1582</v>
      </c>
      <c r="H58" s="467" t="s">
        <v>1583</v>
      </c>
      <c r="I58" s="467" t="s">
        <v>1584</v>
      </c>
      <c r="K58" t="s">
        <v>1586</v>
      </c>
      <c r="L58" s="243"/>
      <c r="O58"/>
      <c r="P58"/>
    </row>
    <row r="59" spans="2:18">
      <c r="B59" s="11"/>
      <c r="E59" s="405"/>
      <c r="G59" s="467" t="s">
        <v>1585</v>
      </c>
      <c r="H59" s="468" t="s">
        <v>1583</v>
      </c>
      <c r="I59" s="469" t="s">
        <v>1588</v>
      </c>
      <c r="J59" s="470" t="s">
        <v>595</v>
      </c>
      <c r="K59" s="475" t="s">
        <v>1594</v>
      </c>
      <c r="O59"/>
      <c r="P59"/>
    </row>
    <row r="60" spans="2:18">
      <c r="B60" s="11"/>
      <c r="E60" s="118"/>
      <c r="G60" s="467" t="s">
        <v>705</v>
      </c>
      <c r="H60" s="467" t="s">
        <v>1583</v>
      </c>
      <c r="I60" s="467" t="s">
        <v>1595</v>
      </c>
      <c r="J60" s="79" t="s">
        <v>1589</v>
      </c>
      <c r="O60"/>
      <c r="P60"/>
    </row>
    <row r="61" spans="2:18">
      <c r="E61" s="405"/>
      <c r="G61" s="467" t="s">
        <v>1596</v>
      </c>
      <c r="H61" s="467" t="s">
        <v>1597</v>
      </c>
      <c r="I61" s="467" t="s">
        <v>1598</v>
      </c>
      <c r="J61" s="390" t="s">
        <v>1363</v>
      </c>
      <c r="L61" s="243"/>
      <c r="M61" s="243"/>
      <c r="O61"/>
      <c r="P61"/>
    </row>
    <row r="62" spans="2:18">
      <c r="B62" s="212"/>
      <c r="C62" s="212"/>
      <c r="E62" s="405"/>
      <c r="F62" s="384"/>
      <c r="G62" s="472" t="s">
        <v>1599</v>
      </c>
      <c r="H62" s="467" t="s">
        <v>56</v>
      </c>
      <c r="I62" s="467" t="s">
        <v>1600</v>
      </c>
      <c r="J62" s="470" t="s">
        <v>1591</v>
      </c>
      <c r="K62" s="467" t="s">
        <v>1592</v>
      </c>
      <c r="O62"/>
      <c r="P62"/>
    </row>
    <row r="63" spans="2:18" ht="14.4">
      <c r="C63" s="56"/>
      <c r="E63" s="405"/>
      <c r="F63"/>
      <c r="G63" s="467" t="s">
        <v>1601</v>
      </c>
      <c r="H63" s="467" t="s">
        <v>56</v>
      </c>
      <c r="I63" s="467" t="s">
        <v>1613</v>
      </c>
      <c r="J63" s="79"/>
      <c r="K63" s="118"/>
      <c r="O63"/>
      <c r="P63"/>
    </row>
    <row r="64" spans="2:18" ht="15.75" customHeight="1">
      <c r="C64" s="56"/>
      <c r="E64" s="405"/>
      <c r="F64"/>
      <c r="G64" s="467" t="s">
        <v>1602</v>
      </c>
      <c r="H64" s="467" t="s">
        <v>56</v>
      </c>
      <c r="I64" s="467" t="s">
        <v>1614</v>
      </c>
      <c r="M64" s="243"/>
      <c r="O64"/>
      <c r="P64"/>
    </row>
    <row r="65" spans="2:16" ht="14.4">
      <c r="C65" s="56"/>
      <c r="E65"/>
      <c r="F65"/>
      <c r="G65" s="467" t="s">
        <v>1603</v>
      </c>
      <c r="H65" s="467" t="s">
        <v>56</v>
      </c>
      <c r="I65" s="467" t="s">
        <v>1615</v>
      </c>
      <c r="M65" s="243"/>
      <c r="O65"/>
      <c r="P65" s="771"/>
    </row>
    <row r="66" spans="2:16" ht="14.4">
      <c r="C66" s="56"/>
      <c r="D66" s="79"/>
      <c r="E66"/>
      <c r="F66" s="79"/>
      <c r="G66" s="467" t="s">
        <v>1604</v>
      </c>
      <c r="H66" s="467" t="s">
        <v>56</v>
      </c>
      <c r="I66" s="467" t="s">
        <v>1616</v>
      </c>
      <c r="O66"/>
      <c r="P66" s="771"/>
    </row>
    <row r="67" spans="2:16" ht="14.4">
      <c r="C67" s="56"/>
      <c r="E67"/>
      <c r="F67"/>
      <c r="G67" s="467" t="s">
        <v>1604</v>
      </c>
      <c r="H67" s="467" t="s">
        <v>56</v>
      </c>
      <c r="I67" s="407" t="s">
        <v>1616</v>
      </c>
      <c r="M67" s="243"/>
      <c r="O67"/>
      <c r="P67" s="771"/>
    </row>
    <row r="68" spans="2:16" ht="14.4">
      <c r="C68" s="56"/>
      <c r="E68" s="407"/>
      <c r="F68"/>
      <c r="G68" s="407" t="s">
        <v>1605</v>
      </c>
      <c r="H68" s="467" t="s">
        <v>56</v>
      </c>
      <c r="I68" s="467" t="s">
        <v>1600</v>
      </c>
      <c r="O68"/>
      <c r="P68" s="771"/>
    </row>
    <row r="69" spans="2:16" ht="14.4">
      <c r="C69" s="56"/>
      <c r="E69"/>
      <c r="F69"/>
      <c r="G69" s="467" t="s">
        <v>1606</v>
      </c>
      <c r="J69" s="243"/>
      <c r="O69"/>
      <c r="P69"/>
    </row>
    <row r="70" spans="2:16">
      <c r="C70" s="56"/>
      <c r="E70" s="347"/>
      <c r="F70" s="456"/>
      <c r="G70" s="473" t="s">
        <v>1607</v>
      </c>
      <c r="H70" s="448" t="s">
        <v>1575</v>
      </c>
      <c r="I70" s="448"/>
      <c r="J70" s="243"/>
      <c r="O70"/>
      <c r="P70"/>
    </row>
    <row r="71" spans="2:16" ht="14.4">
      <c r="C71" s="56"/>
      <c r="E71" s="332"/>
      <c r="F71"/>
      <c r="G71" s="312" t="s">
        <v>1608</v>
      </c>
      <c r="H71" s="312"/>
      <c r="I71" s="312" t="s">
        <v>1617</v>
      </c>
      <c r="O71"/>
      <c r="P71" s="771"/>
    </row>
    <row r="72" spans="2:16" ht="14.4">
      <c r="C72" s="56"/>
      <c r="E72" s="407"/>
      <c r="F72"/>
      <c r="G72" s="448" t="s">
        <v>595</v>
      </c>
      <c r="H72" s="448" t="s">
        <v>1575</v>
      </c>
      <c r="I72" s="448" t="s">
        <v>1618</v>
      </c>
      <c r="J72" s="243"/>
      <c r="O72"/>
      <c r="P72" s="771"/>
    </row>
    <row r="73" spans="2:16" ht="15.45" customHeight="1">
      <c r="C73" s="56"/>
      <c r="D73" s="726" t="s">
        <v>1750</v>
      </c>
      <c r="E73" s="726"/>
      <c r="F73" s="79"/>
      <c r="G73" s="448" t="s">
        <v>1609</v>
      </c>
      <c r="H73" s="474">
        <v>45407</v>
      </c>
      <c r="I73" s="448" t="s">
        <v>1600</v>
      </c>
      <c r="O73"/>
      <c r="P73" s="771"/>
    </row>
    <row r="74" spans="2:16" ht="14.4">
      <c r="D74" s="459" t="s">
        <v>1540</v>
      </c>
      <c r="E74" s="243">
        <f>724/2</f>
        <v>362</v>
      </c>
      <c r="F74"/>
      <c r="G74" s="467" t="s">
        <v>181</v>
      </c>
      <c r="I74" t="s">
        <v>1600</v>
      </c>
      <c r="O74"/>
      <c r="P74" s="771"/>
    </row>
    <row r="75" spans="2:16" ht="14.4">
      <c r="B75" s="212"/>
      <c r="C75" s="294"/>
      <c r="D75" s="188" t="s">
        <v>1536</v>
      </c>
      <c r="E75">
        <v>250</v>
      </c>
      <c r="F75"/>
      <c r="G75" s="407" t="s">
        <v>1610</v>
      </c>
      <c r="O75"/>
      <c r="P75"/>
    </row>
    <row r="76" spans="2:16">
      <c r="C76" s="56"/>
      <c r="D76" s="188" t="s">
        <v>1537</v>
      </c>
      <c r="E76">
        <v>30</v>
      </c>
      <c r="G76" s="467" t="s">
        <v>1611</v>
      </c>
      <c r="M76" s="243"/>
      <c r="O76"/>
      <c r="P76"/>
    </row>
    <row r="77" spans="2:16">
      <c r="C77" s="56"/>
      <c r="D77" s="460" t="s">
        <v>1541</v>
      </c>
      <c r="E77">
        <v>200</v>
      </c>
      <c r="F77" s="56"/>
      <c r="G77" s="467" t="s">
        <v>1609</v>
      </c>
      <c r="O77"/>
      <c r="P77" s="771"/>
    </row>
    <row r="78" spans="2:16">
      <c r="C78" s="56"/>
      <c r="D78" t="s">
        <v>724</v>
      </c>
      <c r="E78" s="447">
        <f>2610.92+75</f>
        <v>2685.92</v>
      </c>
      <c r="F78" s="56"/>
      <c r="G78" s="467" t="s">
        <v>446</v>
      </c>
      <c r="L78" s="459"/>
      <c r="M78" s="461"/>
      <c r="O78"/>
      <c r="P78" s="771"/>
    </row>
    <row r="79" spans="2:16">
      <c r="C79" s="56"/>
      <c r="D79" t="s">
        <v>1727</v>
      </c>
      <c r="E79" s="447">
        <f>120</f>
        <v>120</v>
      </c>
      <c r="F79"/>
      <c r="G79" s="467" t="s">
        <v>1612</v>
      </c>
      <c r="L79" s="188"/>
      <c r="M79" s="230"/>
      <c r="O79"/>
      <c r="P79" s="771"/>
    </row>
    <row r="80" spans="2:16" ht="14.4">
      <c r="C80" s="56"/>
      <c r="D80" s="405" t="s">
        <v>1741</v>
      </c>
      <c r="E80" s="407">
        <v>20</v>
      </c>
      <c r="F80" s="332"/>
      <c r="G80" s="467" t="s">
        <v>715</v>
      </c>
      <c r="L80" s="188"/>
      <c r="M80" s="230"/>
      <c r="O80"/>
      <c r="P80" s="771"/>
    </row>
    <row r="81" spans="3:16">
      <c r="C81" s="56"/>
      <c r="D81" s="484" t="s">
        <v>1749</v>
      </c>
      <c r="E81">
        <v>128.85</v>
      </c>
      <c r="F81"/>
      <c r="L81" s="188"/>
      <c r="M81" s="230"/>
      <c r="O81"/>
      <c r="P81"/>
    </row>
    <row r="82" spans="3:16" ht="14.4">
      <c r="D82" t="s">
        <v>1746</v>
      </c>
      <c r="E82" s="485">
        <v>85</v>
      </c>
      <c r="F82"/>
      <c r="G82" s="467" t="s">
        <v>1626</v>
      </c>
      <c r="H82">
        <f>20/4/2024</f>
        <v>2.4703557312252965E-3</v>
      </c>
      <c r="L82" s="188"/>
      <c r="M82" s="230"/>
      <c r="O82"/>
      <c r="P82"/>
    </row>
    <row r="83" spans="3:16">
      <c r="D83" t="s">
        <v>1747</v>
      </c>
      <c r="E83" s="447">
        <v>100</v>
      </c>
      <c r="F83" s="365"/>
      <c r="L83" s="460"/>
      <c r="M83" s="230"/>
      <c r="O83"/>
      <c r="P83" s="771"/>
    </row>
    <row r="84" spans="3:16">
      <c r="D84" t="s">
        <v>1751</v>
      </c>
      <c r="E84" s="447">
        <v>200</v>
      </c>
      <c r="F84" s="212"/>
      <c r="L84" s="405"/>
      <c r="M84" s="462"/>
      <c r="O84"/>
      <c r="P84" s="771"/>
    </row>
    <row r="85" spans="3:16" ht="14.4">
      <c r="D85" t="s">
        <v>1752</v>
      </c>
      <c r="E85" s="56">
        <v>130</v>
      </c>
      <c r="F85" s="56"/>
      <c r="O85"/>
      <c r="P85" s="771"/>
    </row>
    <row r="86" spans="3:16" ht="14.4">
      <c r="D86" t="s">
        <v>1757</v>
      </c>
      <c r="E86" s="56">
        <v>100</v>
      </c>
      <c r="F86" s="56"/>
      <c r="O86"/>
      <c r="P86" s="771"/>
    </row>
    <row r="87" spans="3:16" ht="14.4">
      <c r="D87" t="s">
        <v>1748</v>
      </c>
      <c r="E87" s="292">
        <f>4430-SUM(E74:E86)</f>
        <v>18.229999999999563</v>
      </c>
      <c r="F87" s="56"/>
      <c r="O87"/>
      <c r="P87"/>
    </row>
    <row r="88" spans="3:16" ht="14.4">
      <c r="E88" s="56"/>
      <c r="F88" s="56"/>
      <c r="O88"/>
      <c r="P88"/>
    </row>
    <row r="89" spans="3:16" ht="14.4">
      <c r="E89" s="56"/>
      <c r="F89" s="56"/>
      <c r="O89"/>
      <c r="P89" s="771"/>
    </row>
    <row r="90" spans="3:16">
      <c r="O90"/>
      <c r="P90" s="771"/>
    </row>
    <row r="91" spans="3:16" ht="14.4">
      <c r="E91" s="212">
        <v>2024</v>
      </c>
      <c r="F91" s="212">
        <v>2025</v>
      </c>
      <c r="G91">
        <v>2026</v>
      </c>
      <c r="H91">
        <v>2027</v>
      </c>
      <c r="O91"/>
      <c r="P91" s="771"/>
    </row>
    <row r="92" spans="3:16" ht="14.4">
      <c r="D92" t="s">
        <v>1754</v>
      </c>
      <c r="E92" s="56">
        <v>1</v>
      </c>
      <c r="F92" s="56">
        <f>E92+1-2</f>
        <v>0</v>
      </c>
      <c r="G92">
        <v>1</v>
      </c>
      <c r="H92">
        <f>G92+1-2</f>
        <v>0</v>
      </c>
      <c r="O92"/>
      <c r="P92" s="771"/>
    </row>
    <row r="93" spans="3:16" ht="14.4">
      <c r="D93" t="s">
        <v>1753</v>
      </c>
      <c r="E93" s="56">
        <v>1</v>
      </c>
      <c r="F93" s="56">
        <v>1</v>
      </c>
      <c r="G93">
        <v>1</v>
      </c>
      <c r="H93">
        <v>1</v>
      </c>
      <c r="O93"/>
      <c r="P93"/>
    </row>
    <row r="94" spans="3:16" ht="14.4">
      <c r="E94" s="56"/>
      <c r="F94" s="56"/>
      <c r="G94" s="407"/>
      <c r="O94"/>
      <c r="P94"/>
    </row>
    <row r="95" spans="3:16" ht="14.4">
      <c r="E95" s="56"/>
      <c r="F95" s="56">
        <v>6</v>
      </c>
      <c r="G95" s="407"/>
      <c r="O95"/>
      <c r="P95" s="771"/>
    </row>
    <row r="96" spans="3:16" ht="14.4">
      <c r="E96" s="56"/>
      <c r="F96" s="56" t="s">
        <v>1755</v>
      </c>
      <c r="G96" s="407"/>
      <c r="O96"/>
      <c r="P96" s="771"/>
    </row>
    <row r="97" spans="5:16" ht="14.4">
      <c r="E97" s="56"/>
      <c r="F97" s="56">
        <v>900</v>
      </c>
      <c r="G97" s="407"/>
      <c r="O97"/>
      <c r="P97" s="771"/>
    </row>
    <row r="98" spans="5:16">
      <c r="E98" s="365"/>
      <c r="F98" s="365"/>
      <c r="G98" s="407"/>
      <c r="O98"/>
      <c r="P98" s="771"/>
    </row>
    <row r="99" spans="5:16">
      <c r="E99" s="486" t="s">
        <v>1756</v>
      </c>
      <c r="G99" s="407"/>
      <c r="O99"/>
      <c r="P99"/>
    </row>
    <row r="100" spans="5:16">
      <c r="E100" s="267">
        <v>600</v>
      </c>
      <c r="G100" s="407"/>
      <c r="O100"/>
      <c r="P100"/>
    </row>
    <row r="101" spans="5:16">
      <c r="G101" s="407"/>
    </row>
    <row r="105" spans="5:16">
      <c r="F105" s="384"/>
    </row>
    <row r="106" spans="5:16">
      <c r="F106" s="384"/>
    </row>
  </sheetData>
  <mergeCells count="31">
    <mergeCell ref="P95:P98"/>
    <mergeCell ref="B47:G47"/>
    <mergeCell ref="K47:O47"/>
    <mergeCell ref="B48:C48"/>
    <mergeCell ref="D48:E48"/>
    <mergeCell ref="G54:H54"/>
    <mergeCell ref="I56:J56"/>
    <mergeCell ref="P65:P68"/>
    <mergeCell ref="P71:P74"/>
    <mergeCell ref="P77:P80"/>
    <mergeCell ref="P83:P86"/>
    <mergeCell ref="P89:P92"/>
    <mergeCell ref="D73:E73"/>
    <mergeCell ref="B45:D45"/>
    <mergeCell ref="B5:C5"/>
    <mergeCell ref="D5:E5"/>
    <mergeCell ref="B6:B22"/>
    <mergeCell ref="C6:C22"/>
    <mergeCell ref="E10:F10"/>
    <mergeCell ref="B26:E26"/>
    <mergeCell ref="B27:C27"/>
    <mergeCell ref="D27:E27"/>
    <mergeCell ref="B39:E39"/>
    <mergeCell ref="B40:C40"/>
    <mergeCell ref="D40:E40"/>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BCA2E-8C38-A54C-98CE-5AD3F14826A0}">
  <dimension ref="A1:T107"/>
  <sheetViews>
    <sheetView topLeftCell="E16" zoomScale="90" zoomScaleNormal="90" workbookViewId="0">
      <selection activeCell="G45" sqref="G45"/>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APR-MAY N 24</v>
      </c>
      <c r="B1" s="730" t="str">
        <f ca="1">MID(CELL("filename",B1),FIND("]",CELL("filename",B1))+1,255)</f>
        <v>MAY-JUN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ROUND(O5+O40+O27+IF(O41&lt;0,0,O41)+O43+O4,2) &amp; " / " &amp; "£" &amp; E45</f>
        <v>£5631.49 / £5390.85</v>
      </c>
      <c r="E3" s="365"/>
      <c r="F3" s="365"/>
      <c r="G3" s="732">
        <v>45437</v>
      </c>
      <c r="H3" s="732"/>
      <c r="I3" s="732">
        <f>G3+7</f>
        <v>45444</v>
      </c>
      <c r="J3" s="732"/>
      <c r="K3" s="732">
        <f>I3+7</f>
        <v>45451</v>
      </c>
      <c r="L3" s="732"/>
      <c r="M3" s="732">
        <f>K3+7</f>
        <v>45458</v>
      </c>
      <c r="N3" s="732"/>
      <c r="O3" s="308">
        <v>0</v>
      </c>
      <c r="P3" s="325" t="s">
        <v>1224</v>
      </c>
      <c r="Q3" s="282"/>
    </row>
    <row r="4" spans="1:20" ht="15" customHeight="1">
      <c r="B4" s="727" t="str">
        <f>_xlfn.CONCAT("Expenses - 50 - ",G45*0.5," / Actual = ",ROUND(D5,2)," (",ROUND((D5/G45)*100,2),")")</f>
        <v>Expenses - 50 - 2695.425 / Actual = 3147.83 (58.39)</v>
      </c>
      <c r="C4" s="727"/>
      <c r="D4" s="727"/>
      <c r="E4" s="727"/>
      <c r="F4" s="318"/>
      <c r="G4" s="243"/>
      <c r="H4" s="304">
        <f>SUM(H5:H43)</f>
        <v>2160.81</v>
      </c>
      <c r="I4" s="243">
        <f>2606.62-H4</f>
        <v>445.80999999999995</v>
      </c>
      <c r="J4" s="304">
        <f>SUM(J5:J43)</f>
        <v>3088.9900000000002</v>
      </c>
      <c r="K4" s="243">
        <f>3116.77-J4</f>
        <v>27.779999999999745</v>
      </c>
      <c r="L4" s="304">
        <f>SUM(L5:L43)</f>
        <v>0</v>
      </c>
      <c r="M4" s="243"/>
      <c r="N4" s="304">
        <f>SUM(N5:N43)-SUM(N31:N37)</f>
        <v>0</v>
      </c>
      <c r="O4" s="308">
        <f>IF(H44&lt;&gt;"PAID",H4,0)+IF(J44&lt;&gt;"PAID",J4,0)+IF(L44&lt;&gt;"PAID",L4,0)+IF(N44&lt;&gt;"PAID",N4,0)</f>
        <v>5249.8</v>
      </c>
      <c r="P4" s="309" t="s">
        <v>973</v>
      </c>
      <c r="Q4" s="408">
        <f>O4+402.34</f>
        <v>5652.14</v>
      </c>
      <c r="R4" s="243"/>
      <c r="S4" s="243"/>
    </row>
    <row r="5" spans="1:20" ht="15" customHeight="1">
      <c r="B5" s="733" t="str">
        <f>IF(D5&gt;E$45*0.5,ROUND(D5-E$45*0.5,2) &amp; " Over",ROUND(E$45*0.5-D5,2) &amp; " Under")</f>
        <v>452.41 Over</v>
      </c>
      <c r="C5" s="733"/>
      <c r="D5" s="761">
        <f>ROUND(SUM(F6:F24),2)</f>
        <v>3147.83</v>
      </c>
      <c r="E5" s="761"/>
      <c r="F5" s="321"/>
      <c r="G5" s="284"/>
      <c r="H5" s="306"/>
      <c r="I5" s="79"/>
      <c r="J5" s="306"/>
      <c r="K5" s="390"/>
      <c r="L5" s="306"/>
      <c r="M5" s="79"/>
      <c r="N5" s="305"/>
      <c r="O5" s="285">
        <f>SUMIF(O6:O24,"&gt;0")</f>
        <v>255.2</v>
      </c>
      <c r="P5" s="285" t="s">
        <v>892</v>
      </c>
      <c r="Q5" s="282">
        <f>SUM(Q6:Q22)</f>
        <v>152.83060000000006</v>
      </c>
      <c r="R5" s="243"/>
    </row>
    <row r="6" spans="1:20" ht="15" customHeight="1">
      <c r="B6" s="734" t="str">
        <f>"50%: " &amp; E$45*0.5</f>
        <v>50%: 2695.425</v>
      </c>
      <c r="C6" s="734" t="str">
        <f>ROUND((D5/E$45)*100,2) &amp; "%: " &amp;D5</f>
        <v>58.39%: 3147.83</v>
      </c>
      <c r="D6" s="13" t="s">
        <v>805</v>
      </c>
      <c r="E6" s="365">
        <v>0</v>
      </c>
      <c r="F6" s="374">
        <v>150</v>
      </c>
      <c r="H6" s="304">
        <f>25.36+21.72+52.79+20.15+25.29+30</f>
        <v>175.31</v>
      </c>
      <c r="J6" s="305">
        <f>20</f>
        <v>20</v>
      </c>
      <c r="L6" s="305"/>
      <c r="N6" s="305"/>
      <c r="O6" s="274">
        <f>SUM(E6:F6)-SUM(G6:N6)</f>
        <v>-45.31</v>
      </c>
      <c r="P6" s="274" t="str">
        <f t="shared" ref="P6:P24" si="0">D6</f>
        <v>Car Petrol / commuting</v>
      </c>
      <c r="Q6" s="282">
        <f t="shared" ref="Q6:Q22" si="1">IF(O6&lt;0,O6*-1,0)</f>
        <v>45.31</v>
      </c>
      <c r="R6" s="243"/>
    </row>
    <row r="7" spans="1:20" ht="15" customHeight="1">
      <c r="B7" s="734"/>
      <c r="C7" s="734"/>
      <c r="D7" s="13" t="s">
        <v>169</v>
      </c>
      <c r="E7" s="365">
        <v>0</v>
      </c>
      <c r="F7" s="365">
        <f>400-80+23.01+22.49</f>
        <v>365.5</v>
      </c>
      <c r="H7" s="304">
        <f>42.91+32.08+22.45+11.55+11.5+7.4+4.7+17.43+4.55+1.95+51.01+3+12.59+(89.8+38.58+32.47)+8.79+9.95</f>
        <v>402.71000000000004</v>
      </c>
      <c r="J7" s="305">
        <f>15.97+5.3+14.55</f>
        <v>35.82</v>
      </c>
      <c r="L7" s="305"/>
      <c r="N7" s="305"/>
      <c r="O7" s="274">
        <f>SUM(E7:F7)-SUM(G7:N7)</f>
        <v>-73.03000000000003</v>
      </c>
      <c r="P7" s="274" t="str">
        <f t="shared" si="0"/>
        <v>Food</v>
      </c>
      <c r="Q7" s="282">
        <f t="shared" si="1"/>
        <v>73.03000000000003</v>
      </c>
      <c r="R7" s="243"/>
    </row>
    <row r="8" spans="1:20" ht="15" customHeight="1">
      <c r="B8" s="734"/>
      <c r="C8" s="734"/>
      <c r="D8" s="13" t="s">
        <v>153</v>
      </c>
      <c r="E8" s="365">
        <v>0</v>
      </c>
      <c r="F8" s="365">
        <f>60</f>
        <v>60</v>
      </c>
      <c r="H8" s="305">
        <f>20.8</f>
        <v>20.8</v>
      </c>
      <c r="J8" s="305">
        <f>20.8+17.4+28.6</f>
        <v>66.800000000000011</v>
      </c>
      <c r="L8" s="305"/>
      <c r="N8" s="305"/>
      <c r="O8" s="274">
        <f>SUM(E8:F8)-SUM(G8:N8)</f>
        <v>-27.600000000000009</v>
      </c>
      <c r="P8" s="274" t="str">
        <f t="shared" si="0"/>
        <v>Luna</v>
      </c>
      <c r="Q8" s="282">
        <f t="shared" si="1"/>
        <v>27.600000000000009</v>
      </c>
    </row>
    <row r="9" spans="1:20" ht="15" customHeight="1">
      <c r="B9" s="734"/>
      <c r="C9" s="734"/>
      <c r="D9" s="13" t="s">
        <v>1079</v>
      </c>
      <c r="E9" s="365">
        <v>0</v>
      </c>
      <c r="F9" s="365">
        <f>40-23.01</f>
        <v>16.989999999999998</v>
      </c>
      <c r="H9" s="305">
        <f>16.99</f>
        <v>16.989999999999998</v>
      </c>
      <c r="J9" s="305"/>
      <c r="L9" s="305"/>
      <c r="N9" s="305"/>
      <c r="O9" s="274">
        <f>SUM(E9:F9)-SUM(G9:N9)</f>
        <v>0</v>
      </c>
      <c r="P9" s="274" t="str">
        <f t="shared" si="0"/>
        <v>Creamy</v>
      </c>
      <c r="Q9" s="282">
        <f t="shared" si="1"/>
        <v>0</v>
      </c>
      <c r="R9" s="243"/>
    </row>
    <row r="10" spans="1:20" ht="15" customHeight="1">
      <c r="B10" s="734"/>
      <c r="C10" s="734"/>
      <c r="D10" s="13" t="s">
        <v>189</v>
      </c>
      <c r="E10" s="780">
        <f>SUM(F11:F24)</f>
        <v>2555.3393999999998</v>
      </c>
      <c r="F10" s="780"/>
      <c r="G10" s="243"/>
      <c r="H10" s="305"/>
      <c r="J10" s="305"/>
      <c r="L10" s="305"/>
      <c r="N10" s="305"/>
      <c r="O10" s="274"/>
      <c r="P10" s="274" t="str">
        <f t="shared" si="0"/>
        <v>Direct debits</v>
      </c>
      <c r="Q10" s="282"/>
      <c r="R10" s="243"/>
    </row>
    <row r="11" spans="1:20" ht="15" customHeight="1" outlineLevel="1">
      <c r="B11" s="734"/>
      <c r="C11" s="734"/>
      <c r="D11" s="201" t="s">
        <v>595</v>
      </c>
      <c r="E11" s="365">
        <v>0</v>
      </c>
      <c r="F11" s="365">
        <v>838</v>
      </c>
      <c r="G11">
        <v>838</v>
      </c>
      <c r="H11" s="304"/>
      <c r="J11" s="305"/>
      <c r="L11" s="305"/>
      <c r="N11" s="305"/>
      <c r="O11" s="274">
        <f t="shared" ref="O11:O16" si="2">SUM(E11:F11)-SUM(G11:N11)</f>
        <v>0</v>
      </c>
      <c r="P11" s="274" t="str">
        <f t="shared" si="0"/>
        <v>Mortgage</v>
      </c>
      <c r="Q11" s="282">
        <f t="shared" si="1"/>
        <v>0</v>
      </c>
      <c r="R11" s="243"/>
      <c r="S11" s="11">
        <f>SUM(O11:O24)</f>
        <v>247.80939999999998</v>
      </c>
    </row>
    <row r="12" spans="1:20" ht="15" customHeight="1" outlineLevel="1">
      <c r="B12" s="734"/>
      <c r="C12" s="734"/>
      <c r="D12" s="201" t="s">
        <v>596</v>
      </c>
      <c r="E12" s="365">
        <v>0</v>
      </c>
      <c r="F12" s="365">
        <v>152.38999999999999</v>
      </c>
      <c r="G12">
        <v>154</v>
      </c>
      <c r="H12" s="305"/>
      <c r="J12" s="305"/>
      <c r="L12" s="305"/>
      <c r="N12" s="305"/>
      <c r="O12" s="274">
        <f t="shared" si="2"/>
        <v>-1.6100000000000136</v>
      </c>
      <c r="P12" s="274" t="str">
        <f t="shared" si="0"/>
        <v>Council tax</v>
      </c>
      <c r="Q12" s="282">
        <f t="shared" si="1"/>
        <v>1.6100000000000136</v>
      </c>
      <c r="S12" s="349">
        <f>S11-S21</f>
        <v>-242.16059999999999</v>
      </c>
    </row>
    <row r="13" spans="1:20" ht="15" customHeight="1" outlineLevel="1">
      <c r="B13" s="734"/>
      <c r="C13" s="734"/>
      <c r="D13" s="201" t="s">
        <v>1002</v>
      </c>
      <c r="E13" s="365">
        <v>0</v>
      </c>
      <c r="F13" s="365">
        <f>34+111.75</f>
        <v>145.75</v>
      </c>
      <c r="G13">
        <f>111.75+34</f>
        <v>145.75</v>
      </c>
      <c r="H13" s="305"/>
      <c r="J13" s="305"/>
      <c r="L13" s="305"/>
      <c r="N13" s="305"/>
      <c r="O13" s="274">
        <f>SUM(E13:F13)-SUM(G13:N13)</f>
        <v>0</v>
      </c>
      <c r="P13" s="274" t="str">
        <f t="shared" si="0"/>
        <v>Utilities (G,W,E,HTB)</v>
      </c>
      <c r="Q13" s="282">
        <f t="shared" si="1"/>
        <v>0</v>
      </c>
    </row>
    <row r="14" spans="1:20" ht="15" customHeight="1" outlineLevel="1">
      <c r="B14" s="734"/>
      <c r="C14" s="734"/>
      <c r="D14" s="201" t="s">
        <v>996</v>
      </c>
      <c r="E14" s="365">
        <v>0</v>
      </c>
      <c r="F14" s="365">
        <v>22.7</v>
      </c>
      <c r="H14" s="305"/>
      <c r="J14" s="305"/>
      <c r="L14" s="305"/>
      <c r="N14" s="305"/>
      <c r="O14" s="274">
        <f>SUM(E14:F14)-SUM(G14:N14)</f>
        <v>22.7</v>
      </c>
      <c r="P14" s="274" t="str">
        <f t="shared" si="0"/>
        <v>Home Insurance</v>
      </c>
      <c r="Q14" s="282">
        <f t="shared" si="1"/>
        <v>0</v>
      </c>
    </row>
    <row r="15" spans="1:20" ht="15" customHeight="1" outlineLevel="1">
      <c r="B15" s="734"/>
      <c r="C15" s="734"/>
      <c r="D15" s="201" t="s">
        <v>1056</v>
      </c>
      <c r="E15" s="365">
        <v>0</v>
      </c>
      <c r="F15" s="365">
        <f>8+23.99+20.99</f>
        <v>52.98</v>
      </c>
      <c r="G15">
        <f>8+23.99+20.99</f>
        <v>52.98</v>
      </c>
      <c r="H15" s="305"/>
      <c r="J15" s="305"/>
      <c r="L15" s="305"/>
      <c r="N15" s="305"/>
      <c r="O15" s="274">
        <f>SUM(E15:F15)-SUM(G15:N15)</f>
        <v>0</v>
      </c>
      <c r="P15" s="274" t="str">
        <f t="shared" si="0"/>
        <v>Pet Health / Insurance</v>
      </c>
      <c r="Q15" s="282">
        <f t="shared" si="1"/>
        <v>0</v>
      </c>
    </row>
    <row r="16" spans="1:20" ht="15" customHeight="1" outlineLevel="1">
      <c r="B16" s="734"/>
      <c r="C16" s="734"/>
      <c r="D16" s="201" t="s">
        <v>1057</v>
      </c>
      <c r="E16" s="365">
        <v>0</v>
      </c>
      <c r="F16" s="365">
        <f>4.52+15.97+30.8</f>
        <v>51.290000000000006</v>
      </c>
      <c r="G16">
        <f>30.8+20.49</f>
        <v>51.29</v>
      </c>
      <c r="H16" s="305"/>
      <c r="I16" s="11"/>
      <c r="J16" s="305"/>
      <c r="L16" s="305"/>
      <c r="N16" s="305"/>
      <c r="O16" s="274">
        <f t="shared" si="2"/>
        <v>0</v>
      </c>
      <c r="P16" s="274" t="str">
        <f t="shared" si="0"/>
        <v>Life / Income Insurance</v>
      </c>
      <c r="Q16" s="282">
        <f t="shared" si="1"/>
        <v>0</v>
      </c>
    </row>
    <row r="17" spans="2:19" ht="15" customHeight="1" outlineLevel="1">
      <c r="B17" s="734"/>
      <c r="C17" s="734"/>
      <c r="D17" s="201" t="s">
        <v>602</v>
      </c>
      <c r="E17" s="365">
        <v>0</v>
      </c>
      <c r="F17" s="365">
        <f>(28.6*1.079)</f>
        <v>30.859400000000001</v>
      </c>
      <c r="G17">
        <v>30.86</v>
      </c>
      <c r="H17" s="305"/>
      <c r="J17" s="305"/>
      <c r="L17" s="305"/>
      <c r="N17" s="305"/>
      <c r="O17" s="274">
        <f t="shared" ref="O17:O23" si="3">SUM(E17:F17)-SUM(G17:N17)</f>
        <v>-5.9999999999860165E-4</v>
      </c>
      <c r="P17" s="274" t="str">
        <f t="shared" si="0"/>
        <v>Broadband / TV</v>
      </c>
      <c r="Q17" s="282">
        <f t="shared" si="1"/>
        <v>5.9999999999860165E-4</v>
      </c>
    </row>
    <row r="18" spans="2:19" ht="15" customHeight="1" outlineLevel="1">
      <c r="B18" s="734"/>
      <c r="C18" s="734"/>
      <c r="D18" s="201" t="s">
        <v>582</v>
      </c>
      <c r="E18" s="365">
        <v>0</v>
      </c>
      <c r="F18" s="365">
        <v>7.99</v>
      </c>
      <c r="G18">
        <v>7.99</v>
      </c>
      <c r="H18" s="305"/>
      <c r="J18" s="305"/>
      <c r="L18" s="305"/>
      <c r="N18" s="305"/>
      <c r="O18" s="274">
        <f t="shared" si="3"/>
        <v>0</v>
      </c>
      <c r="P18" s="274" t="str">
        <f t="shared" si="0"/>
        <v>Onedrive (6th)</v>
      </c>
      <c r="Q18" s="282">
        <f t="shared" si="1"/>
        <v>0</v>
      </c>
    </row>
    <row r="19" spans="2:19" ht="15" customHeight="1" outlineLevel="1">
      <c r="B19" s="734"/>
      <c r="C19" s="734"/>
      <c r="D19" s="201" t="s">
        <v>788</v>
      </c>
      <c r="E19" s="365">
        <v>0</v>
      </c>
      <c r="F19" s="365">
        <v>11.6</v>
      </c>
      <c r="G19">
        <v>14.25</v>
      </c>
      <c r="H19" s="305"/>
      <c r="J19" s="305"/>
      <c r="L19" s="305"/>
      <c r="N19" s="305"/>
      <c r="O19" s="274">
        <f t="shared" si="3"/>
        <v>-2.6500000000000004</v>
      </c>
      <c r="P19" s="274" t="str">
        <f t="shared" si="0"/>
        <v>Matt Phone</v>
      </c>
      <c r="Q19" s="282">
        <f t="shared" si="1"/>
        <v>2.6500000000000004</v>
      </c>
    </row>
    <row r="20" spans="2:19" ht="15" customHeight="1" outlineLevel="1">
      <c r="B20" s="734"/>
      <c r="C20" s="734"/>
      <c r="D20" s="201" t="s">
        <v>1279</v>
      </c>
      <c r="E20" s="365">
        <v>0</v>
      </c>
      <c r="F20" s="365">
        <v>232.5</v>
      </c>
      <c r="H20" s="305"/>
      <c r="J20" s="305"/>
      <c r="L20" s="305"/>
      <c r="N20" s="305"/>
      <c r="O20" s="274">
        <f t="shared" si="3"/>
        <v>232.5</v>
      </c>
      <c r="P20" s="274" t="str">
        <f t="shared" si="0"/>
        <v>Watch</v>
      </c>
      <c r="Q20" s="282">
        <f t="shared" si="1"/>
        <v>0</v>
      </c>
    </row>
    <row r="21" spans="2:19" ht="15" customHeight="1" outlineLevel="1">
      <c r="B21" s="734"/>
      <c r="C21" s="734"/>
      <c r="D21" s="201" t="s">
        <v>690</v>
      </c>
      <c r="E21" s="365">
        <v>0</v>
      </c>
      <c r="F21" s="365">
        <f>11.81+14.43+270.97+46.69+89.64+468.84</f>
        <v>902.38</v>
      </c>
      <c r="G21">
        <f>270.97+468.84+89.64+15.75+13.12+46.69</f>
        <v>905.01</v>
      </c>
      <c r="H21" s="305"/>
      <c r="J21" s="305"/>
      <c r="L21" s="305"/>
      <c r="N21" s="305"/>
      <c r="O21" s="274">
        <f t="shared" si="3"/>
        <v>-2.6299999999999955</v>
      </c>
      <c r="P21" s="274" t="str">
        <f t="shared" si="0"/>
        <v>Cars</v>
      </c>
      <c r="Q21" s="282">
        <f t="shared" si="1"/>
        <v>2.6299999999999955</v>
      </c>
      <c r="S21">
        <f>468.84+21.13</f>
        <v>489.96999999999997</v>
      </c>
    </row>
    <row r="22" spans="2:19" ht="15" customHeight="1" outlineLevel="1">
      <c r="B22" s="734"/>
      <c r="C22" s="734"/>
      <c r="D22" s="201" t="s">
        <v>944</v>
      </c>
      <c r="E22" s="365">
        <v>0</v>
      </c>
      <c r="F22" s="365">
        <v>15</v>
      </c>
      <c r="G22">
        <v>15</v>
      </c>
      <c r="H22" s="305"/>
      <c r="J22" s="305"/>
      <c r="L22" s="305"/>
      <c r="N22" s="305"/>
      <c r="O22" s="274">
        <f t="shared" si="3"/>
        <v>0</v>
      </c>
      <c r="P22" s="274" t="str">
        <f t="shared" si="0"/>
        <v>Windows</v>
      </c>
      <c r="Q22" s="282">
        <f t="shared" si="1"/>
        <v>0</v>
      </c>
      <c r="R22" s="243"/>
    </row>
    <row r="23" spans="2:19" ht="15" customHeight="1" outlineLevel="1">
      <c r="B23" s="7"/>
      <c r="C23" s="7"/>
      <c r="D23" s="201" t="s">
        <v>604</v>
      </c>
      <c r="E23" s="365">
        <v>0</v>
      </c>
      <c r="F23" s="365">
        <v>0</v>
      </c>
      <c r="H23" s="305"/>
      <c r="J23" s="305"/>
      <c r="L23" s="305"/>
      <c r="N23" s="305"/>
      <c r="O23" s="274">
        <f t="shared" si="3"/>
        <v>0</v>
      </c>
      <c r="P23" s="274" t="str">
        <f t="shared" si="0"/>
        <v>Health</v>
      </c>
      <c r="Q23" s="282"/>
      <c r="R23" s="243"/>
    </row>
    <row r="24" spans="2:19" ht="15" customHeight="1" outlineLevel="1">
      <c r="B24" s="7"/>
      <c r="C24" s="7"/>
      <c r="D24" s="201" t="s">
        <v>781</v>
      </c>
      <c r="E24" s="365">
        <v>0</v>
      </c>
      <c r="F24" s="365">
        <f>13+4.99+0.99+10.99+8.99+29.95+2.99+20</f>
        <v>91.899999999999991</v>
      </c>
      <c r="G24" s="11">
        <f>2.99+8.99+4.99+1.49+10.99+13+29.95</f>
        <v>72.399999999999991</v>
      </c>
      <c r="H24" s="305"/>
      <c r="J24" s="305">
        <v>20</v>
      </c>
      <c r="L24" s="305"/>
      <c r="N24" s="305"/>
      <c r="O24" s="274">
        <f t="shared" ref="O24" si="4">SUM(E24:F24)-SUM(G24:N24)</f>
        <v>-0.5</v>
      </c>
      <c r="P24" s="274" t="str">
        <f t="shared" si="0"/>
        <v>Subscriptions</v>
      </c>
      <c r="Q24" s="282"/>
      <c r="R24" s="243"/>
    </row>
    <row r="25" spans="2:19" ht="15" customHeight="1">
      <c r="B25" s="118"/>
      <c r="C25" s="118"/>
      <c r="D25" s="188"/>
      <c r="E25" s="365"/>
      <c r="F25" s="365"/>
      <c r="H25" s="305"/>
      <c r="J25" s="305"/>
      <c r="L25" s="305"/>
      <c r="N25" s="305"/>
      <c r="O25" s="273"/>
      <c r="P25" s="273"/>
      <c r="Q25" s="282"/>
    </row>
    <row r="26" spans="2:19" ht="15" customHeight="1">
      <c r="B26" s="736" t="str">
        <f>_xlfn.CONCAT("Savings - 20 - ",G45*0.2," / Actual = ",D27," (",ROUND((D27/G45)*100,2),")")</f>
        <v>Savings - 20 - 1078.17 / Actual = 693.17 (12.86)</v>
      </c>
      <c r="C26" s="736"/>
      <c r="D26" s="736"/>
      <c r="E26" s="736"/>
      <c r="F26" s="320"/>
      <c r="H26" s="305"/>
      <c r="J26" s="305"/>
      <c r="L26" s="305"/>
      <c r="N26" s="305"/>
      <c r="O26" s="274"/>
      <c r="P26" s="274"/>
      <c r="Q26" s="282"/>
    </row>
    <row r="27" spans="2:19" ht="15" customHeight="1">
      <c r="B27" s="727" t="str">
        <f>IF(ISNUMBER((SEARCH("Over",C$5))),"Operating under budget","Operating over budget")</f>
        <v>Operating over budget</v>
      </c>
      <c r="C27" s="727"/>
      <c r="D27" s="759">
        <f>F28</f>
        <v>693.17000000000007</v>
      </c>
      <c r="E27" s="759"/>
      <c r="F27" s="319"/>
      <c r="H27" s="305"/>
      <c r="J27" s="305"/>
      <c r="L27" s="305"/>
      <c r="N27" s="305"/>
      <c r="O27" s="285">
        <f>0</f>
        <v>0</v>
      </c>
      <c r="P27" s="285" t="s">
        <v>895</v>
      </c>
      <c r="Q27" s="282">
        <f>SUM(Q28:Q28)</f>
        <v>0</v>
      </c>
    </row>
    <row r="28" spans="2:19" ht="15" customHeight="1" outlineLevel="1">
      <c r="B28" s="7" t="str">
        <f>"20% : " &amp; E$45*0.2</f>
        <v>20% : 1078.17</v>
      </c>
      <c r="C28" s="7" t="str">
        <f>"20% : " &amp; E$45*0.2</f>
        <v>20% : 1078.17</v>
      </c>
      <c r="D28" s="300" t="s">
        <v>183</v>
      </c>
      <c r="E28" s="365">
        <v>0</v>
      </c>
      <c r="F28" s="365">
        <f>SUM(F29:F37)</f>
        <v>693.17000000000007</v>
      </c>
      <c r="H28" s="305"/>
      <c r="J28" s="305"/>
      <c r="L28" s="305"/>
      <c r="N28" s="305"/>
      <c r="O28" s="274">
        <f>SUM(O29:O37)</f>
        <v>-3057.8806</v>
      </c>
      <c r="P28" s="274" t="str">
        <f t="shared" ref="P28:P37" si="5">D28</f>
        <v>Savings</v>
      </c>
      <c r="Q28" s="282">
        <v>0</v>
      </c>
      <c r="S28" s="243"/>
    </row>
    <row r="29" spans="2:19" ht="15" customHeight="1" outlineLevel="1">
      <c r="B29" s="7"/>
      <c r="C29" s="7"/>
      <c r="D29" s="300" t="s">
        <v>1279</v>
      </c>
      <c r="E29" s="365">
        <v>0</v>
      </c>
      <c r="F29" s="365">
        <v>-232.5</v>
      </c>
      <c r="H29" s="305"/>
      <c r="J29" s="305"/>
      <c r="L29" s="305"/>
      <c r="N29" s="305"/>
      <c r="O29" s="274">
        <f>SUM(E29:F29)-SUM(G29:N29)</f>
        <v>-232.5</v>
      </c>
      <c r="P29" s="274" t="str">
        <f t="shared" si="5"/>
        <v>Watch</v>
      </c>
      <c r="Q29" s="282"/>
      <c r="S29" s="243"/>
    </row>
    <row r="30" spans="2:19" ht="15" customHeight="1" outlineLevel="1">
      <c r="B30" s="7"/>
      <c r="C30" s="7"/>
      <c r="D30" s="300" t="s">
        <v>1015</v>
      </c>
      <c r="E30" s="365">
        <v>0</v>
      </c>
      <c r="F30" s="365">
        <v>-468</v>
      </c>
      <c r="H30" s="305"/>
      <c r="J30" s="305"/>
      <c r="L30" s="315"/>
      <c r="N30" s="305"/>
      <c r="O30" s="274">
        <f>SUM(E30:F30)-SUM(G30:N30)</f>
        <v>-468</v>
      </c>
      <c r="P30" s="274" t="str">
        <f>D30</f>
        <v>Tesco</v>
      </c>
      <c r="Q30" s="282"/>
      <c r="R30" s="243"/>
    </row>
    <row r="31" spans="2:19" ht="15" customHeight="1" outlineLevel="1">
      <c r="B31" s="7"/>
      <c r="C31" s="7"/>
      <c r="D31" s="300" t="s">
        <v>1485</v>
      </c>
      <c r="E31" s="365">
        <v>0</v>
      </c>
      <c r="F31" s="365">
        <v>40</v>
      </c>
      <c r="H31" s="305"/>
      <c r="J31" s="305"/>
      <c r="L31" s="362"/>
      <c r="N31" s="315"/>
      <c r="O31" s="274">
        <f>SUM(E31:F31)-SUM(G31:N31)</f>
        <v>40</v>
      </c>
      <c r="P31" s="274" t="str">
        <f t="shared" si="5"/>
        <v>MOT / Service</v>
      </c>
      <c r="Q31" s="282"/>
      <c r="R31" s="243"/>
    </row>
    <row r="32" spans="2:19" ht="15" customHeight="1" outlineLevel="1">
      <c r="B32" s="7"/>
      <c r="C32" s="7"/>
      <c r="D32" s="300" t="s">
        <v>772</v>
      </c>
      <c r="E32" s="365">
        <v>0</v>
      </c>
      <c r="F32" s="365">
        <v>0</v>
      </c>
      <c r="H32" s="305"/>
      <c r="J32" s="305"/>
      <c r="L32" s="362"/>
      <c r="N32" s="315"/>
      <c r="O32" s="274">
        <f>SUM(E32:F32)-SUM(G32:N32)</f>
        <v>0</v>
      </c>
      <c r="P32" s="274" t="str">
        <f t="shared" si="5"/>
        <v>Home</v>
      </c>
      <c r="Q32" s="282"/>
      <c r="R32" s="243"/>
    </row>
    <row r="33" spans="2:20" ht="15" customHeight="1" outlineLevel="1">
      <c r="B33" s="7"/>
      <c r="C33" s="7"/>
      <c r="D33" s="300" t="s">
        <v>590</v>
      </c>
      <c r="E33" s="365">
        <v>0</v>
      </c>
      <c r="F33" s="365">
        <v>165</v>
      </c>
      <c r="G33">
        <f>50+0.22+160</f>
        <v>210.22</v>
      </c>
      <c r="H33" s="305">
        <f>12.84+5</f>
        <v>17.84</v>
      </c>
      <c r="J33" s="305">
        <v>10</v>
      </c>
      <c r="L33" s="362"/>
      <c r="N33" s="315"/>
      <c r="O33" s="274">
        <f>SUM(E33:F33)-SUM(G33:N33)-Q45</f>
        <v>-225.89060000000006</v>
      </c>
      <c r="P33" s="274" t="str">
        <f t="shared" si="5"/>
        <v>Contingency</v>
      </c>
      <c r="Q33" s="282"/>
      <c r="T33" s="243"/>
    </row>
    <row r="34" spans="2:20" ht="15" customHeight="1" outlineLevel="1">
      <c r="B34" s="7"/>
      <c r="C34" s="7"/>
      <c r="D34" s="300" t="s">
        <v>1486</v>
      </c>
      <c r="E34" s="365">
        <v>0</v>
      </c>
      <c r="F34" s="365">
        <v>13.67</v>
      </c>
      <c r="H34" s="305"/>
      <c r="J34" s="305"/>
      <c r="L34" s="362"/>
      <c r="N34" s="315"/>
      <c r="O34" s="274">
        <f t="shared" ref="O34:O37" si="6">SUM(E34:F34)-SUM(G34:N34)</f>
        <v>13.67</v>
      </c>
      <c r="P34" s="274" t="str">
        <f t="shared" si="5"/>
        <v>TV</v>
      </c>
      <c r="Q34" s="282"/>
    </row>
    <row r="35" spans="2:20" ht="15" customHeight="1" outlineLevel="1">
      <c r="B35" s="7"/>
      <c r="C35" s="7"/>
      <c r="D35" s="300" t="s">
        <v>1296</v>
      </c>
      <c r="E35" s="365">
        <v>0</v>
      </c>
      <c r="F35" s="365">
        <f>15+80</f>
        <v>95</v>
      </c>
      <c r="H35" s="305">
        <v>95</v>
      </c>
      <c r="J35" s="305">
        <v>16.66</v>
      </c>
      <c r="L35" s="362"/>
      <c r="N35" s="315"/>
      <c r="O35" s="274">
        <f t="shared" si="6"/>
        <v>-16.659999999999997</v>
      </c>
      <c r="P35" s="274" t="str">
        <f t="shared" si="5"/>
        <v>Offset</v>
      </c>
      <c r="Q35" s="282"/>
    </row>
    <row r="36" spans="2:20" ht="15" customHeight="1" outlineLevel="1">
      <c r="B36" s="7"/>
      <c r="C36" s="7"/>
      <c r="D36" s="300" t="s">
        <v>354</v>
      </c>
      <c r="E36" s="365">
        <v>0</v>
      </c>
      <c r="F36" s="365">
        <f>750+80</f>
        <v>830</v>
      </c>
      <c r="H36" s="305">
        <f>87+23</f>
        <v>110</v>
      </c>
      <c r="I36">
        <f>80+200</f>
        <v>280</v>
      </c>
      <c r="J36" s="331">
        <f>2.99+53.16+74+16.34+43.36+7.91+32.69+5.96+199.35+12.89+105.1+95.71+26.8+57.39+27.67+2.99+80.77+117.12+1296.69</f>
        <v>2258.89</v>
      </c>
      <c r="L36" s="362"/>
      <c r="N36" s="315"/>
      <c r="O36" s="274">
        <f t="shared" si="6"/>
        <v>-1818.8899999999999</v>
      </c>
      <c r="P36" s="274" t="str">
        <f t="shared" si="5"/>
        <v>Holiday</v>
      </c>
      <c r="Q36" s="282"/>
    </row>
    <row r="37" spans="2:20" ht="15" customHeight="1" outlineLevel="1">
      <c r="B37" s="7"/>
      <c r="C37" s="7"/>
      <c r="D37" s="300" t="s">
        <v>701</v>
      </c>
      <c r="E37" s="365">
        <v>0</v>
      </c>
      <c r="F37" s="365">
        <f>250</f>
        <v>250</v>
      </c>
      <c r="H37" s="305">
        <f>33.94+(25.8+15.5+21+7.37)</f>
        <v>103.61</v>
      </c>
      <c r="J37" s="305">
        <f>101+395</f>
        <v>496</v>
      </c>
      <c r="L37" s="362"/>
      <c r="N37" s="315"/>
      <c r="O37" s="274">
        <f t="shared" si="6"/>
        <v>-349.61</v>
      </c>
      <c r="P37" s="274" t="str">
        <f t="shared" si="5"/>
        <v>Gift</v>
      </c>
      <c r="Q37" s="282"/>
    </row>
    <row r="38" spans="2:20" ht="15" customHeight="1">
      <c r="B38" s="118"/>
      <c r="C38" s="118"/>
      <c r="E38" s="365"/>
      <c r="F38" s="365"/>
      <c r="H38" s="305"/>
      <c r="J38" s="305"/>
      <c r="L38" s="305"/>
      <c r="N38" s="305"/>
      <c r="O38" s="273"/>
      <c r="P38" s="273"/>
      <c r="Q38" s="282"/>
      <c r="R38" s="243"/>
    </row>
    <row r="39" spans="2:20" ht="15" customHeight="1">
      <c r="B39" s="727" t="str">
        <f>_xlfn.CONCAT("Wants - 30 - ",G45*0.3," / Actual = ",D40," (",ROUND((D40/G45)*100,2),")")</f>
        <v>Wants - 30 - 1617.255 / Actual = 1549.85 (28.75)</v>
      </c>
      <c r="C39" s="727"/>
      <c r="D39" s="727"/>
      <c r="E39" s="727"/>
      <c r="F39" s="318"/>
      <c r="H39" s="305"/>
      <c r="J39" s="305"/>
      <c r="L39" s="305"/>
      <c r="N39" s="305"/>
      <c r="O39" s="273"/>
      <c r="P39" s="273"/>
      <c r="Q39" s="282"/>
      <c r="S39" s="243"/>
    </row>
    <row r="40" spans="2:20" ht="15" customHeight="1">
      <c r="B40" s="727" t="str">
        <f>IF(ISNUMBER((SEARCH("Over",B$5))),"Operating under budget","Operating over budget")</f>
        <v>Operating under budget</v>
      </c>
      <c r="C40" s="727"/>
      <c r="D40" s="759">
        <f>(E$45-D5-D27-E44)</f>
        <v>1549.8500000000004</v>
      </c>
      <c r="E40" s="727"/>
      <c r="F40" s="319">
        <f>F41</f>
        <v>1104.5200000000004</v>
      </c>
      <c r="H40" s="305"/>
      <c r="J40" s="305"/>
      <c r="L40" s="305"/>
      <c r="N40" s="305"/>
      <c r="O40" s="285">
        <f>0</f>
        <v>0</v>
      </c>
      <c r="P40" s="285" t="s">
        <v>899</v>
      </c>
      <c r="Q40" s="282">
        <f>SUM(Q41:Q41)</f>
        <v>0</v>
      </c>
      <c r="S40" s="243"/>
    </row>
    <row r="41" spans="2:20" ht="18" outlineLevel="1">
      <c r="B41" s="7"/>
      <c r="C41" s="284"/>
      <c r="D41" s="13" t="s">
        <v>922</v>
      </c>
      <c r="E41" s="365">
        <v>0</v>
      </c>
      <c r="F41" s="365">
        <f>D40-F43</f>
        <v>1104.5200000000004</v>
      </c>
      <c r="G41" s="11">
        <f>9.99+30</f>
        <v>39.99</v>
      </c>
      <c r="H41">
        <f>15+19.51-6.19+48.98+149.76+80.91+56.96+12+11+20.5+62.42+26.25+(58.14+110.14+12+49+25.1+142.91+39.94-27.99-38.97)+7.99+7+5.95+0.67</f>
        <v>888.98</v>
      </c>
      <c r="J41" s="305">
        <f>9+6+6.87+13.1+13.35</f>
        <v>48.32</v>
      </c>
      <c r="N41" s="305"/>
      <c r="O41" s="274">
        <f>SUM(E41:F41)-SUM(G41:N41)</f>
        <v>127.23000000000036</v>
      </c>
      <c r="P41" s="274" t="str">
        <f t="shared" ref="P41:P43" si="7">D41</f>
        <v>Matt Fun</v>
      </c>
      <c r="Q41" s="282">
        <f>IF(SUM(E41:F41)-SUM(G41:N41)&lt;=0,(SUM(E41:F41)-SUM(G41:N41))*-1,0)</f>
        <v>0</v>
      </c>
    </row>
    <row r="42" spans="2:20" ht="18" outlineLevel="1">
      <c r="B42" s="7"/>
      <c r="C42" s="284"/>
      <c r="D42" s="13" t="s">
        <v>1641</v>
      </c>
      <c r="E42" s="365">
        <v>0</v>
      </c>
      <c r="F42" s="365">
        <v>0</v>
      </c>
      <c r="G42" s="11"/>
      <c r="H42" s="306"/>
      <c r="J42" s="305"/>
      <c r="N42" s="305"/>
      <c r="O42" s="274">
        <f>SUM(E42:F42)-SUM(G42:N42)</f>
        <v>0</v>
      </c>
      <c r="P42" s="274" t="str">
        <f t="shared" si="7"/>
        <v>Work</v>
      </c>
      <c r="Q42" s="282">
        <f>IF(SUM(E42:F42)-SUM(G42:N42)&lt;=0,(SUM(E42:F42)-SUM(G42:N42))*-1,0)</f>
        <v>0</v>
      </c>
    </row>
    <row r="43" spans="2:20" ht="18" outlineLevel="1">
      <c r="B43" s="7"/>
      <c r="C43" s="284"/>
      <c r="D43" s="13" t="s">
        <v>152</v>
      </c>
      <c r="E43" s="365">
        <v>0</v>
      </c>
      <c r="F43" s="365">
        <f>55+148.5+45+32.83+35+34+40+55</f>
        <v>445.33</v>
      </c>
      <c r="G43" s="11"/>
      <c r="H43" s="306">
        <f>55+148.5+32.83+7.49+5.75+25+55</f>
        <v>329.57</v>
      </c>
      <c r="J43" s="305">
        <f>(95-87.5)+35+34+40</f>
        <v>116.5</v>
      </c>
      <c r="L43" s="305"/>
      <c r="N43" s="305"/>
      <c r="O43" s="274">
        <f>SUM(E43:F43)-SUM(G43:N43)</f>
        <v>-0.74000000000000909</v>
      </c>
      <c r="P43" s="274" t="str">
        <f t="shared" si="7"/>
        <v>Kris</v>
      </c>
      <c r="Q43" s="271">
        <f>IF(F43-SUM(G43:N43)&lt;=0,(F43-SUM(G43:N43))*-1,0)</f>
        <v>0.74000000000000909</v>
      </c>
    </row>
    <row r="44" spans="2:20">
      <c r="B44" s="118"/>
      <c r="C44" s="118"/>
      <c r="E44" s="365">
        <f>E28</f>
        <v>0</v>
      </c>
      <c r="F44" s="365"/>
      <c r="G44" s="349"/>
      <c r="J44" s="7"/>
      <c r="L44" s="7"/>
      <c r="N44" s="7"/>
      <c r="O44" s="273"/>
      <c r="P44" s="273"/>
      <c r="Q44" s="282"/>
    </row>
    <row r="45" spans="2:20" ht="18">
      <c r="B45" s="728" t="s">
        <v>817</v>
      </c>
      <c r="C45" s="728"/>
      <c r="D45" s="728"/>
      <c r="E45" s="375">
        <f>G45+I45+K45+M45+N45+E44</f>
        <v>5390.85</v>
      </c>
      <c r="F45" s="379"/>
      <c r="G45" s="271">
        <f>3465.52+1050+55+20+148.5+45+32.83+35+34+210+200+40+55</f>
        <v>5390.85</v>
      </c>
      <c r="H45" s="282"/>
      <c r="I45" s="271"/>
      <c r="J45" s="271"/>
      <c r="K45" s="271"/>
      <c r="L45" s="271"/>
      <c r="M45" s="271"/>
      <c r="N45" s="271"/>
      <c r="O45" s="314">
        <f>ROUND(O5+O40+O27+IF(O41&lt;0,0,O41)+O43+O4,2)</f>
        <v>5631.49</v>
      </c>
      <c r="P45" s="274"/>
      <c r="Q45" s="282">
        <f>SUM(Q40,Q27,Q5)</f>
        <v>152.83060000000006</v>
      </c>
    </row>
    <row r="46" spans="2:20" ht="18">
      <c r="B46" s="118"/>
      <c r="C46" s="7"/>
      <c r="D46" s="13" t="s">
        <v>1451</v>
      </c>
      <c r="E46" s="365"/>
      <c r="F46" s="365"/>
      <c r="G46" s="384"/>
      <c r="H46" s="243"/>
      <c r="L46" s="243"/>
    </row>
    <row r="47" spans="2:20" ht="14.4">
      <c r="B47" s="729"/>
      <c r="C47" s="729"/>
      <c r="D47" s="729"/>
      <c r="E47" s="729"/>
      <c r="F47" s="729"/>
      <c r="G47" s="729"/>
      <c r="H47" s="297"/>
      <c r="K47" s="729"/>
      <c r="L47" s="729"/>
      <c r="M47" s="729"/>
      <c r="N47" s="729"/>
      <c r="O47" s="729"/>
      <c r="P47" s="297"/>
    </row>
    <row r="48" spans="2:20" ht="15" customHeight="1">
      <c r="B48" s="726" t="s">
        <v>955</v>
      </c>
      <c r="C48" s="726"/>
      <c r="E48"/>
      <c r="F48" s="348"/>
      <c r="H48" s="243"/>
      <c r="K48" s="212"/>
      <c r="L48" s="212"/>
      <c r="M48" s="243" t="e">
        <f>O43+#REF!</f>
        <v>#REF!</v>
      </c>
      <c r="N48" s="118" t="s">
        <v>1508</v>
      </c>
      <c r="O48" s="316">
        <v>45277</v>
      </c>
      <c r="P48" s="7">
        <f ca="1">DATEDIF(O48,NOW(),"d")</f>
        <v>974</v>
      </c>
      <c r="Q48">
        <v>270</v>
      </c>
      <c r="R48" t="s">
        <v>1500</v>
      </c>
    </row>
    <row r="49" spans="2:18">
      <c r="B49" s="365"/>
      <c r="C49" s="38"/>
      <c r="D49" t="s">
        <v>1758</v>
      </c>
      <c r="F49" s="11"/>
      <c r="G49" s="367"/>
      <c r="I49" s="243"/>
      <c r="K49" s="11"/>
      <c r="L49" s="243"/>
      <c r="N49" s="483" t="s">
        <v>1803</v>
      </c>
      <c r="O49" s="42">
        <v>45466</v>
      </c>
      <c r="P49" s="7">
        <f ca="1">DATEDIF(O49,NOW(),"d")</f>
        <v>785</v>
      </c>
      <c r="Q49">
        <v>55</v>
      </c>
      <c r="R49" t="s">
        <v>1703</v>
      </c>
    </row>
    <row r="50" spans="2:18">
      <c r="D50" t="s">
        <v>89</v>
      </c>
      <c r="E50" s="267">
        <v>168</v>
      </c>
      <c r="F50" s="457"/>
      <c r="H50" s="445"/>
      <c r="J50" s="243"/>
      <c r="L50" s="243"/>
      <c r="N50" s="358" t="s">
        <v>1802</v>
      </c>
      <c r="O50" s="316">
        <v>45466</v>
      </c>
      <c r="P50" s="7">
        <f ca="1">DATEDIF(O50,NOW(),"d")</f>
        <v>785</v>
      </c>
      <c r="Q50">
        <v>40</v>
      </c>
      <c r="R50" t="s">
        <v>1782</v>
      </c>
    </row>
    <row r="51" spans="2:18" ht="16.2" customHeight="1">
      <c r="D51" t="s">
        <v>93</v>
      </c>
      <c r="E51" s="267">
        <v>3839.09</v>
      </c>
      <c r="F51" s="457"/>
      <c r="G51" s="458"/>
      <c r="H51" s="243">
        <f>SUM(H36:J36)</f>
        <v>2648.89</v>
      </c>
      <c r="I51" s="243"/>
      <c r="J51" s="213" t="s">
        <v>1788</v>
      </c>
      <c r="K51" s="213">
        <v>5566.08</v>
      </c>
      <c r="L51" s="243"/>
      <c r="O51" s="316"/>
    </row>
    <row r="52" spans="2:18">
      <c r="B52" s="378"/>
      <c r="D52" t="s">
        <v>101</v>
      </c>
      <c r="E52" s="267">
        <v>1398.27</v>
      </c>
      <c r="F52" s="278"/>
      <c r="G52" s="243"/>
      <c r="H52" s="243">
        <f>H51-630</f>
        <v>2018.8899999999999</v>
      </c>
      <c r="J52" s="243" t="s">
        <v>1789</v>
      </c>
      <c r="K52">
        <f>2222.06</f>
        <v>2222.06</v>
      </c>
      <c r="L52" s="243"/>
      <c r="M52">
        <f>9.95+38.58+89.8+32.47</f>
        <v>170.79999999999998</v>
      </c>
      <c r="P52" s="56"/>
    </row>
    <row r="53" spans="2:18">
      <c r="D53" t="s">
        <v>111</v>
      </c>
      <c r="E53" s="267">
        <v>1998</v>
      </c>
      <c r="F53" s="451"/>
      <c r="H53" s="369"/>
      <c r="J53" s="243" t="s">
        <v>1790</v>
      </c>
      <c r="K53" s="243">
        <f>K51-J4-H4+M70</f>
        <v>409.16999999999973</v>
      </c>
      <c r="L53" s="243"/>
      <c r="N53" s="243"/>
      <c r="P53"/>
    </row>
    <row r="54" spans="2:18">
      <c r="D54" t="s">
        <v>118</v>
      </c>
      <c r="E54" s="267">
        <v>3423.59</v>
      </c>
      <c r="F54" s="451"/>
      <c r="G54" s="118"/>
      <c r="H54" s="118"/>
      <c r="J54" t="s">
        <v>1787</v>
      </c>
      <c r="K54" s="243">
        <f>K52-K53</f>
        <v>1812.8900000000003</v>
      </c>
      <c r="L54" s="243"/>
      <c r="M54" s="243"/>
      <c r="P54" s="212"/>
      <c r="Q54" s="212"/>
    </row>
    <row r="55" spans="2:18" ht="15" customHeight="1">
      <c r="D55" t="s">
        <v>17</v>
      </c>
      <c r="E55" s="267">
        <v>517.19000000000005</v>
      </c>
      <c r="F55"/>
      <c r="H55" s="243"/>
      <c r="K55" s="353"/>
      <c r="L55" s="243"/>
      <c r="M55" s="243"/>
      <c r="P55" s="56"/>
      <c r="Q55" s="38"/>
    </row>
    <row r="56" spans="2:18">
      <c r="D56" t="s">
        <v>29</v>
      </c>
      <c r="E56" s="267">
        <v>1125</v>
      </c>
      <c r="F56"/>
      <c r="L56" s="243"/>
      <c r="O56"/>
      <c r="P56"/>
    </row>
    <row r="57" spans="2:18" ht="15" customHeight="1">
      <c r="D57" t="s">
        <v>37</v>
      </c>
      <c r="E57" s="267">
        <v>948</v>
      </c>
      <c r="F57"/>
      <c r="H57" s="243"/>
      <c r="I57" s="726" t="s">
        <v>1799</v>
      </c>
      <c r="J57" s="726"/>
      <c r="K57" s="726"/>
      <c r="L57" s="243"/>
      <c r="O57"/>
      <c r="P57"/>
    </row>
    <row r="58" spans="2:18">
      <c r="D58" t="s">
        <v>53</v>
      </c>
      <c r="E58" s="446">
        <v>1116</v>
      </c>
      <c r="F58" t="s">
        <v>1804</v>
      </c>
      <c r="I58" t="s">
        <v>1785</v>
      </c>
      <c r="J58" s="79">
        <v>0</v>
      </c>
      <c r="K58" t="s">
        <v>1791</v>
      </c>
      <c r="L58" s="243"/>
      <c r="O58"/>
      <c r="P58"/>
    </row>
    <row r="59" spans="2:18">
      <c r="B59" s="11"/>
      <c r="D59" t="s">
        <v>59</v>
      </c>
      <c r="E59" s="405">
        <v>871</v>
      </c>
      <c r="H59" s="243"/>
      <c r="I59" t="s">
        <v>1792</v>
      </c>
      <c r="J59" s="79">
        <v>300</v>
      </c>
      <c r="K59" t="s">
        <v>1793</v>
      </c>
      <c r="O59"/>
      <c r="P59"/>
    </row>
    <row r="60" spans="2:18">
      <c r="B60" s="11"/>
      <c r="D60" t="s">
        <v>1759</v>
      </c>
      <c r="E60" s="332">
        <f>SUM(E50:E59)</f>
        <v>15404.140000000001</v>
      </c>
      <c r="I60" t="s">
        <v>1794</v>
      </c>
      <c r="J60" s="390">
        <v>75</v>
      </c>
      <c r="K60" t="s">
        <v>1795</v>
      </c>
      <c r="O60"/>
      <c r="P60"/>
    </row>
    <row r="61" spans="2:18">
      <c r="D61" t="s">
        <v>1760</v>
      </c>
      <c r="E61" s="405">
        <f>E60*1.5</f>
        <v>23106.210000000003</v>
      </c>
      <c r="I61" t="s">
        <v>1741</v>
      </c>
      <c r="J61" s="79">
        <v>20</v>
      </c>
      <c r="K61" t="s">
        <v>1795</v>
      </c>
      <c r="L61" s="243"/>
      <c r="M61" s="243"/>
      <c r="O61"/>
      <c r="P61"/>
    </row>
    <row r="62" spans="2:18">
      <c r="B62" s="212"/>
      <c r="C62" s="212"/>
      <c r="D62" t="s">
        <v>1761</v>
      </c>
      <c r="E62" s="409">
        <f>E61-E60</f>
        <v>7702.0700000000015</v>
      </c>
      <c r="F62" s="384"/>
      <c r="G62" s="484"/>
      <c r="I62" t="s">
        <v>1796</v>
      </c>
      <c r="J62" s="79">
        <v>0</v>
      </c>
      <c r="K62" s="118" t="s">
        <v>1795</v>
      </c>
      <c r="O62"/>
      <c r="P62"/>
    </row>
    <row r="63" spans="2:18" ht="14.4">
      <c r="C63" s="56"/>
      <c r="D63" t="s">
        <v>1762</v>
      </c>
      <c r="E63" s="405">
        <f>20*COUNT(E50:E59)</f>
        <v>200</v>
      </c>
      <c r="F63"/>
      <c r="I63" t="s">
        <v>1800</v>
      </c>
      <c r="J63" s="79">
        <f>30+12.99</f>
        <v>42.99</v>
      </c>
      <c r="K63" t="s">
        <v>1795</v>
      </c>
      <c r="O63"/>
      <c r="P63"/>
    </row>
    <row r="64" spans="2:18" ht="15.75" customHeight="1">
      <c r="C64" s="56"/>
      <c r="D64" t="s">
        <v>1763</v>
      </c>
      <c r="E64" s="405">
        <f>E62*0.0177</f>
        <v>136.32663900000003</v>
      </c>
      <c r="F64"/>
      <c r="L64" s="243">
        <f>K53+SUM(J58:J63)</f>
        <v>847.15999999999974</v>
      </c>
      <c r="M64" s="243"/>
      <c r="O64"/>
      <c r="P64"/>
    </row>
    <row r="65" spans="2:16" ht="14.4">
      <c r="C65" s="56"/>
      <c r="D65" t="s">
        <v>1764</v>
      </c>
      <c r="E65"/>
      <c r="F65"/>
      <c r="I65" s="726" t="s">
        <v>1798</v>
      </c>
      <c r="J65" s="726"/>
      <c r="K65" s="726"/>
      <c r="M65" s="243"/>
      <c r="O65"/>
      <c r="P65" s="771"/>
    </row>
    <row r="66" spans="2:16" ht="14.4">
      <c r="C66" s="56"/>
      <c r="D66" s="79"/>
      <c r="E66"/>
      <c r="F66" s="79"/>
      <c r="I66" s="407" t="s">
        <v>1786</v>
      </c>
      <c r="J66" s="79">
        <v>400</v>
      </c>
      <c r="O66"/>
      <c r="P66" s="771"/>
    </row>
    <row r="67" spans="2:16" ht="14.4">
      <c r="C67" s="56"/>
      <c r="E67"/>
      <c r="F67"/>
      <c r="I67" t="s">
        <v>1797</v>
      </c>
      <c r="J67" s="79">
        <v>100</v>
      </c>
      <c r="K67" s="118"/>
      <c r="M67" s="243"/>
      <c r="O67"/>
      <c r="P67" s="771"/>
    </row>
    <row r="68" spans="2:16" ht="14.4">
      <c r="C68" s="56"/>
      <c r="E68" s="407"/>
      <c r="F68"/>
      <c r="G68" s="407"/>
      <c r="O68"/>
      <c r="P68" s="771"/>
    </row>
    <row r="69" spans="2:16" ht="14.4">
      <c r="C69" s="56"/>
      <c r="E69"/>
      <c r="F69"/>
      <c r="J69" s="243" t="s">
        <v>1801</v>
      </c>
      <c r="M69">
        <f>255.2</f>
        <v>255.2</v>
      </c>
      <c r="O69"/>
      <c r="P69"/>
    </row>
    <row r="70" spans="2:16">
      <c r="C70" s="56"/>
      <c r="E70" s="347"/>
      <c r="F70" s="456"/>
      <c r="G70" s="487"/>
      <c r="J70" s="488">
        <f>K54-SUM(J58:J63)</f>
        <v>1374.9000000000003</v>
      </c>
      <c r="M70">
        <f>348.09-M69</f>
        <v>92.889999999999986</v>
      </c>
      <c r="O70"/>
      <c r="P70"/>
    </row>
    <row r="71" spans="2:16" ht="14.4">
      <c r="C71" s="56"/>
      <c r="D71" t="s">
        <v>1766</v>
      </c>
      <c r="E71" s="332">
        <v>600</v>
      </c>
      <c r="F71"/>
      <c r="J71" s="243"/>
      <c r="M71">
        <f>5249.8-M70</f>
        <v>5156.91</v>
      </c>
      <c r="O71"/>
      <c r="P71" s="771"/>
    </row>
    <row r="72" spans="2:16" ht="14.4">
      <c r="C72" s="56"/>
      <c r="D72" t="s">
        <v>1765</v>
      </c>
      <c r="E72" s="407">
        <f>15000*3</f>
        <v>45000</v>
      </c>
      <c r="F72" t="s">
        <v>1768</v>
      </c>
      <c r="G72" t="s">
        <v>1769</v>
      </c>
      <c r="H72" t="s">
        <v>1770</v>
      </c>
      <c r="J72" s="243"/>
      <c r="O72"/>
      <c r="P72" s="771"/>
    </row>
    <row r="73" spans="2:16" ht="15.45" customHeight="1">
      <c r="C73" s="56"/>
      <c r="D73" t="s">
        <v>1767</v>
      </c>
      <c r="E73">
        <f>F73</f>
        <v>431.99999999999994</v>
      </c>
      <c r="F73" s="79">
        <f>E72*0.0096</f>
        <v>431.99999999999994</v>
      </c>
      <c r="G73" s="79">
        <f>(E72*0.0094)*2</f>
        <v>846</v>
      </c>
      <c r="H73" s="55">
        <f>(E72*0.0092)*3</f>
        <v>1242</v>
      </c>
      <c r="M73">
        <f>5566.08-M71</f>
        <v>409.17000000000007</v>
      </c>
      <c r="O73"/>
      <c r="P73" s="771"/>
    </row>
    <row r="74" spans="2:16" ht="14.4">
      <c r="D74" s="459" t="s">
        <v>1773</v>
      </c>
      <c r="E74" s="243"/>
      <c r="F74" s="407">
        <f>E72+E72</f>
        <v>90000</v>
      </c>
      <c r="G74">
        <f>E72+(E72*2)</f>
        <v>135000</v>
      </c>
      <c r="H74">
        <f>E72+(E72*3)</f>
        <v>180000</v>
      </c>
      <c r="O74"/>
      <c r="P74" s="771"/>
    </row>
    <row r="75" spans="2:16" ht="14.4">
      <c r="B75" s="212"/>
      <c r="C75" s="294"/>
      <c r="D75" s="188" t="s">
        <v>1774</v>
      </c>
      <c r="E75" t="s">
        <v>1775</v>
      </c>
      <c r="F75"/>
      <c r="G75" s="407"/>
      <c r="O75"/>
      <c r="P75"/>
    </row>
    <row r="76" spans="2:16">
      <c r="C76" s="56"/>
      <c r="D76" s="188"/>
      <c r="E76">
        <f>29*3</f>
        <v>87</v>
      </c>
      <c r="M76" s="243"/>
      <c r="O76"/>
      <c r="P76"/>
    </row>
    <row r="77" spans="2:16">
      <c r="C77" s="56"/>
      <c r="O77"/>
      <c r="P77" s="771"/>
    </row>
    <row r="78" spans="2:16">
      <c r="C78" s="56"/>
      <c r="L78" s="459"/>
      <c r="M78" s="461"/>
      <c r="O78"/>
      <c r="P78" s="771"/>
    </row>
    <row r="79" spans="2:16">
      <c r="C79" s="56"/>
      <c r="E79" s="447"/>
      <c r="F79"/>
      <c r="L79" s="188"/>
      <c r="M79" s="230"/>
      <c r="O79"/>
      <c r="P79" s="771"/>
    </row>
    <row r="80" spans="2:16" ht="14.4">
      <c r="C80" s="56"/>
      <c r="D80" s="405"/>
      <c r="E80" s="407"/>
      <c r="F80" s="332"/>
      <c r="L80" s="188"/>
      <c r="M80" s="230"/>
      <c r="O80"/>
      <c r="P80" s="771"/>
    </row>
    <row r="81" spans="3:16">
      <c r="C81" s="56"/>
      <c r="D81" s="484" t="s">
        <v>1771</v>
      </c>
      <c r="E81">
        <v>355</v>
      </c>
      <c r="F81" s="56" t="s">
        <v>1772</v>
      </c>
      <c r="L81" s="188"/>
      <c r="M81" s="230"/>
      <c r="O81"/>
      <c r="P81"/>
    </row>
    <row r="82" spans="3:16">
      <c r="E82" s="447">
        <f>E81*5</f>
        <v>1775</v>
      </c>
      <c r="F82" s="56"/>
      <c r="L82" s="188"/>
      <c r="M82" s="230"/>
      <c r="O82"/>
      <c r="P82"/>
    </row>
    <row r="83" spans="3:16">
      <c r="D83" t="s">
        <v>1783</v>
      </c>
      <c r="E83" s="447"/>
      <c r="F83" s="365"/>
      <c r="L83" s="460"/>
      <c r="M83" s="230"/>
      <c r="O83"/>
      <c r="P83" s="771"/>
    </row>
    <row r="84" spans="3:16">
      <c r="D84" t="s">
        <v>19</v>
      </c>
      <c r="E84" s="447">
        <v>200</v>
      </c>
      <c r="F84" s="212"/>
      <c r="L84" s="405"/>
      <c r="M84" s="462"/>
      <c r="O84"/>
      <c r="P84" s="771"/>
    </row>
    <row r="85" spans="3:16">
      <c r="D85" t="s">
        <v>1784</v>
      </c>
      <c r="E85" s="447">
        <v>250</v>
      </c>
      <c r="F85" s="212"/>
      <c r="L85" s="405"/>
      <c r="M85" s="462"/>
      <c r="O85"/>
      <c r="P85" s="771"/>
    </row>
    <row r="86" spans="3:16" ht="14.4">
      <c r="D86" t="s">
        <v>135</v>
      </c>
      <c r="E86" s="56">
        <f>74+32+16+42+8+13+102+92+26+55+26+80+117</f>
        <v>683</v>
      </c>
      <c r="F86" s="56">
        <f>E86*1.039</f>
        <v>709.63699999999994</v>
      </c>
      <c r="O86"/>
      <c r="P86" s="771"/>
    </row>
    <row r="87" spans="3:16" ht="14.4">
      <c r="D87" t="s">
        <v>131</v>
      </c>
      <c r="E87" s="56">
        <f>SUM(E84:E86)</f>
        <v>1133</v>
      </c>
      <c r="F87" s="56"/>
      <c r="O87"/>
      <c r="P87" s="771"/>
    </row>
    <row r="88" spans="3:16" ht="14.4">
      <c r="D88" t="s">
        <v>857</v>
      </c>
      <c r="E88" s="292">
        <v>1296.69</v>
      </c>
      <c r="F88" s="56"/>
      <c r="O88"/>
      <c r="P88"/>
    </row>
    <row r="89" spans="3:16" ht="14.4">
      <c r="E89" s="42"/>
      <c r="F89" s="56"/>
      <c r="O89"/>
      <c r="P89"/>
    </row>
    <row r="90" spans="3:16" ht="14.4">
      <c r="E90" s="56"/>
      <c r="F90" s="56"/>
      <c r="O90"/>
      <c r="P90" s="771"/>
    </row>
    <row r="91" spans="3:16">
      <c r="O91"/>
      <c r="P91" s="771"/>
    </row>
    <row r="92" spans="3:16" ht="14.4">
      <c r="E92" s="212"/>
      <c r="F92" s="212"/>
      <c r="O92"/>
      <c r="P92" s="771"/>
    </row>
    <row r="93" spans="3:16" ht="14.4">
      <c r="E93" s="56"/>
      <c r="F93" s="56"/>
      <c r="O93"/>
      <c r="P93" s="771"/>
    </row>
    <row r="94" spans="3:16" ht="14.4">
      <c r="E94" s="56"/>
      <c r="F94" s="56"/>
      <c r="O94"/>
      <c r="P94"/>
    </row>
    <row r="95" spans="3:16" ht="14.4">
      <c r="E95" s="56"/>
      <c r="F95" s="56"/>
      <c r="G95" s="407"/>
      <c r="O95"/>
      <c r="P95"/>
    </row>
    <row r="96" spans="3:16" ht="14.4">
      <c r="E96" s="56"/>
      <c r="F96" s="56"/>
      <c r="G96" s="407"/>
      <c r="O96"/>
      <c r="P96" s="771"/>
    </row>
    <row r="97" spans="5:16" ht="14.4">
      <c r="E97" s="56"/>
      <c r="F97" s="56"/>
      <c r="G97" s="407"/>
      <c r="O97"/>
      <c r="P97" s="771"/>
    </row>
    <row r="98" spans="5:16" ht="14.4">
      <c r="E98" s="56"/>
      <c r="F98" s="56"/>
      <c r="G98" s="407"/>
      <c r="O98"/>
      <c r="P98" s="771"/>
    </row>
    <row r="99" spans="5:16">
      <c r="E99" s="365"/>
      <c r="F99" s="365"/>
      <c r="G99" s="407"/>
      <c r="O99"/>
      <c r="P99" s="771"/>
    </row>
    <row r="100" spans="5:16">
      <c r="E100" s="486"/>
      <c r="G100" s="407"/>
      <c r="O100"/>
      <c r="P100"/>
    </row>
    <row r="101" spans="5:16">
      <c r="G101" s="407"/>
      <c r="O101"/>
      <c r="P101"/>
    </row>
    <row r="102" spans="5:16">
      <c r="G102" s="407"/>
    </row>
    <row r="106" spans="5:16">
      <c r="F106" s="384"/>
    </row>
    <row r="107" spans="5:16">
      <c r="F107" s="384"/>
    </row>
  </sheetData>
  <mergeCells count="29">
    <mergeCell ref="I57:K57"/>
    <mergeCell ref="I65:K65"/>
    <mergeCell ref="B26:E26"/>
    <mergeCell ref="B1:O1"/>
    <mergeCell ref="G3:H3"/>
    <mergeCell ref="I3:J3"/>
    <mergeCell ref="K3:L3"/>
    <mergeCell ref="M3:N3"/>
    <mergeCell ref="B4:E4"/>
    <mergeCell ref="B5:C5"/>
    <mergeCell ref="D5:E5"/>
    <mergeCell ref="B6:B22"/>
    <mergeCell ref="C6:C22"/>
    <mergeCell ref="E10:F10"/>
    <mergeCell ref="B47:G47"/>
    <mergeCell ref="K47:O47"/>
    <mergeCell ref="B48:C48"/>
    <mergeCell ref="B27:C27"/>
    <mergeCell ref="D27:E27"/>
    <mergeCell ref="B39:E39"/>
    <mergeCell ref="B40:C40"/>
    <mergeCell ref="D40:E40"/>
    <mergeCell ref="B45:D45"/>
    <mergeCell ref="P96:P99"/>
    <mergeCell ref="P65:P68"/>
    <mergeCell ref="P71:P74"/>
    <mergeCell ref="P77:P80"/>
    <mergeCell ref="P83:P87"/>
    <mergeCell ref="P90:P93"/>
  </mergeCells>
  <pageMargins left="0.7" right="0.7" top="0.75" bottom="0.75" header="0.3" footer="0.3"/>
  <pageSetup orientation="portrait" r:id="rId1"/>
  <legacyDrawing r:id="rId2"/>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FA94-E55F-4067-8E1C-DB173F1C8DE7}">
  <dimension ref="A1:T108"/>
  <sheetViews>
    <sheetView topLeftCell="D27" zoomScale="90" zoomScaleNormal="90" workbookViewId="0">
      <selection activeCell="G46" sqref="G46"/>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MAY-JUN L 24</v>
      </c>
      <c r="B1" s="730" t="str">
        <f ca="1">MID(CELL("filename",B1),FIND("]",CELL("filename",B1))+1,255)</f>
        <v>JUN-JUL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ROUND(O5+O42+O26+IF(O43&lt;0,0,O43)+O44+O4,2) &amp; " / " &amp; "£" &amp; E46</f>
        <v>£3399.39 / £5781.86</v>
      </c>
      <c r="E3" s="365"/>
      <c r="F3" s="365"/>
      <c r="G3" s="732">
        <v>45437</v>
      </c>
      <c r="H3" s="732"/>
      <c r="I3" s="732">
        <f>G3+7</f>
        <v>45444</v>
      </c>
      <c r="J3" s="732"/>
      <c r="K3" s="732">
        <f>I3+7</f>
        <v>45451</v>
      </c>
      <c r="L3" s="732"/>
      <c r="M3" s="732">
        <f>K3+7</f>
        <v>45458</v>
      </c>
      <c r="N3" s="732"/>
      <c r="O3" s="308">
        <v>0</v>
      </c>
      <c r="P3" s="325" t="s">
        <v>1224</v>
      </c>
      <c r="Q3" s="282"/>
    </row>
    <row r="4" spans="1:20" ht="15" customHeight="1">
      <c r="B4" s="727" t="str">
        <f>_xlfn.CONCAT("Expenses - 50 - ",G46*0.5," / Actual = ",ROUND(D5,2)," (",ROUND((D5/G46)*100,2),")")</f>
        <v>Expenses - 50 - 2890.93 / Actual = 3167.01 (54.77)</v>
      </c>
      <c r="C4" s="727"/>
      <c r="D4" s="727"/>
      <c r="E4" s="727"/>
      <c r="F4" s="318"/>
      <c r="G4" s="243"/>
      <c r="H4" s="304">
        <f>SUM(H5:H44)</f>
        <v>1818.58</v>
      </c>
      <c r="I4" s="243"/>
      <c r="J4" s="304">
        <f>SUM(J5:J44)</f>
        <v>1325.6100000000001</v>
      </c>
      <c r="K4" s="243"/>
      <c r="L4" s="304">
        <f>SUM(L5:L44)</f>
        <v>0</v>
      </c>
      <c r="M4" s="243"/>
      <c r="N4" s="304">
        <f>SUM(N5:N44)-SUM(N28:N34)</f>
        <v>0</v>
      </c>
      <c r="O4" s="308">
        <f>IF(H45&lt;&gt;"PAID",H4,0)+IF(J45&lt;&gt;"PAID",J4,0)+IF(L45&lt;&gt;"PAID",L4,0)+IF(N45&lt;&gt;"PAID",N4,0)</f>
        <v>3144.19</v>
      </c>
      <c r="P4" s="309" t="s">
        <v>973</v>
      </c>
      <c r="Q4" s="408">
        <f>O4+402.34</f>
        <v>3546.53</v>
      </c>
      <c r="R4" s="243">
        <f>2761.15-SUM(O4:O5)</f>
        <v>-638.23999999999978</v>
      </c>
      <c r="S4" s="243"/>
    </row>
    <row r="5" spans="1:20" ht="15" customHeight="1">
      <c r="B5" s="733" t="str">
        <f>IF(D5&gt;E$46*0.5,ROUND(D5-E$46*0.5,2) &amp; " Over",ROUND(E$46*0.5-D5,2) &amp; " Under")</f>
        <v>276.08 Over</v>
      </c>
      <c r="C5" s="733"/>
      <c r="D5" s="761">
        <f>ROUND(SUM(F6:F23),2)</f>
        <v>3167.01</v>
      </c>
      <c r="E5" s="761"/>
      <c r="F5" s="321"/>
      <c r="G5" s="284"/>
      <c r="H5" s="306"/>
      <c r="I5" s="79"/>
      <c r="J5" s="306"/>
      <c r="K5" s="390"/>
      <c r="L5" s="306"/>
      <c r="M5" s="79"/>
      <c r="N5" s="305"/>
      <c r="O5" s="285">
        <f>SUMIF(O6:O23,"&gt;0")</f>
        <v>255.2</v>
      </c>
      <c r="P5" s="285" t="s">
        <v>892</v>
      </c>
      <c r="Q5" s="282">
        <f>SUM(Q6:Q22)</f>
        <v>129.2706</v>
      </c>
      <c r="R5" s="243"/>
    </row>
    <row r="6" spans="1:20" ht="15" customHeight="1">
      <c r="B6" s="734" t="str">
        <f>"50%: " &amp; E$46*0.5</f>
        <v>50%: 2890.93</v>
      </c>
      <c r="C6" s="734" t="str">
        <f>ROUND((D5/E$46)*100,2) &amp; "%: " &amp;D5</f>
        <v>54.77%: 3167.01</v>
      </c>
      <c r="D6" s="13" t="s">
        <v>805</v>
      </c>
      <c r="E6" s="365">
        <v>0</v>
      </c>
      <c r="F6" s="374">
        <v>150</v>
      </c>
      <c r="H6" s="304">
        <f>30.02+20.04+40.03+25+20.1+20.04+20.24</f>
        <v>175.47</v>
      </c>
      <c r="J6" s="305"/>
      <c r="L6" s="305"/>
      <c r="N6" s="305"/>
      <c r="O6" s="274">
        <f>SUM(E6:F6)-SUM(G6:N6)</f>
        <v>-25.47</v>
      </c>
      <c r="P6" s="274" t="str">
        <f t="shared" ref="P6:P23" si="0">D6</f>
        <v>Car Petrol / commuting</v>
      </c>
      <c r="Q6" s="282">
        <f t="shared" ref="Q6:Q22" si="1">IF(O6&lt;0,O6*-1,0)</f>
        <v>25.47</v>
      </c>
      <c r="R6" s="243"/>
    </row>
    <row r="7" spans="1:20" ht="15" customHeight="1">
      <c r="B7" s="734"/>
      <c r="C7" s="734"/>
      <c r="D7" s="13" t="s">
        <v>169</v>
      </c>
      <c r="E7" s="365">
        <v>0</v>
      </c>
      <c r="F7" s="365">
        <f>400</f>
        <v>400</v>
      </c>
      <c r="H7" s="304">
        <f>73.67+21.98+10.95+31.18+25.25+37.25+40.57+41.26+32.21+51.29+71.26</f>
        <v>436.87</v>
      </c>
      <c r="J7" s="305">
        <f>7.22+20.35+19.38</f>
        <v>46.95</v>
      </c>
      <c r="L7" s="305"/>
      <c r="N7" s="305"/>
      <c r="O7" s="274">
        <f>SUM(E7:F7)-SUM(G7:N7)</f>
        <v>-83.82</v>
      </c>
      <c r="P7" s="274" t="str">
        <f t="shared" si="0"/>
        <v>Food</v>
      </c>
      <c r="Q7" s="282">
        <f t="shared" si="1"/>
        <v>83.82</v>
      </c>
      <c r="R7" s="243"/>
    </row>
    <row r="8" spans="1:20" ht="15" customHeight="1">
      <c r="B8" s="734"/>
      <c r="C8" s="734"/>
      <c r="D8" s="13" t="s">
        <v>153</v>
      </c>
      <c r="E8" s="365">
        <v>0</v>
      </c>
      <c r="F8" s="365">
        <v>101.13</v>
      </c>
      <c r="H8" s="305">
        <f>(36.55-15)</f>
        <v>21.549999999999997</v>
      </c>
      <c r="J8" s="305">
        <f>38.5+21.7+12.49+23.4</f>
        <v>96.09</v>
      </c>
      <c r="L8" s="305"/>
      <c r="N8" s="305"/>
      <c r="O8" s="274">
        <f>SUM(E8:F8)-SUM(G8:N8)</f>
        <v>-16.510000000000005</v>
      </c>
      <c r="P8" s="274" t="str">
        <f t="shared" si="0"/>
        <v>Luna</v>
      </c>
      <c r="Q8" s="282">
        <f t="shared" si="1"/>
        <v>16.510000000000005</v>
      </c>
    </row>
    <row r="9" spans="1:20" ht="15" customHeight="1">
      <c r="B9" s="734"/>
      <c r="C9" s="734"/>
      <c r="D9" s="13" t="s">
        <v>1079</v>
      </c>
      <c r="E9" s="365">
        <v>0</v>
      </c>
      <c r="F9" s="365">
        <f>20+13.12-1.13</f>
        <v>31.99</v>
      </c>
      <c r="H9" s="305">
        <f>15+16.99</f>
        <v>31.99</v>
      </c>
      <c r="J9" s="305"/>
      <c r="L9" s="305"/>
      <c r="N9" s="305"/>
      <c r="O9" s="274">
        <f>SUM(E9:F9)-SUM(G9:N9)</f>
        <v>0</v>
      </c>
      <c r="P9" s="274" t="str">
        <f t="shared" si="0"/>
        <v>Creamy</v>
      </c>
      <c r="Q9" s="282">
        <f t="shared" si="1"/>
        <v>0</v>
      </c>
      <c r="R9" s="243"/>
    </row>
    <row r="10" spans="1:20" ht="15" customHeight="1">
      <c r="B10" s="734"/>
      <c r="C10" s="734"/>
      <c r="D10" s="13" t="s">
        <v>189</v>
      </c>
      <c r="E10" s="780">
        <f>SUM(F11:F23)</f>
        <v>2483.8894</v>
      </c>
      <c r="F10" s="780"/>
      <c r="G10" s="243"/>
      <c r="H10" s="305"/>
      <c r="J10" s="305"/>
      <c r="L10" s="305"/>
      <c r="N10" s="305"/>
      <c r="O10" s="274"/>
      <c r="P10" s="274" t="str">
        <f t="shared" si="0"/>
        <v>Direct debits</v>
      </c>
      <c r="Q10" s="282"/>
      <c r="R10" s="243"/>
    </row>
    <row r="11" spans="1:20" ht="15" customHeight="1" outlineLevel="1">
      <c r="B11" s="734"/>
      <c r="C11" s="734"/>
      <c r="D11" s="201" t="s">
        <v>595</v>
      </c>
      <c r="E11" s="365">
        <v>0</v>
      </c>
      <c r="F11" s="365">
        <v>838</v>
      </c>
      <c r="G11">
        <v>838</v>
      </c>
      <c r="H11" s="304"/>
      <c r="J11" s="305"/>
      <c r="L11" s="305"/>
      <c r="N11" s="305"/>
      <c r="O11" s="274">
        <f t="shared" ref="O11:O16" si="2">SUM(E11:F11)-SUM(G11:N11)</f>
        <v>0</v>
      </c>
      <c r="P11" s="274" t="str">
        <f t="shared" si="0"/>
        <v>Mortgage</v>
      </c>
      <c r="Q11" s="282">
        <f t="shared" si="1"/>
        <v>0</v>
      </c>
      <c r="R11" s="243"/>
      <c r="S11" s="11"/>
    </row>
    <row r="12" spans="1:20" ht="15" customHeight="1" outlineLevel="1">
      <c r="B12" s="734"/>
      <c r="C12" s="734"/>
      <c r="D12" s="201" t="s">
        <v>596</v>
      </c>
      <c r="E12" s="365">
        <v>0</v>
      </c>
      <c r="F12" s="365">
        <v>154</v>
      </c>
      <c r="G12">
        <v>154</v>
      </c>
      <c r="H12" s="305"/>
      <c r="J12" s="305"/>
      <c r="L12" s="305"/>
      <c r="N12" s="305"/>
      <c r="O12" s="274">
        <f t="shared" si="2"/>
        <v>0</v>
      </c>
      <c r="P12" s="274" t="str">
        <f t="shared" si="0"/>
        <v>Council tax</v>
      </c>
      <c r="Q12" s="282">
        <f t="shared" si="1"/>
        <v>0</v>
      </c>
      <c r="S12" s="349"/>
    </row>
    <row r="13" spans="1:20" ht="15" customHeight="1" outlineLevel="1">
      <c r="B13" s="734"/>
      <c r="C13" s="734"/>
      <c r="D13" s="201" t="s">
        <v>1002</v>
      </c>
      <c r="E13" s="365">
        <v>0</v>
      </c>
      <c r="F13" s="365">
        <f>34+111.75</f>
        <v>145.75</v>
      </c>
      <c r="G13">
        <f>34+111.75</f>
        <v>145.75</v>
      </c>
      <c r="H13" s="305"/>
      <c r="J13" s="305"/>
      <c r="L13" s="305"/>
      <c r="N13" s="305"/>
      <c r="O13" s="274">
        <f>SUM(E13:F13)-SUM(G13:N13)</f>
        <v>0</v>
      </c>
      <c r="P13" s="274" t="str">
        <f t="shared" si="0"/>
        <v>Utilities (G,W,E,HTB)</v>
      </c>
      <c r="Q13" s="282">
        <f t="shared" si="1"/>
        <v>0</v>
      </c>
    </row>
    <row r="14" spans="1:20" ht="15" customHeight="1" outlineLevel="1">
      <c r="B14" s="734"/>
      <c r="C14" s="734"/>
      <c r="D14" s="201" t="s">
        <v>996</v>
      </c>
      <c r="E14" s="365">
        <v>0</v>
      </c>
      <c r="F14" s="365">
        <v>22.7</v>
      </c>
      <c r="H14" s="305"/>
      <c r="J14" s="305"/>
      <c r="L14" s="305"/>
      <c r="N14" s="305"/>
      <c r="O14" s="274">
        <f>SUM(E14:F14)-SUM(G14:N14)</f>
        <v>22.7</v>
      </c>
      <c r="P14" s="274" t="str">
        <f t="shared" si="0"/>
        <v>Home Insurance</v>
      </c>
      <c r="Q14" s="282">
        <f t="shared" si="1"/>
        <v>0</v>
      </c>
    </row>
    <row r="15" spans="1:20" ht="15" customHeight="1" outlineLevel="1">
      <c r="B15" s="734"/>
      <c r="C15" s="734"/>
      <c r="D15" s="201" t="s">
        <v>1056</v>
      </c>
      <c r="E15" s="365">
        <v>0</v>
      </c>
      <c r="F15" s="365">
        <f>8+23.99+20.99</f>
        <v>52.98</v>
      </c>
      <c r="G15">
        <f>20.99+23.99+8</f>
        <v>52.98</v>
      </c>
      <c r="H15" s="305"/>
      <c r="J15" s="305"/>
      <c r="L15" s="305"/>
      <c r="N15" s="305"/>
      <c r="O15" s="274">
        <f>SUM(E15:F15)-SUM(G15:N15)</f>
        <v>0</v>
      </c>
      <c r="P15" s="274" t="str">
        <f t="shared" si="0"/>
        <v>Pet Health / Insurance</v>
      </c>
      <c r="Q15" s="282">
        <f t="shared" si="1"/>
        <v>0</v>
      </c>
    </row>
    <row r="16" spans="1:20" ht="15" customHeight="1" outlineLevel="1">
      <c r="B16" s="734"/>
      <c r="C16" s="734"/>
      <c r="D16" s="201" t="s">
        <v>1057</v>
      </c>
      <c r="E16" s="365">
        <v>0</v>
      </c>
      <c r="F16" s="365">
        <f>4.52+15.97+30.8</f>
        <v>51.290000000000006</v>
      </c>
      <c r="G16">
        <f>20.49+30.8</f>
        <v>51.29</v>
      </c>
      <c r="H16" s="305"/>
      <c r="I16" s="11"/>
      <c r="J16" s="305"/>
      <c r="L16" s="305"/>
      <c r="N16" s="305"/>
      <c r="O16" s="274">
        <f t="shared" si="2"/>
        <v>0</v>
      </c>
      <c r="P16" s="274" t="str">
        <f t="shared" si="0"/>
        <v>Life / Income Insurance</v>
      </c>
      <c r="Q16" s="282">
        <f t="shared" si="1"/>
        <v>0</v>
      </c>
    </row>
    <row r="17" spans="2:20" ht="15" customHeight="1" outlineLevel="1">
      <c r="B17" s="734"/>
      <c r="C17" s="734"/>
      <c r="D17" s="201" t="s">
        <v>602</v>
      </c>
      <c r="E17" s="365">
        <v>0</v>
      </c>
      <c r="F17" s="365">
        <f>(28.6*1.079)</f>
        <v>30.859400000000001</v>
      </c>
      <c r="G17">
        <v>30.86</v>
      </c>
      <c r="H17" s="305"/>
      <c r="J17" s="305"/>
      <c r="L17" s="305"/>
      <c r="N17" s="305"/>
      <c r="O17" s="274">
        <f t="shared" ref="O17:O22" si="3">SUM(E17:F17)-SUM(G17:N17)</f>
        <v>-5.9999999999860165E-4</v>
      </c>
      <c r="P17" s="274" t="str">
        <f t="shared" si="0"/>
        <v>Broadband / TV</v>
      </c>
      <c r="Q17" s="282">
        <f t="shared" si="1"/>
        <v>5.9999999999860165E-4</v>
      </c>
    </row>
    <row r="18" spans="2:20" ht="15" customHeight="1" outlineLevel="1">
      <c r="B18" s="734"/>
      <c r="C18" s="734"/>
      <c r="D18" s="201" t="s">
        <v>582</v>
      </c>
      <c r="E18" s="365">
        <v>0</v>
      </c>
      <c r="F18" s="365">
        <v>7.99</v>
      </c>
      <c r="G18">
        <v>7.99</v>
      </c>
      <c r="H18" s="305"/>
      <c r="J18" s="305"/>
      <c r="L18" s="305"/>
      <c r="N18" s="305"/>
      <c r="O18" s="274">
        <f t="shared" si="3"/>
        <v>0</v>
      </c>
      <c r="P18" s="274" t="str">
        <f t="shared" si="0"/>
        <v>Onedrive (6th)</v>
      </c>
      <c r="Q18" s="282">
        <f t="shared" si="1"/>
        <v>0</v>
      </c>
    </row>
    <row r="19" spans="2:20" ht="15" customHeight="1" outlineLevel="1">
      <c r="B19" s="734"/>
      <c r="C19" s="734"/>
      <c r="D19" s="201" t="s">
        <v>788</v>
      </c>
      <c r="E19" s="365">
        <v>0</v>
      </c>
      <c r="F19" s="365">
        <v>11.6</v>
      </c>
      <c r="G19">
        <v>15.07</v>
      </c>
      <c r="H19" s="305"/>
      <c r="J19" s="305"/>
      <c r="L19" s="305"/>
      <c r="N19" s="305"/>
      <c r="O19" s="274">
        <f t="shared" si="3"/>
        <v>-3.4700000000000006</v>
      </c>
      <c r="P19" s="274" t="str">
        <f t="shared" si="0"/>
        <v>Matt Phone</v>
      </c>
      <c r="Q19" s="282">
        <f t="shared" si="1"/>
        <v>3.4700000000000006</v>
      </c>
    </row>
    <row r="20" spans="2:20" ht="15" customHeight="1" outlineLevel="1">
      <c r="B20" s="734"/>
      <c r="C20" s="734"/>
      <c r="D20" s="201" t="s">
        <v>1279</v>
      </c>
      <c r="E20" s="365">
        <v>0</v>
      </c>
      <c r="F20" s="365">
        <v>232.5</v>
      </c>
      <c r="H20" s="305"/>
      <c r="J20" s="305"/>
      <c r="L20" s="305"/>
      <c r="N20" s="305"/>
      <c r="O20" s="274">
        <f t="shared" si="3"/>
        <v>232.5</v>
      </c>
      <c r="P20" s="274" t="str">
        <f t="shared" si="0"/>
        <v>Watch</v>
      </c>
      <c r="Q20" s="282">
        <f t="shared" si="1"/>
        <v>0</v>
      </c>
    </row>
    <row r="21" spans="2:20" ht="15" customHeight="1" outlineLevel="1">
      <c r="B21" s="734"/>
      <c r="C21" s="734"/>
      <c r="D21" s="201" t="s">
        <v>690</v>
      </c>
      <c r="E21" s="365">
        <v>0</v>
      </c>
      <c r="F21" s="365">
        <f>11.81+14.43+270.97+46.69+89.64+468.84-13.12</f>
        <v>889.26</v>
      </c>
      <c r="G21">
        <f>46.69+13.12+89.64+468.84+270.97</f>
        <v>889.26</v>
      </c>
      <c r="H21" s="305"/>
      <c r="J21" s="305"/>
      <c r="L21" s="305"/>
      <c r="N21" s="305"/>
      <c r="O21" s="274">
        <f t="shared" si="3"/>
        <v>0</v>
      </c>
      <c r="P21" s="274" t="str">
        <f t="shared" si="0"/>
        <v>Cars</v>
      </c>
      <c r="Q21" s="282">
        <f t="shared" si="1"/>
        <v>0</v>
      </c>
    </row>
    <row r="22" spans="2:20" ht="15" customHeight="1" outlineLevel="1">
      <c r="B22" s="734"/>
      <c r="C22" s="734"/>
      <c r="D22" s="201" t="s">
        <v>944</v>
      </c>
      <c r="E22" s="365">
        <v>0</v>
      </c>
      <c r="F22" s="365">
        <v>15</v>
      </c>
      <c r="G22">
        <v>15</v>
      </c>
      <c r="H22" s="305"/>
      <c r="J22" s="305"/>
      <c r="L22" s="305"/>
      <c r="N22" s="305"/>
      <c r="O22" s="274">
        <f t="shared" si="3"/>
        <v>0</v>
      </c>
      <c r="P22" s="274" t="str">
        <f t="shared" si="0"/>
        <v>Windows</v>
      </c>
      <c r="Q22" s="282">
        <f t="shared" si="1"/>
        <v>0</v>
      </c>
      <c r="R22" s="243"/>
    </row>
    <row r="23" spans="2:20" ht="15" customHeight="1" outlineLevel="1">
      <c r="B23" s="7"/>
      <c r="C23" s="7"/>
      <c r="D23" s="201" t="s">
        <v>781</v>
      </c>
      <c r="E23" s="365">
        <v>0</v>
      </c>
      <c r="F23" s="365">
        <f>13+4.99+0.99+2.99+9.99</f>
        <v>31.96</v>
      </c>
      <c r="G23" s="11">
        <f>2.99+13+1.49+4.99+9.99</f>
        <v>32.46</v>
      </c>
      <c r="H23" s="305"/>
      <c r="J23" s="305"/>
      <c r="L23" s="305"/>
      <c r="N23" s="305"/>
      <c r="O23" s="274">
        <f t="shared" ref="O23" si="4">SUM(E23:F23)-SUM(G23:N23)</f>
        <v>-0.5</v>
      </c>
      <c r="P23" s="274" t="str">
        <f t="shared" si="0"/>
        <v>Subscriptions</v>
      </c>
      <c r="Q23" s="282"/>
      <c r="R23" s="243"/>
    </row>
    <row r="24" spans="2:20" ht="15" customHeight="1">
      <c r="B24" s="118"/>
      <c r="C24" s="118"/>
      <c r="D24" s="188"/>
      <c r="E24" s="365"/>
      <c r="F24" s="365"/>
      <c r="H24" s="305"/>
      <c r="J24" s="305"/>
      <c r="L24" s="305"/>
      <c r="N24" s="305"/>
      <c r="O24" s="273"/>
      <c r="P24" s="273"/>
      <c r="Q24" s="282"/>
    </row>
    <row r="25" spans="2:20" ht="15" customHeight="1">
      <c r="B25" s="736" t="str">
        <f>_xlfn.CONCAT("Savings - 20 - ",G46*0.2," / Actual = ",D26," (",ROUND((D26/G46)*100,2),")")</f>
        <v>Savings - 20 - 1156.372 / Actual = 1538.99 (26.62)</v>
      </c>
      <c r="C25" s="736"/>
      <c r="D25" s="736"/>
      <c r="E25" s="736"/>
      <c r="F25" s="320"/>
      <c r="H25" s="305"/>
      <c r="J25" s="305"/>
      <c r="L25" s="305"/>
      <c r="N25" s="305"/>
      <c r="O25" s="274"/>
      <c r="P25" s="274"/>
      <c r="Q25" s="282"/>
    </row>
    <row r="26" spans="2:20" ht="15" customHeight="1">
      <c r="B26" s="727" t="str">
        <f>IF(ISNUMBER((SEARCH("Over",C$5))),"Operating under budget","Operating over budget")</f>
        <v>Operating over budget</v>
      </c>
      <c r="C26" s="727"/>
      <c r="D26" s="759">
        <f>F27</f>
        <v>1538.9900000000002</v>
      </c>
      <c r="E26" s="759"/>
      <c r="F26" s="319"/>
      <c r="H26" s="305"/>
      <c r="J26" s="305"/>
      <c r="L26" s="305"/>
      <c r="N26" s="305"/>
      <c r="O26" s="285">
        <f>0</f>
        <v>0</v>
      </c>
      <c r="P26" s="285" t="s">
        <v>895</v>
      </c>
      <c r="Q26" s="282">
        <f>SUM(Q27:Q27)</f>
        <v>0</v>
      </c>
    </row>
    <row r="27" spans="2:20" ht="15" customHeight="1" outlineLevel="1">
      <c r="B27" s="7" t="str">
        <f>"20% : " &amp; E$46*0.2</f>
        <v>20% : 1156.372</v>
      </c>
      <c r="C27" s="7" t="str">
        <f>"20% : " &amp; E$46*0.2</f>
        <v>20% : 1156.372</v>
      </c>
      <c r="D27" s="300" t="s">
        <v>183</v>
      </c>
      <c r="E27" s="365">
        <v>0</v>
      </c>
      <c r="F27" s="365">
        <f>SUM(F28:F38)</f>
        <v>1538.9900000000002</v>
      </c>
      <c r="H27" s="305"/>
      <c r="J27" s="305"/>
      <c r="L27" s="305"/>
      <c r="N27" s="305"/>
      <c r="O27" s="274">
        <f>SUM(O28:O38)</f>
        <v>-13.59060000000045</v>
      </c>
      <c r="P27" s="274" t="str">
        <f t="shared" ref="P27:P39" si="5">D27</f>
        <v>Savings</v>
      </c>
      <c r="Q27" s="282">
        <v>0</v>
      </c>
      <c r="R27" s="495"/>
      <c r="S27" s="243"/>
    </row>
    <row r="28" spans="2:20" ht="15" customHeight="1" outlineLevel="1">
      <c r="B28" s="7"/>
      <c r="C28" s="7"/>
      <c r="D28" s="300" t="s">
        <v>1485</v>
      </c>
      <c r="E28" s="365">
        <v>0</v>
      </c>
      <c r="F28" s="365">
        <v>40</v>
      </c>
      <c r="H28" s="305"/>
      <c r="J28" s="305"/>
      <c r="L28" s="362"/>
      <c r="N28" s="315"/>
      <c r="O28" s="274">
        <f>SUM(E28:F28)-SUM(G28:N28)</f>
        <v>40</v>
      </c>
      <c r="P28" s="274" t="str">
        <f t="shared" si="5"/>
        <v>MOT / Service</v>
      </c>
      <c r="Q28" s="282"/>
      <c r="R28" s="243"/>
    </row>
    <row r="29" spans="2:20" ht="15" customHeight="1" outlineLevel="1">
      <c r="B29" s="7"/>
      <c r="C29" s="7"/>
      <c r="D29" s="300" t="s">
        <v>690</v>
      </c>
      <c r="E29" s="365">
        <v>0</v>
      </c>
      <c r="F29" s="365">
        <f>-468.84-232.5</f>
        <v>-701.33999999999992</v>
      </c>
      <c r="H29" s="305"/>
      <c r="J29" s="305"/>
      <c r="L29" s="362"/>
      <c r="N29" s="315"/>
      <c r="O29" s="274">
        <f>SUM(E29:F29)-SUM(G29:N29)</f>
        <v>-701.33999999999992</v>
      </c>
      <c r="P29" s="274" t="str">
        <f t="shared" si="5"/>
        <v>Cars</v>
      </c>
      <c r="Q29" s="282"/>
      <c r="R29" s="243"/>
    </row>
    <row r="30" spans="2:20" ht="15" customHeight="1" outlineLevel="1">
      <c r="B30" s="7"/>
      <c r="C30" s="7"/>
      <c r="D30" s="300" t="s">
        <v>590</v>
      </c>
      <c r="E30" s="365">
        <v>0</v>
      </c>
      <c r="F30" s="365">
        <f>165+10.99+8.99+2.85+29.95+20+10.06+50+593.82+140</f>
        <v>1031.6600000000001</v>
      </c>
      <c r="G30">
        <v>80</v>
      </c>
      <c r="H30" s="305">
        <f>-(32.99+12.99)</f>
        <v>-45.980000000000004</v>
      </c>
      <c r="J30" s="305">
        <f>129.91+710</f>
        <v>839.91</v>
      </c>
      <c r="L30" s="362"/>
      <c r="N30" s="315"/>
      <c r="O30" s="274">
        <f>SUM(E30:F30)-SUM(G30:N30)-Q46</f>
        <v>-11.800600000000543</v>
      </c>
      <c r="P30" s="274" t="str">
        <f t="shared" si="5"/>
        <v>Contingency</v>
      </c>
      <c r="Q30" s="282"/>
      <c r="T30" s="243"/>
    </row>
    <row r="31" spans="2:20" ht="15" customHeight="1" outlineLevel="1">
      <c r="B31" s="7"/>
      <c r="C31" s="7"/>
      <c r="D31" s="300" t="s">
        <v>1486</v>
      </c>
      <c r="E31" s="365">
        <v>0</v>
      </c>
      <c r="F31" s="365">
        <v>13.67</v>
      </c>
      <c r="H31" s="305"/>
      <c r="J31" s="305"/>
      <c r="L31" s="362"/>
      <c r="N31" s="315"/>
      <c r="O31" s="274">
        <f t="shared" ref="O31:O39" si="6">SUM(E31:F31)-SUM(G31:N31)</f>
        <v>13.67</v>
      </c>
      <c r="P31" s="274" t="str">
        <f t="shared" si="5"/>
        <v>TV</v>
      </c>
      <c r="Q31" s="282"/>
    </row>
    <row r="32" spans="2:20" ht="15" customHeight="1" outlineLevel="1">
      <c r="B32" s="7"/>
      <c r="C32" s="7"/>
      <c r="D32" s="300" t="s">
        <v>1296</v>
      </c>
      <c r="E32" s="365">
        <v>0</v>
      </c>
      <c r="F32" s="365">
        <v>95</v>
      </c>
      <c r="H32" s="305"/>
      <c r="J32" s="305"/>
      <c r="L32" s="362"/>
      <c r="N32" s="315"/>
      <c r="O32" s="274">
        <f t="shared" si="6"/>
        <v>95</v>
      </c>
      <c r="P32" s="274" t="str">
        <f t="shared" si="5"/>
        <v>Offset</v>
      </c>
      <c r="Q32" s="282"/>
    </row>
    <row r="33" spans="2:19" ht="15" customHeight="1" outlineLevel="1">
      <c r="B33" s="7"/>
      <c r="C33" s="7"/>
      <c r="D33" s="300" t="s">
        <v>354</v>
      </c>
      <c r="E33" s="365">
        <v>0</v>
      </c>
      <c r="F33" s="365">
        <f>650</f>
        <v>650</v>
      </c>
      <c r="H33" s="305">
        <v>212.36</v>
      </c>
      <c r="J33" s="305"/>
      <c r="L33" s="362"/>
      <c r="N33" s="315"/>
      <c r="O33" s="274">
        <f t="shared" si="6"/>
        <v>437.64</v>
      </c>
      <c r="P33" s="274" t="str">
        <f t="shared" si="5"/>
        <v>Holiday</v>
      </c>
      <c r="Q33" s="282"/>
    </row>
    <row r="34" spans="2:19" ht="15" customHeight="1" outlineLevel="1">
      <c r="B34" s="7"/>
      <c r="C34" s="7"/>
      <c r="D34" s="300" t="s">
        <v>701</v>
      </c>
      <c r="E34" s="365">
        <v>0</v>
      </c>
      <c r="F34" s="365">
        <f>250+35</f>
        <v>285</v>
      </c>
      <c r="G34">
        <v>45</v>
      </c>
      <c r="H34">
        <f>8.1+84.19+35.5+10.8+16.5+96.67</f>
        <v>251.76</v>
      </c>
      <c r="J34" s="305"/>
      <c r="L34" s="362"/>
      <c r="N34" s="315"/>
      <c r="O34" s="274">
        <f t="shared" si="6"/>
        <v>-11.759999999999991</v>
      </c>
      <c r="P34" s="274" t="str">
        <f t="shared" si="5"/>
        <v>Gift</v>
      </c>
      <c r="Q34" s="282"/>
    </row>
    <row r="35" spans="2:19" ht="15" customHeight="1" outlineLevel="1">
      <c r="B35" s="7"/>
      <c r="C35" s="7"/>
      <c r="D35" s="300" t="s">
        <v>1297</v>
      </c>
      <c r="E35" s="365">
        <v>0</v>
      </c>
      <c r="F35" s="365">
        <v>50</v>
      </c>
      <c r="H35" s="305"/>
      <c r="J35" s="305"/>
      <c r="L35" s="362"/>
      <c r="N35" s="315"/>
      <c r="O35" s="274">
        <f t="shared" si="6"/>
        <v>50</v>
      </c>
      <c r="P35" s="274" t="str">
        <f t="shared" si="5"/>
        <v>Skin</v>
      </c>
      <c r="Q35" s="282"/>
    </row>
    <row r="36" spans="2:19" ht="15" customHeight="1" outlineLevel="1">
      <c r="B36" s="7"/>
      <c r="C36" s="7"/>
      <c r="D36" s="300" t="s">
        <v>1391</v>
      </c>
      <c r="E36" s="365">
        <v>0</v>
      </c>
      <c r="F36" s="365">
        <v>75</v>
      </c>
      <c r="H36" s="305"/>
      <c r="J36" s="305"/>
      <c r="L36" s="362"/>
      <c r="N36" s="315"/>
      <c r="O36" s="274">
        <f t="shared" si="6"/>
        <v>75</v>
      </c>
      <c r="P36" s="274" t="str">
        <f t="shared" si="5"/>
        <v>Avios</v>
      </c>
      <c r="Q36" s="282"/>
    </row>
    <row r="37" spans="2:19" ht="15" customHeight="1" outlineLevel="1">
      <c r="B37" s="7"/>
      <c r="C37" s="7"/>
      <c r="D37" s="300" t="s">
        <v>1808</v>
      </c>
      <c r="E37" s="365">
        <v>0</v>
      </c>
      <c r="F37" s="365">
        <v>0</v>
      </c>
      <c r="H37" s="305"/>
      <c r="J37" s="305"/>
      <c r="L37" s="362"/>
      <c r="N37" s="315"/>
      <c r="O37" s="274">
        <f t="shared" si="6"/>
        <v>0</v>
      </c>
      <c r="P37" s="274" t="str">
        <f t="shared" si="5"/>
        <v>Prime</v>
      </c>
      <c r="Q37" s="282"/>
    </row>
    <row r="38" spans="2:19" ht="15" customHeight="1" outlineLevel="1">
      <c r="B38" s="7"/>
      <c r="C38" s="7"/>
      <c r="D38" s="300" t="s">
        <v>1589</v>
      </c>
      <c r="E38" s="365">
        <v>0</v>
      </c>
      <c r="F38" s="365">
        <v>0</v>
      </c>
      <c r="H38" s="305"/>
      <c r="J38" s="305"/>
      <c r="L38" s="362"/>
      <c r="N38" s="315"/>
      <c r="O38" s="274">
        <f t="shared" si="6"/>
        <v>0</v>
      </c>
      <c r="P38" s="274" t="str">
        <f t="shared" si="5"/>
        <v>Amex</v>
      </c>
      <c r="Q38" s="282"/>
    </row>
    <row r="39" spans="2:19" ht="15" customHeight="1" outlineLevel="1">
      <c r="B39" s="7"/>
      <c r="C39" s="7"/>
      <c r="D39" s="491" t="s">
        <v>1239</v>
      </c>
      <c r="E39" s="277">
        <v>0</v>
      </c>
      <c r="F39" s="277">
        <v>500</v>
      </c>
      <c r="H39" s="305"/>
      <c r="J39" s="305"/>
      <c r="L39" s="362"/>
      <c r="N39" s="315"/>
      <c r="O39" s="274">
        <f t="shared" si="6"/>
        <v>500</v>
      </c>
      <c r="P39" s="274" t="str">
        <f t="shared" si="5"/>
        <v>Summer</v>
      </c>
      <c r="Q39" s="282"/>
    </row>
    <row r="40" spans="2:19" ht="15" customHeight="1">
      <c r="B40" s="118"/>
      <c r="C40" s="118"/>
      <c r="E40" s="365"/>
      <c r="F40" s="365"/>
      <c r="H40" s="305"/>
      <c r="J40" s="305"/>
      <c r="L40" s="305"/>
      <c r="N40" s="305"/>
      <c r="O40" s="273"/>
      <c r="P40" s="273"/>
      <c r="Q40" s="282"/>
      <c r="R40" s="243"/>
    </row>
    <row r="41" spans="2:19" ht="15" customHeight="1">
      <c r="B41" s="727" t="str">
        <f>_xlfn.CONCAT("Wants - 30 - ",G46*0.3," / Actual = ",D42," (",ROUND((D42/G46)*100,2),")")</f>
        <v>Wants - 30 - 1734.558 / Actual = 1075.86 (18.61)</v>
      </c>
      <c r="C41" s="727"/>
      <c r="D41" s="727"/>
      <c r="E41" s="727"/>
      <c r="F41" s="318"/>
      <c r="H41" s="305"/>
      <c r="J41" s="305"/>
      <c r="L41" s="305"/>
      <c r="N41" s="305"/>
      <c r="O41" s="273"/>
      <c r="P41" s="273"/>
      <c r="Q41" s="282"/>
      <c r="S41" s="243"/>
    </row>
    <row r="42" spans="2:19" ht="15" customHeight="1">
      <c r="B42" s="727" t="str">
        <f>IF(ISNUMBER((SEARCH("Over",B$5))),"Operating under budget","Operating over budget")</f>
        <v>Operating under budget</v>
      </c>
      <c r="C42" s="727"/>
      <c r="D42" s="759">
        <f>(E$46-D5-D26-E45)</f>
        <v>1075.8599999999992</v>
      </c>
      <c r="E42" s="727"/>
      <c r="F42" s="319">
        <f>F43</f>
        <v>561.83999999999924</v>
      </c>
      <c r="H42" s="305"/>
      <c r="J42" s="305"/>
      <c r="L42" s="305"/>
      <c r="N42" s="305"/>
      <c r="O42" s="285">
        <f>0</f>
        <v>0</v>
      </c>
      <c r="P42" s="285" t="s">
        <v>899</v>
      </c>
      <c r="Q42" s="282">
        <f>SUM(Q43:Q43)</f>
        <v>40.260000000000673</v>
      </c>
      <c r="S42" s="243"/>
    </row>
    <row r="43" spans="2:19" ht="18" outlineLevel="1">
      <c r="B43" s="7"/>
      <c r="C43" s="284"/>
      <c r="D43" s="13" t="s">
        <v>922</v>
      </c>
      <c r="E43" s="365">
        <v>0</v>
      </c>
      <c r="F43" s="365">
        <f>D42-F44</f>
        <v>561.83999999999924</v>
      </c>
      <c r="G43" s="11">
        <f>8.95+29.95</f>
        <v>38.9</v>
      </c>
      <c r="H43">
        <f>2.99+12+1.99+9.36+37.67+60.91+11.6+6.25+(35.94-19.99)+3.15+6.55+42.05+5.1+4.7+6.06-(9.95+12.98)+17.73+108.46+56.44+19.98</f>
        <v>406.01</v>
      </c>
      <c r="J43" s="305">
        <f>1.25+0.5+3.7+6.4+12.65+40+16+10.93+14.58+42.18+9</f>
        <v>157.19</v>
      </c>
      <c r="N43" s="305"/>
      <c r="O43" s="274">
        <f>SUM(E43:F43)-SUM(G43:N43)</f>
        <v>-40.260000000000673</v>
      </c>
      <c r="P43" s="274" t="str">
        <f t="shared" ref="P43:P44" si="7">D43</f>
        <v>Matt Fun</v>
      </c>
      <c r="Q43" s="282">
        <f>IF(SUM(E43:F43)-SUM(G43:N43)&lt;=0,(SUM(E43:F43)-SUM(G43:N43))*-1,0)</f>
        <v>40.260000000000673</v>
      </c>
    </row>
    <row r="44" spans="2:19" ht="18" outlineLevel="1">
      <c r="B44" s="7"/>
      <c r="C44" s="284"/>
      <c r="D44" s="13" t="s">
        <v>152</v>
      </c>
      <c r="E44" s="365">
        <v>0</v>
      </c>
      <c r="F44" s="365">
        <f>30+78+20+264+55+72-4.98</f>
        <v>514.02</v>
      </c>
      <c r="G44" s="11"/>
      <c r="H44" s="306">
        <f>338.84+29.68+19.99+55-114.96</f>
        <v>328.55</v>
      </c>
      <c r="J44" s="305">
        <f>77.97+35.5+72</f>
        <v>185.47</v>
      </c>
      <c r="L44" s="305"/>
      <c r="N44" s="305"/>
      <c r="O44" s="274">
        <f>SUM(E44:F44)-SUM(G44:N44)</f>
        <v>0</v>
      </c>
      <c r="P44" s="274" t="str">
        <f t="shared" si="7"/>
        <v>Kris</v>
      </c>
      <c r="Q44" s="271">
        <f>IF(F44-SUM(G44:N44)&lt;=0,(F44-SUM(G44:N44))*-1,0)</f>
        <v>0</v>
      </c>
    </row>
    <row r="45" spans="2:19">
      <c r="B45" s="118"/>
      <c r="C45" s="118"/>
      <c r="E45" s="365">
        <f>E27</f>
        <v>0</v>
      </c>
      <c r="F45" s="365"/>
      <c r="G45" s="349"/>
      <c r="J45" s="7"/>
      <c r="L45" s="7"/>
      <c r="N45" s="7"/>
      <c r="O45" s="273"/>
      <c r="P45" s="273"/>
      <c r="Q45" s="282"/>
    </row>
    <row r="46" spans="2:19" ht="18">
      <c r="B46" s="728" t="s">
        <v>817</v>
      </c>
      <c r="C46" s="728"/>
      <c r="D46" s="728"/>
      <c r="E46" s="375">
        <f>G46+I46+K46+M46+N46+E45</f>
        <v>5781.86</v>
      </c>
      <c r="F46" s="379"/>
      <c r="G46" s="271">
        <f>3475.58+850+30+78+20+264+108.46+30+55+30+72+35+593.82+140</f>
        <v>5781.86</v>
      </c>
      <c r="H46" s="282"/>
      <c r="I46" s="271"/>
      <c r="J46" s="271"/>
      <c r="K46" s="271"/>
      <c r="L46" s="271"/>
      <c r="M46" s="271"/>
      <c r="N46" s="271"/>
      <c r="O46" s="314">
        <f>ROUND(O5+O42+O26+IF(O43&lt;0,0,O43)+O44+O4,2)</f>
        <v>3399.39</v>
      </c>
      <c r="P46" s="274"/>
      <c r="Q46" s="282">
        <f>SUM(Q42,Q26,Q5)</f>
        <v>169.53060000000067</v>
      </c>
    </row>
    <row r="47" spans="2:19" ht="18">
      <c r="B47" s="118"/>
      <c r="C47" s="7"/>
      <c r="D47" s="13" t="s">
        <v>1451</v>
      </c>
      <c r="E47" s="365"/>
      <c r="F47" s="365"/>
      <c r="G47" s="384"/>
      <c r="H47" s="243"/>
      <c r="L47" s="243"/>
    </row>
    <row r="48" spans="2:19" ht="14.4">
      <c r="B48" s="729"/>
      <c r="C48" s="729"/>
      <c r="D48" s="729"/>
      <c r="E48" s="729"/>
      <c r="F48" s="729"/>
      <c r="G48" s="729"/>
      <c r="H48" s="297"/>
      <c r="K48" s="729"/>
      <c r="L48" s="729"/>
      <c r="M48" s="729"/>
      <c r="N48" s="729"/>
      <c r="O48" s="729"/>
      <c r="P48" s="297"/>
    </row>
    <row r="49" spans="2:18" ht="15" customHeight="1">
      <c r="B49" s="726" t="s">
        <v>955</v>
      </c>
      <c r="C49" s="726"/>
      <c r="E49"/>
      <c r="F49" s="348"/>
      <c r="H49" s="243"/>
      <c r="K49" s="212"/>
      <c r="L49" s="212"/>
      <c r="M49" s="243" t="e">
        <f>O44+#REF!</f>
        <v>#REF!</v>
      </c>
      <c r="N49" s="118" t="s">
        <v>1508</v>
      </c>
      <c r="O49" s="316">
        <v>45277</v>
      </c>
      <c r="P49" s="7">
        <f ca="1">DATEDIF(O49,NOW(),"d")</f>
        <v>974</v>
      </c>
      <c r="Q49">
        <v>270</v>
      </c>
      <c r="R49" t="s">
        <v>1500</v>
      </c>
    </row>
    <row r="50" spans="2:18">
      <c r="B50" s="365"/>
      <c r="C50" s="38"/>
      <c r="D50">
        <v>1855</v>
      </c>
      <c r="E50">
        <v>4583.34</v>
      </c>
      <c r="F50" s="11"/>
      <c r="G50" s="367"/>
      <c r="K50" s="11"/>
      <c r="L50" s="243"/>
      <c r="N50" s="483" t="s">
        <v>1848</v>
      </c>
      <c r="O50" s="42">
        <v>45491</v>
      </c>
      <c r="P50" s="7">
        <f ca="1">DATEDIF(O50,NOW(),"d")</f>
        <v>760</v>
      </c>
      <c r="Q50">
        <v>108</v>
      </c>
      <c r="R50" t="s">
        <v>1843</v>
      </c>
    </row>
    <row r="51" spans="2:18">
      <c r="E51">
        <f>E50*12</f>
        <v>55000.08</v>
      </c>
      <c r="F51" s="457"/>
      <c r="L51" s="243"/>
      <c r="N51" s="358" t="s">
        <v>1844</v>
      </c>
      <c r="O51" s="316">
        <v>45487</v>
      </c>
      <c r="P51" s="7">
        <f ca="1">DATEDIF(O51,NOW(),"d")</f>
        <v>764</v>
      </c>
      <c r="Q51">
        <v>12.49</v>
      </c>
      <c r="R51" t="s">
        <v>1845</v>
      </c>
    </row>
    <row r="52" spans="2:18" ht="16.2" customHeight="1">
      <c r="E52"/>
      <c r="F52" s="457"/>
      <c r="G52" s="458"/>
      <c r="H52" t="s">
        <v>1352</v>
      </c>
      <c r="I52" s="243">
        <f>18400.97</f>
        <v>18400.97</v>
      </c>
      <c r="J52" s="496"/>
      <c r="K52" s="497"/>
      <c r="L52" s="243"/>
      <c r="O52" s="316"/>
    </row>
    <row r="53" spans="2:18">
      <c r="B53" s="378"/>
      <c r="D53">
        <f>E53*2</f>
        <v>8500</v>
      </c>
      <c r="E53">
        <v>4250</v>
      </c>
      <c r="F53" s="278"/>
      <c r="G53" s="243"/>
      <c r="H53" t="s">
        <v>1863</v>
      </c>
      <c r="I53" s="243">
        <f>I52-H4-J4</f>
        <v>15256.779999999999</v>
      </c>
      <c r="J53" s="243"/>
      <c r="L53" s="243"/>
      <c r="P53" s="56"/>
    </row>
    <row r="54" spans="2:18" ht="14.4">
      <c r="D54">
        <f>E50*4</f>
        <v>18333.36</v>
      </c>
      <c r="E54"/>
      <c r="F54" s="451"/>
      <c r="H54" t="s">
        <v>1850</v>
      </c>
      <c r="I54" s="243">
        <f>I53-958.58</f>
        <v>14298.199999999999</v>
      </c>
      <c r="K54" s="243"/>
      <c r="L54" s="243"/>
      <c r="N54" s="243"/>
      <c r="P54"/>
    </row>
    <row r="55" spans="2:18" ht="14.4">
      <c r="D55">
        <f>SUM(D53:D54)</f>
        <v>26833.360000000001</v>
      </c>
      <c r="E55"/>
      <c r="F55" s="492"/>
      <c r="G55" s="118"/>
      <c r="H55" t="s">
        <v>1851</v>
      </c>
      <c r="I55" s="243">
        <f>I54-162</f>
        <v>14136.199999999999</v>
      </c>
      <c r="K55" s="243"/>
      <c r="L55" s="243"/>
      <c r="M55" s="243"/>
      <c r="P55" s="212"/>
      <c r="Q55" s="212"/>
    </row>
    <row r="56" spans="2:18" ht="15" customHeight="1">
      <c r="D56">
        <f>D55*0.13</f>
        <v>3488.3368</v>
      </c>
      <c r="E56"/>
      <c r="F56"/>
      <c r="I56" s="243"/>
      <c r="K56" s="353"/>
      <c r="L56" s="243"/>
      <c r="M56" s="243"/>
      <c r="P56" s="56"/>
      <c r="Q56" s="38"/>
    </row>
    <row r="57" spans="2:18" ht="14.4">
      <c r="E57" s="242" t="s">
        <v>1849</v>
      </c>
      <c r="F57"/>
      <c r="L57" s="243"/>
      <c r="O57"/>
      <c r="P57"/>
    </row>
    <row r="58" spans="2:18" ht="15" customHeight="1">
      <c r="F58"/>
      <c r="H58" s="243"/>
      <c r="I58" s="11"/>
      <c r="L58" s="243"/>
      <c r="O58"/>
      <c r="P58"/>
    </row>
    <row r="59" spans="2:18">
      <c r="E59" s="384"/>
      <c r="F59"/>
      <c r="H59" s="445">
        <v>2500</v>
      </c>
      <c r="I59" s="11"/>
      <c r="J59" s="79"/>
      <c r="L59" s="243"/>
      <c r="O59"/>
      <c r="P59"/>
    </row>
    <row r="60" spans="2:18">
      <c r="B60" s="11"/>
      <c r="E60" s="7"/>
      <c r="O60"/>
      <c r="P60"/>
    </row>
    <row r="61" spans="2:18">
      <c r="B61" s="11"/>
      <c r="O61"/>
      <c r="P61"/>
    </row>
    <row r="62" spans="2:18">
      <c r="E62" s="405"/>
      <c r="L62" s="243"/>
      <c r="M62" s="243"/>
      <c r="O62"/>
      <c r="P62"/>
    </row>
    <row r="63" spans="2:18">
      <c r="B63" s="212"/>
      <c r="C63" s="212"/>
      <c r="E63" s="409"/>
      <c r="F63" s="384"/>
      <c r="G63" s="484"/>
      <c r="K63" s="118"/>
      <c r="O63"/>
      <c r="P63"/>
    </row>
    <row r="64" spans="2:18" ht="14.4">
      <c r="C64" s="56"/>
      <c r="E64" s="409"/>
      <c r="F64"/>
      <c r="I64" t="s">
        <v>98</v>
      </c>
      <c r="J64" s="79"/>
      <c r="O64"/>
      <c r="P64"/>
    </row>
    <row r="65" spans="2:19" ht="15.75" customHeight="1">
      <c r="C65" s="56"/>
      <c r="E65"/>
      <c r="F65"/>
      <c r="L65" s="243"/>
      <c r="M65" s="243"/>
      <c r="O65"/>
      <c r="P65"/>
    </row>
    <row r="66" spans="2:19" ht="14.4">
      <c r="C66" s="56"/>
      <c r="E66"/>
      <c r="F66"/>
      <c r="M66" s="243"/>
      <c r="O66"/>
      <c r="P66"/>
    </row>
    <row r="67" spans="2:19" ht="14.4">
      <c r="C67" s="56"/>
      <c r="E67"/>
      <c r="F67"/>
      <c r="O67"/>
      <c r="P67"/>
    </row>
    <row r="68" spans="2:19" ht="15.45" customHeight="1">
      <c r="C68" s="56"/>
      <c r="E68"/>
      <c r="M68" s="243"/>
    </row>
    <row r="69" spans="2:19" ht="15.45" customHeight="1">
      <c r="C69" s="56"/>
      <c r="E69"/>
    </row>
    <row r="70" spans="2:19" ht="15.45" customHeight="1">
      <c r="C70" s="56"/>
      <c r="E70"/>
      <c r="N70" s="288"/>
      <c r="O70"/>
      <c r="S70" t="s">
        <v>1852</v>
      </c>
    </row>
    <row r="71" spans="2:19" ht="15.45" customHeight="1">
      <c r="C71" s="56"/>
      <c r="E71"/>
      <c r="O71"/>
    </row>
    <row r="72" spans="2:19" ht="15.45" customHeight="1">
      <c r="C72" s="56"/>
      <c r="E72"/>
      <c r="O72"/>
    </row>
    <row r="73" spans="2:19">
      <c r="C73" s="56"/>
      <c r="E73"/>
      <c r="O73"/>
      <c r="P73" s="243"/>
    </row>
    <row r="74" spans="2:19" ht="15.45" customHeight="1">
      <c r="C74" s="56"/>
      <c r="E74"/>
      <c r="O74"/>
      <c r="P74"/>
    </row>
    <row r="75" spans="2:19">
      <c r="E75"/>
      <c r="O75"/>
      <c r="P75"/>
    </row>
    <row r="76" spans="2:19">
      <c r="B76" s="212"/>
      <c r="C76" s="294"/>
      <c r="E76"/>
      <c r="O76"/>
      <c r="P76"/>
    </row>
    <row r="77" spans="2:19" ht="15.45" customHeight="1">
      <c r="C77" s="56"/>
      <c r="E77"/>
      <c r="M77" s="243"/>
      <c r="O77"/>
      <c r="P77"/>
    </row>
    <row r="78" spans="2:19" ht="15.45" customHeight="1">
      <c r="C78" s="56"/>
      <c r="E78"/>
      <c r="O78"/>
      <c r="P78"/>
    </row>
    <row r="79" spans="2:19" ht="15.45" customHeight="1">
      <c r="C79" s="56"/>
      <c r="E79"/>
      <c r="L79" s="459"/>
      <c r="M79" s="461"/>
      <c r="O79"/>
      <c r="P79"/>
    </row>
    <row r="80" spans="2:19" ht="15.45" customHeight="1">
      <c r="C80" s="56"/>
      <c r="E80"/>
      <c r="L80" s="188"/>
      <c r="M80" s="230"/>
      <c r="O80"/>
      <c r="P80"/>
    </row>
    <row r="81" spans="3:16" ht="15.45" customHeight="1">
      <c r="C81" s="56"/>
      <c r="E81"/>
      <c r="L81" s="188"/>
      <c r="M81" s="230"/>
      <c r="O81"/>
      <c r="P81"/>
    </row>
    <row r="82" spans="3:16" ht="15.45" customHeight="1">
      <c r="C82" s="56"/>
      <c r="E82"/>
      <c r="L82" s="188"/>
      <c r="M82" s="230"/>
      <c r="O82"/>
      <c r="P82"/>
    </row>
    <row r="83" spans="3:16" ht="15.45" customHeight="1">
      <c r="E83"/>
      <c r="L83" s="188"/>
      <c r="M83" s="230"/>
      <c r="O83"/>
      <c r="P83"/>
    </row>
    <row r="84" spans="3:16">
      <c r="E84"/>
      <c r="L84" s="460"/>
      <c r="M84" s="230"/>
      <c r="O84"/>
      <c r="P84"/>
    </row>
    <row r="85" spans="3:16" ht="15.45" customHeight="1">
      <c r="E85"/>
      <c r="L85" s="405"/>
      <c r="M85" s="230"/>
      <c r="O85"/>
      <c r="P85"/>
    </row>
    <row r="86" spans="3:16" ht="14.4">
      <c r="E86"/>
      <c r="F86"/>
      <c r="L86" s="405"/>
      <c r="M86" s="462"/>
      <c r="O86"/>
      <c r="P86"/>
    </row>
    <row r="87" spans="3:16" ht="14.4">
      <c r="E87"/>
      <c r="F87"/>
      <c r="O87"/>
      <c r="P87"/>
    </row>
    <row r="88" spans="3:16" ht="14.4">
      <c r="E88"/>
      <c r="F88"/>
      <c r="O88"/>
      <c r="P88"/>
    </row>
    <row r="89" spans="3:16" ht="14.4">
      <c r="E89"/>
      <c r="F89"/>
      <c r="O89"/>
      <c r="P89"/>
    </row>
    <row r="90" spans="3:16" ht="14.4">
      <c r="E90"/>
      <c r="F90"/>
      <c r="O90"/>
      <c r="P90"/>
    </row>
    <row r="91" spans="3:16" ht="14.4">
      <c r="E91"/>
      <c r="F91"/>
      <c r="O91"/>
      <c r="P91"/>
    </row>
    <row r="92" spans="3:16" ht="15.45" customHeight="1">
      <c r="E92"/>
      <c r="F92"/>
      <c r="O92"/>
      <c r="P92"/>
    </row>
    <row r="93" spans="3:16" ht="14.4">
      <c r="E93"/>
      <c r="F93"/>
      <c r="O93"/>
      <c r="P93"/>
    </row>
    <row r="94" spans="3:16" ht="14.4">
      <c r="E94"/>
      <c r="F94"/>
      <c r="O94"/>
      <c r="P94"/>
    </row>
    <row r="95" spans="3:16" ht="14.4">
      <c r="E95"/>
      <c r="F95"/>
      <c r="O95"/>
      <c r="P95"/>
    </row>
    <row r="96" spans="3:16" ht="14.4">
      <c r="E96" s="56"/>
      <c r="F96" s="56"/>
      <c r="G96" s="407"/>
      <c r="O96"/>
      <c r="P96"/>
    </row>
    <row r="97" spans="5:16" ht="14.4">
      <c r="E97" s="56"/>
      <c r="F97" s="56"/>
      <c r="G97" s="407"/>
      <c r="O97"/>
      <c r="P97"/>
    </row>
    <row r="98" spans="5:16" ht="14.4">
      <c r="E98" s="56"/>
      <c r="F98" s="56"/>
      <c r="G98" s="407"/>
      <c r="O98"/>
      <c r="P98"/>
    </row>
    <row r="99" spans="5:16" ht="14.4">
      <c r="E99" s="56"/>
      <c r="F99" s="56"/>
      <c r="G99" s="407"/>
      <c r="O99"/>
      <c r="P99"/>
    </row>
    <row r="100" spans="5:16">
      <c r="E100" s="365"/>
      <c r="F100" s="365"/>
      <c r="G100" s="407"/>
      <c r="O100"/>
      <c r="P100"/>
    </row>
    <row r="101" spans="5:16">
      <c r="E101" s="486"/>
      <c r="G101" s="407"/>
      <c r="O101"/>
      <c r="P101"/>
    </row>
    <row r="102" spans="5:16">
      <c r="G102" s="407"/>
      <c r="O102"/>
      <c r="P102"/>
    </row>
    <row r="103" spans="5:16">
      <c r="G103" s="407"/>
    </row>
    <row r="107" spans="5:16">
      <c r="F107" s="384"/>
    </row>
    <row r="108" spans="5:16">
      <c r="F108" s="384"/>
    </row>
  </sheetData>
  <mergeCells count="21">
    <mergeCell ref="B4:E4"/>
    <mergeCell ref="B5:C5"/>
    <mergeCell ref="D5:E5"/>
    <mergeCell ref="B6:B22"/>
    <mergeCell ref="C6:C22"/>
    <mergeCell ref="E10:F10"/>
    <mergeCell ref="B1:O1"/>
    <mergeCell ref="G3:H3"/>
    <mergeCell ref="I3:J3"/>
    <mergeCell ref="K3:L3"/>
    <mergeCell ref="M3:N3"/>
    <mergeCell ref="B46:D46"/>
    <mergeCell ref="B48:G48"/>
    <mergeCell ref="K48:O48"/>
    <mergeCell ref="B49:C49"/>
    <mergeCell ref="B25:E25"/>
    <mergeCell ref="B26:C26"/>
    <mergeCell ref="D26:E26"/>
    <mergeCell ref="B41:E41"/>
    <mergeCell ref="B42:C42"/>
    <mergeCell ref="D42:E42"/>
  </mergeCells>
  <pageMargins left="0.7" right="0.7" top="0.75" bottom="0.75" header="0.3" footer="0.3"/>
  <pageSetup orientation="portrait" r:id="rId1"/>
  <legacyDrawing r:id="rId2"/>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4F9FF-920B-49C9-A899-406C3FA91945}">
  <dimension ref="A1:T127"/>
  <sheetViews>
    <sheetView topLeftCell="D2" zoomScale="90" zoomScaleNormal="90" workbookViewId="0">
      <selection activeCell="F14" sqref="F1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JUN-JUL G 24</v>
      </c>
      <c r="B1" s="730" t="str">
        <f ca="1">MID(CELL("filename",B1),FIND("]",CELL("filename",B1))+1,255)</f>
        <v>JUL-AUG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ROUND(O5+O42+O26+IF(O43&lt;0,0,O43)+O44+O4,2) &amp; " / " &amp; "£" &amp; E46</f>
        <v>£4519.17 / £6568.25</v>
      </c>
      <c r="E3" s="365"/>
      <c r="F3" s="365"/>
      <c r="G3" s="732">
        <v>45437</v>
      </c>
      <c r="H3" s="732"/>
      <c r="I3" s="732">
        <f>G3+7</f>
        <v>45444</v>
      </c>
      <c r="J3" s="732"/>
      <c r="K3" s="732">
        <f>I3+7</f>
        <v>45451</v>
      </c>
      <c r="L3" s="732"/>
      <c r="M3" s="732">
        <f>K3+7</f>
        <v>45458</v>
      </c>
      <c r="N3" s="732"/>
      <c r="O3" s="308">
        <v>0</v>
      </c>
      <c r="P3" s="325" t="s">
        <v>1224</v>
      </c>
      <c r="Q3" s="282"/>
    </row>
    <row r="4" spans="1:20" ht="15" customHeight="1">
      <c r="B4" s="727" t="str">
        <f>_xlfn.CONCAT("Expenses - 50 - ",G46*0.5," / Actual = ",ROUND(D5,2)," (",ROUND((D5/G46)*100,2),")")</f>
        <v>Expenses - 50 - 3284.125 / Actual = 2582.28 (39.31)</v>
      </c>
      <c r="C4" s="727"/>
      <c r="D4" s="727"/>
      <c r="E4" s="727"/>
      <c r="F4" s="318"/>
      <c r="G4" s="243"/>
      <c r="H4" s="304">
        <f>SUM(H5:H44)</f>
        <v>1237.57</v>
      </c>
      <c r="I4" s="243"/>
      <c r="J4" s="304">
        <f>SUM(J5:J44)</f>
        <v>1607.9099999999999</v>
      </c>
      <c r="K4" s="243">
        <f>J4-1593.26</f>
        <v>14.649999999999864</v>
      </c>
      <c r="L4" s="304">
        <f>SUM(L5:L44)</f>
        <v>0</v>
      </c>
      <c r="M4" s="243"/>
      <c r="N4" s="304">
        <f>SUM(N5:N44)-SUM(N28:N34)</f>
        <v>0</v>
      </c>
      <c r="O4" s="308">
        <f>IF(H45&lt;&gt;"PAID",H4,0)+IF(J45&lt;&gt;"PAID",J4,0)+IF(L45&lt;&gt;"PAID",L4,0)+IF(N45&lt;&gt;"PAID",N4,0)</f>
        <v>2845.4799999999996</v>
      </c>
      <c r="P4" s="309" t="s">
        <v>973</v>
      </c>
      <c r="Q4" s="408">
        <f>O4+402.34</f>
        <v>3247.8199999999997</v>
      </c>
      <c r="R4" s="243">
        <f>2761.15-SUM(O4:O5)</f>
        <v>-107.19999999999936</v>
      </c>
      <c r="S4" s="243"/>
    </row>
    <row r="5" spans="1:20" ht="15" customHeight="1">
      <c r="B5" s="733" t="str">
        <f>IF(D5&gt;E$46*0.5,ROUND(D5-E$46*0.5,2) &amp; " Over",ROUND(E$46*0.5-D5,2) &amp; " Under")</f>
        <v>701.85 Under</v>
      </c>
      <c r="C5" s="733"/>
      <c r="D5" s="761">
        <f>ROUND(SUM(F6:F23),2)</f>
        <v>2582.2800000000002</v>
      </c>
      <c r="E5" s="761"/>
      <c r="F5" s="321"/>
      <c r="G5" s="284"/>
      <c r="H5" s="306"/>
      <c r="I5" s="79"/>
      <c r="J5" s="306"/>
      <c r="K5" s="390"/>
      <c r="L5" s="306"/>
      <c r="M5" s="79"/>
      <c r="N5" s="305"/>
      <c r="O5" s="285">
        <f>SUMIF(O6:O21,"&gt;0")</f>
        <v>22.87</v>
      </c>
      <c r="P5" s="285" t="s">
        <v>892</v>
      </c>
      <c r="Q5" s="282">
        <f>SUM(Q6:Q20)</f>
        <v>17.840599999999974</v>
      </c>
      <c r="R5" s="243"/>
    </row>
    <row r="6" spans="1:20" ht="15" customHeight="1">
      <c r="B6" s="734" t="str">
        <f>"50%: " &amp; E$46*0.5</f>
        <v>50%: 3284.125</v>
      </c>
      <c r="C6" s="734" t="str">
        <f>ROUND((D5/E$46)*100,2) &amp; "%: " &amp;D5</f>
        <v>39.31%: 2582.28</v>
      </c>
      <c r="D6" s="13" t="s">
        <v>805</v>
      </c>
      <c r="E6" s="365">
        <v>0</v>
      </c>
      <c r="F6" s="374">
        <v>150</v>
      </c>
      <c r="H6" s="304">
        <f>30.02+20+30.07</f>
        <v>80.09</v>
      </c>
      <c r="J6" s="305">
        <f>20.13+30.01+20.03</f>
        <v>70.17</v>
      </c>
      <c r="L6" s="305"/>
      <c r="N6" s="305"/>
      <c r="O6" s="274">
        <f>SUM(E6:F6)-SUM(G6:N6)</f>
        <v>-0.25999999999999091</v>
      </c>
      <c r="P6" s="274" t="str">
        <f t="shared" ref="P6:P17" si="0">D6</f>
        <v>Car Petrol / commuting</v>
      </c>
      <c r="Q6" s="282">
        <f t="shared" ref="Q6:Q17" si="1">IF(O6&lt;0,O6*-1,0)</f>
        <v>0.25999999999999091</v>
      </c>
      <c r="R6" s="243"/>
    </row>
    <row r="7" spans="1:20" ht="15" customHeight="1">
      <c r="B7" s="734"/>
      <c r="C7" s="734"/>
      <c r="D7" s="13" t="s">
        <v>169</v>
      </c>
      <c r="E7" s="365">
        <v>0</v>
      </c>
      <c r="F7" s="365">
        <f>400+30+8</f>
        <v>438</v>
      </c>
      <c r="G7">
        <v>10</v>
      </c>
      <c r="H7" s="304">
        <f>63.81+43.25+15+34.45+20.83+3.7+33.5+33.35+54.17-12</f>
        <v>290.05999999999995</v>
      </c>
      <c r="J7" s="305">
        <f>(8.4+15.3)+30.16+7+34.55+36.02+11.4</f>
        <v>142.83000000000001</v>
      </c>
      <c r="L7" s="305"/>
      <c r="N7" s="305"/>
      <c r="O7" s="274">
        <f>SUM(E7:F7)-SUM(G7:N7)</f>
        <v>-4.8899999999999864</v>
      </c>
      <c r="P7" s="274" t="str">
        <f t="shared" si="0"/>
        <v>Food</v>
      </c>
      <c r="Q7" s="282">
        <f t="shared" si="1"/>
        <v>4.8899999999999864</v>
      </c>
      <c r="R7" s="243"/>
    </row>
    <row r="8" spans="1:20" ht="15" customHeight="1">
      <c r="B8" s="734"/>
      <c r="C8" s="734"/>
      <c r="D8" s="13" t="s">
        <v>153</v>
      </c>
      <c r="E8" s="365">
        <v>0</v>
      </c>
      <c r="F8" s="365">
        <v>100</v>
      </c>
      <c r="H8" s="305">
        <v>10</v>
      </c>
      <c r="J8" s="305">
        <f>23.5+24+24+24</f>
        <v>95.5</v>
      </c>
      <c r="L8" s="305"/>
      <c r="N8" s="305"/>
      <c r="O8" s="274">
        <f>SUM(E8:F8)-SUM(G8:N8)</f>
        <v>-5.5</v>
      </c>
      <c r="P8" s="274" t="str">
        <f t="shared" si="0"/>
        <v>Luna</v>
      </c>
      <c r="Q8" s="282">
        <f t="shared" si="1"/>
        <v>5.5</v>
      </c>
    </row>
    <row r="9" spans="1:20" ht="15" customHeight="1">
      <c r="B9" s="734"/>
      <c r="C9" s="734"/>
      <c r="D9" s="13" t="s">
        <v>1079</v>
      </c>
      <c r="E9" s="365">
        <v>0</v>
      </c>
      <c r="F9" s="365">
        <f>30</f>
        <v>30</v>
      </c>
      <c r="H9" s="305">
        <v>12</v>
      </c>
      <c r="J9" s="305">
        <f>12.34+5.49</f>
        <v>17.829999999999998</v>
      </c>
      <c r="L9" s="305"/>
      <c r="N9" s="305"/>
      <c r="O9" s="274">
        <f>SUM(E9:F9)-SUM(G9:N9)</f>
        <v>0.17000000000000171</v>
      </c>
      <c r="P9" s="274" t="str">
        <f t="shared" si="0"/>
        <v>Creamy</v>
      </c>
      <c r="Q9" s="282">
        <f t="shared" si="1"/>
        <v>0</v>
      </c>
      <c r="R9" s="243"/>
    </row>
    <row r="10" spans="1:20" ht="15" customHeight="1">
      <c r="B10" s="734"/>
      <c r="C10" s="734"/>
      <c r="D10" s="13" t="s">
        <v>189</v>
      </c>
      <c r="E10" s="780">
        <f>SUM(F11:F23)</f>
        <v>1864.2794000000001</v>
      </c>
      <c r="F10" s="780"/>
      <c r="G10" s="243"/>
      <c r="H10" s="305"/>
      <c r="J10" s="305"/>
      <c r="L10" s="305"/>
      <c r="N10" s="305"/>
      <c r="O10" s="274"/>
      <c r="P10" s="274" t="str">
        <f t="shared" si="0"/>
        <v>Direct debits</v>
      </c>
      <c r="Q10" s="282"/>
      <c r="R10" s="243"/>
    </row>
    <row r="11" spans="1:20" ht="15" customHeight="1" outlineLevel="1">
      <c r="B11" s="734"/>
      <c r="C11" s="734"/>
      <c r="D11" s="201" t="s">
        <v>595</v>
      </c>
      <c r="E11" s="365">
        <v>0</v>
      </c>
      <c r="F11" s="365">
        <v>838</v>
      </c>
      <c r="G11">
        <v>838</v>
      </c>
      <c r="H11" s="304"/>
      <c r="J11" s="305"/>
      <c r="L11" s="305"/>
      <c r="N11" s="305"/>
      <c r="O11" s="274">
        <f t="shared" ref="O11:O12" si="2">SUM(E11:F11)-SUM(G11:N11)</f>
        <v>0</v>
      </c>
      <c r="P11" s="274" t="str">
        <f t="shared" si="0"/>
        <v>Mortgage</v>
      </c>
      <c r="Q11" s="282">
        <f t="shared" si="1"/>
        <v>0</v>
      </c>
      <c r="R11" s="243"/>
      <c r="S11" s="11"/>
    </row>
    <row r="12" spans="1:20" ht="15" customHeight="1" outlineLevel="1">
      <c r="B12" s="734"/>
      <c r="C12" s="734"/>
      <c r="D12" s="201" t="s">
        <v>596</v>
      </c>
      <c r="E12" s="365">
        <v>0</v>
      </c>
      <c r="F12" s="365">
        <v>154</v>
      </c>
      <c r="G12">
        <v>154</v>
      </c>
      <c r="H12" s="305"/>
      <c r="J12" s="305"/>
      <c r="L12" s="305"/>
      <c r="N12" s="305"/>
      <c r="O12" s="274">
        <f t="shared" si="2"/>
        <v>0</v>
      </c>
      <c r="P12" s="274" t="str">
        <f t="shared" si="0"/>
        <v>Council tax</v>
      </c>
      <c r="Q12" s="282">
        <f t="shared" si="1"/>
        <v>0</v>
      </c>
      <c r="S12" s="349"/>
    </row>
    <row r="13" spans="1:20" ht="15" customHeight="1" outlineLevel="1">
      <c r="B13" s="734"/>
      <c r="C13" s="734"/>
      <c r="D13" s="201" t="s">
        <v>1002</v>
      </c>
      <c r="E13" s="365">
        <v>0</v>
      </c>
      <c r="F13" s="365">
        <f>34+111.75</f>
        <v>145.75</v>
      </c>
      <c r="G13">
        <f>34+111.75</f>
        <v>145.75</v>
      </c>
      <c r="H13" s="305"/>
      <c r="J13" s="305"/>
      <c r="L13" s="305"/>
      <c r="N13" s="305"/>
      <c r="O13" s="274">
        <f>SUM(E13:F13)-SUM(G13:N13)</f>
        <v>0</v>
      </c>
      <c r="P13" s="274" t="str">
        <f t="shared" si="0"/>
        <v>Utilities (G,W,E,HTB)</v>
      </c>
      <c r="Q13" s="282">
        <f t="shared" si="1"/>
        <v>0</v>
      </c>
    </row>
    <row r="14" spans="1:20" ht="15" customHeight="1" outlineLevel="1">
      <c r="B14" s="734"/>
      <c r="C14" s="734"/>
      <c r="D14" s="201" t="s">
        <v>996</v>
      </c>
      <c r="E14" s="365">
        <v>0</v>
      </c>
      <c r="F14" s="365">
        <v>22.7</v>
      </c>
      <c r="H14" s="305"/>
      <c r="J14" s="305"/>
      <c r="L14" s="305"/>
      <c r="N14" s="305"/>
      <c r="O14" s="274">
        <f>SUM(E14:F14)-SUM(G14:N14)</f>
        <v>22.7</v>
      </c>
      <c r="P14" s="274" t="str">
        <f t="shared" si="0"/>
        <v>Home Insurance</v>
      </c>
      <c r="Q14" s="282">
        <f t="shared" si="1"/>
        <v>0</v>
      </c>
    </row>
    <row r="15" spans="1:20" ht="15" customHeight="1" outlineLevel="1">
      <c r="B15" s="734"/>
      <c r="C15" s="734"/>
      <c r="D15" s="201" t="s">
        <v>1056</v>
      </c>
      <c r="E15" s="365">
        <v>0</v>
      </c>
      <c r="F15" s="365">
        <f>8+23.99+20.99</f>
        <v>52.98</v>
      </c>
      <c r="G15">
        <f>20.99+23.99+8</f>
        <v>52.98</v>
      </c>
      <c r="H15" s="305"/>
      <c r="J15" s="305"/>
      <c r="L15" s="305"/>
      <c r="N15" s="305"/>
      <c r="O15" s="274">
        <f>SUM(E15:F15)-SUM(G15:N15)</f>
        <v>0</v>
      </c>
      <c r="P15" s="274" t="str">
        <f t="shared" si="0"/>
        <v>Pet Health / Insurance</v>
      </c>
      <c r="Q15" s="282">
        <f t="shared" si="1"/>
        <v>0</v>
      </c>
    </row>
    <row r="16" spans="1:20" ht="15" customHeight="1" outlineLevel="1">
      <c r="B16" s="734"/>
      <c r="C16" s="734"/>
      <c r="D16" s="201" t="s">
        <v>602</v>
      </c>
      <c r="E16" s="365">
        <v>0</v>
      </c>
      <c r="F16" s="365">
        <f>(28.6*1.079)</f>
        <v>30.859400000000001</v>
      </c>
      <c r="G16">
        <v>30.86</v>
      </c>
      <c r="H16" s="305"/>
      <c r="J16" s="305">
        <v>5</v>
      </c>
      <c r="L16" s="305"/>
      <c r="N16" s="305"/>
      <c r="O16" s="274">
        <f t="shared" ref="O16:O17" si="3">SUM(E16:F16)-SUM(G16:N16)</f>
        <v>-5.0005999999999986</v>
      </c>
      <c r="P16" s="274" t="str">
        <f t="shared" si="0"/>
        <v>Broadband / TV</v>
      </c>
      <c r="Q16" s="282">
        <f t="shared" si="1"/>
        <v>5.0005999999999986</v>
      </c>
    </row>
    <row r="17" spans="2:20" ht="15" customHeight="1" outlineLevel="1">
      <c r="B17" s="734"/>
      <c r="C17" s="734"/>
      <c r="D17" s="201" t="s">
        <v>181</v>
      </c>
      <c r="E17" s="365">
        <v>0</v>
      </c>
      <c r="F17" s="365">
        <v>7.99</v>
      </c>
      <c r="G17">
        <v>7.99</v>
      </c>
      <c r="H17" s="305"/>
      <c r="J17" s="305"/>
      <c r="L17" s="305"/>
      <c r="N17" s="305"/>
      <c r="O17" s="274">
        <f t="shared" si="3"/>
        <v>0</v>
      </c>
      <c r="P17" s="274" t="str">
        <f t="shared" si="0"/>
        <v>Onedrive</v>
      </c>
      <c r="Q17" s="282">
        <f t="shared" si="1"/>
        <v>0</v>
      </c>
    </row>
    <row r="18" spans="2:20" ht="15" customHeight="1" outlineLevel="1">
      <c r="B18" s="734"/>
      <c r="C18" s="734"/>
      <c r="D18" s="201" t="s">
        <v>1279</v>
      </c>
      <c r="E18" s="365">
        <v>0</v>
      </c>
      <c r="F18" s="365">
        <v>0</v>
      </c>
      <c r="H18" s="305"/>
      <c r="J18" s="305"/>
      <c r="L18" s="305"/>
      <c r="N18" s="305"/>
      <c r="O18" s="274">
        <f t="shared" ref="O18:O23" si="4">SUM(E18:F18)-SUM(G18:N18)</f>
        <v>0</v>
      </c>
      <c r="P18" s="274" t="str">
        <f t="shared" ref="P18:P23" si="5">D18</f>
        <v>Watch</v>
      </c>
      <c r="Q18" s="282">
        <f>IF(O18&lt;0,O18*-1,0)</f>
        <v>0</v>
      </c>
    </row>
    <row r="19" spans="2:20" ht="15" customHeight="1" outlineLevel="1">
      <c r="B19" s="734"/>
      <c r="C19" s="734"/>
      <c r="D19" s="201" t="s">
        <v>690</v>
      </c>
      <c r="E19" s="365">
        <v>0</v>
      </c>
      <c r="F19" s="365">
        <f>11.81+46.69+89.64+270.97</f>
        <v>419.11</v>
      </c>
      <c r="G19">
        <f>46.69+89.64+270.97+14</f>
        <v>421.3</v>
      </c>
      <c r="H19" s="305"/>
      <c r="J19" s="305"/>
      <c r="L19" s="305"/>
      <c r="N19" s="305"/>
      <c r="O19" s="274">
        <f t="shared" si="4"/>
        <v>-2.1899999999999977</v>
      </c>
      <c r="P19" s="274" t="str">
        <f t="shared" si="5"/>
        <v>Cars</v>
      </c>
      <c r="Q19" s="282">
        <f>IF(O19&lt;0,O19*-1,0)</f>
        <v>2.1899999999999977</v>
      </c>
    </row>
    <row r="20" spans="2:20" ht="15" customHeight="1" outlineLevel="1">
      <c r="B20" s="734"/>
      <c r="C20" s="734"/>
      <c r="D20" s="201" t="s">
        <v>944</v>
      </c>
      <c r="E20" s="365">
        <v>0</v>
      </c>
      <c r="F20" s="365">
        <v>15</v>
      </c>
      <c r="G20">
        <v>15</v>
      </c>
      <c r="H20" s="305"/>
      <c r="J20" s="305"/>
      <c r="L20" s="305"/>
      <c r="N20" s="305"/>
      <c r="O20" s="274">
        <f t="shared" si="4"/>
        <v>0</v>
      </c>
      <c r="P20" s="274" t="str">
        <f t="shared" si="5"/>
        <v>Windows</v>
      </c>
      <c r="Q20" s="282">
        <f>IF(O20&lt;0,O20*-1,0)</f>
        <v>0</v>
      </c>
    </row>
    <row r="21" spans="2:20" ht="15" customHeight="1" outlineLevel="1">
      <c r="B21" s="734"/>
      <c r="C21" s="734"/>
      <c r="D21" s="201" t="s">
        <v>781</v>
      </c>
      <c r="E21" s="365">
        <v>0</v>
      </c>
      <c r="F21" s="365">
        <f>13+4.99+0.99+2.99</f>
        <v>21.97</v>
      </c>
      <c r="G21" s="11">
        <f>2.99+13+1.49+4.99</f>
        <v>22.47</v>
      </c>
      <c r="H21" s="305"/>
      <c r="J21" s="305"/>
      <c r="L21" s="305"/>
      <c r="N21" s="305"/>
      <c r="O21" s="274">
        <f t="shared" si="4"/>
        <v>-0.5</v>
      </c>
      <c r="P21" s="274" t="str">
        <f t="shared" si="5"/>
        <v>Subscriptions</v>
      </c>
      <c r="Q21" s="282"/>
      <c r="R21" s="243"/>
    </row>
    <row r="22" spans="2:20" ht="15" customHeight="1" outlineLevel="1">
      <c r="B22" s="7"/>
      <c r="C22" s="7"/>
      <c r="D22" s="201" t="s">
        <v>1897</v>
      </c>
      <c r="E22" s="365">
        <v>0</v>
      </c>
      <c r="F22" s="365">
        <f>60.16+62-20.49</f>
        <v>101.67</v>
      </c>
      <c r="G22">
        <f>20.49+81.18</f>
        <v>101.67</v>
      </c>
      <c r="H22" s="305"/>
      <c r="I22" s="11"/>
      <c r="J22" s="305"/>
      <c r="L22" s="305"/>
      <c r="N22" s="305"/>
      <c r="O22" s="274">
        <f t="shared" si="4"/>
        <v>0</v>
      </c>
      <c r="P22" s="274" t="str">
        <f t="shared" si="5"/>
        <v>Life / Income Insurance (HFX)</v>
      </c>
      <c r="Q22" s="282">
        <f>IF(O22&lt;0,O22*-1,0)</f>
        <v>0</v>
      </c>
      <c r="R22" s="243"/>
    </row>
    <row r="23" spans="2:20" ht="15" customHeight="1" outlineLevel="1">
      <c r="B23" s="7"/>
      <c r="C23" s="7"/>
      <c r="D23" s="201" t="s">
        <v>1898</v>
      </c>
      <c r="E23" s="365">
        <v>0</v>
      </c>
      <c r="F23" s="365">
        <f>14.25+40</f>
        <v>54.25</v>
      </c>
      <c r="G23">
        <f>14.25-11.03+40</f>
        <v>43.22</v>
      </c>
      <c r="H23" s="305"/>
      <c r="J23" s="305"/>
      <c r="L23" s="305"/>
      <c r="N23" s="305"/>
      <c r="O23" s="274">
        <f t="shared" si="4"/>
        <v>11.030000000000001</v>
      </c>
      <c r="P23" s="274" t="str">
        <f t="shared" si="5"/>
        <v>Matt Phone (HFX)</v>
      </c>
      <c r="Q23" s="282">
        <f>IF(O23&lt;0,O23*-1,0)</f>
        <v>0</v>
      </c>
      <c r="R23" s="243"/>
    </row>
    <row r="24" spans="2:20" ht="15" customHeight="1">
      <c r="B24" s="118"/>
      <c r="C24" s="118"/>
      <c r="D24" s="188"/>
      <c r="E24" s="365"/>
      <c r="F24" s="365"/>
      <c r="H24" s="305"/>
      <c r="J24" s="305"/>
      <c r="L24" s="305"/>
      <c r="N24" s="305"/>
      <c r="O24" s="273"/>
      <c r="P24" s="273"/>
      <c r="Q24" s="282"/>
    </row>
    <row r="25" spans="2:20" ht="15" customHeight="1">
      <c r="B25" s="736" t="str">
        <f>_xlfn.CONCAT("Savings - 20 - ",G46*0.2," / Actual = ",D26," (",ROUND((D26/G46)*100,2),")")</f>
        <v>Savings - 20 - 1313.65 / Actual = 3065.9 (46.68)</v>
      </c>
      <c r="C25" s="736"/>
      <c r="D25" s="736"/>
      <c r="E25" s="736"/>
      <c r="F25" s="320"/>
      <c r="H25" s="305"/>
      <c r="J25" s="305"/>
      <c r="L25" s="305"/>
      <c r="N25" s="305"/>
      <c r="O25" s="274"/>
      <c r="P25" s="274"/>
      <c r="Q25" s="282"/>
    </row>
    <row r="26" spans="2:20" ht="15" customHeight="1">
      <c r="B26" s="727" t="str">
        <f>IF(ISNUMBER((SEARCH("Over",C$5))),"Operating under budget","Operating over budget")</f>
        <v>Operating over budget</v>
      </c>
      <c r="C26" s="727"/>
      <c r="D26" s="759">
        <f>F27</f>
        <v>3065.9000000000005</v>
      </c>
      <c r="E26" s="759"/>
      <c r="F26" s="319"/>
      <c r="H26" s="305"/>
      <c r="J26" s="305"/>
      <c r="L26" s="305"/>
      <c r="N26" s="305"/>
      <c r="O26" s="285">
        <f>O27</f>
        <v>1774.5493999999999</v>
      </c>
      <c r="P26" s="285" t="s">
        <v>895</v>
      </c>
      <c r="Q26" s="282">
        <f>SUM(Q27:Q27)</f>
        <v>0</v>
      </c>
    </row>
    <row r="27" spans="2:20" ht="15" customHeight="1" outlineLevel="1">
      <c r="B27" s="7" t="str">
        <f>"20% : " &amp; E$46*0.2</f>
        <v>20% : 1313.65</v>
      </c>
      <c r="C27" s="7" t="str">
        <f>"20% : " &amp; E$46*0.2</f>
        <v>20% : 1313.65</v>
      </c>
      <c r="D27" s="300" t="s">
        <v>183</v>
      </c>
      <c r="E27" s="365">
        <v>0</v>
      </c>
      <c r="F27" s="365">
        <f>SUM(F28:F38)</f>
        <v>3065.9000000000005</v>
      </c>
      <c r="H27" s="305"/>
      <c r="J27" s="305"/>
      <c r="L27" s="305"/>
      <c r="N27" s="305"/>
      <c r="O27" s="274">
        <f>SUM(O28:O38)</f>
        <v>1774.5493999999999</v>
      </c>
      <c r="P27" s="274" t="str">
        <f t="shared" ref="P27:P39" si="6">D27</f>
        <v>Savings</v>
      </c>
      <c r="Q27" s="282">
        <v>0</v>
      </c>
      <c r="R27" s="495"/>
      <c r="S27" s="243"/>
    </row>
    <row r="28" spans="2:20" ht="15" customHeight="1" outlineLevel="1">
      <c r="B28" s="7"/>
      <c r="C28" s="7"/>
      <c r="D28" s="300" t="s">
        <v>1485</v>
      </c>
      <c r="E28" s="365">
        <v>0</v>
      </c>
      <c r="F28" s="365">
        <v>40</v>
      </c>
      <c r="H28" s="305"/>
      <c r="J28" s="305"/>
      <c r="L28" s="362"/>
      <c r="N28" s="315"/>
      <c r="O28" s="274">
        <f>SUM(E28:F28)-SUM(G28:N28)</f>
        <v>40</v>
      </c>
      <c r="P28" s="274" t="str">
        <f t="shared" si="6"/>
        <v>MOT / Service</v>
      </c>
      <c r="Q28" s="282"/>
      <c r="R28" s="243"/>
    </row>
    <row r="29" spans="2:20" ht="15" customHeight="1" outlineLevel="1">
      <c r="B29" s="7"/>
      <c r="C29" s="7"/>
      <c r="D29" s="300" t="s">
        <v>690</v>
      </c>
      <c r="E29" s="365">
        <v>0</v>
      </c>
      <c r="F29" s="365">
        <f>-468.84-232.5</f>
        <v>-701.33999999999992</v>
      </c>
      <c r="H29" s="305"/>
      <c r="J29" s="305"/>
      <c r="L29" s="362"/>
      <c r="N29" s="315"/>
      <c r="O29" s="274">
        <f>SUM(E29:F29)-SUM(G29:N29)</f>
        <v>-701.33999999999992</v>
      </c>
      <c r="P29" s="274" t="str">
        <f t="shared" si="6"/>
        <v>Cars</v>
      </c>
      <c r="Q29" s="282"/>
      <c r="R29" s="243"/>
    </row>
    <row r="30" spans="2:20" ht="15" customHeight="1" outlineLevel="1">
      <c r="B30" s="7"/>
      <c r="C30" s="7"/>
      <c r="D30" s="300" t="s">
        <v>590</v>
      </c>
      <c r="E30" s="365">
        <v>0</v>
      </c>
      <c r="F30" s="365">
        <f>165+10.99+8.99+2.85+29.95+20+10.06+245+716.73+1600-270+59</f>
        <v>2598.5700000000002</v>
      </c>
      <c r="G30">
        <f>100+4.72</f>
        <v>104.72</v>
      </c>
      <c r="H30" s="305">
        <f>6.59+6.59+55</f>
        <v>68.180000000000007</v>
      </c>
      <c r="J30" s="305">
        <f>174</f>
        <v>174</v>
      </c>
      <c r="L30" s="362"/>
      <c r="N30" s="315"/>
      <c r="O30" s="274">
        <f>SUM(E30:F30)-SUM(G30:N30)-Q46</f>
        <v>2233.8294000000001</v>
      </c>
      <c r="P30" s="274" t="str">
        <f t="shared" si="6"/>
        <v>Contingency</v>
      </c>
      <c r="Q30" s="282"/>
      <c r="T30" s="243"/>
    </row>
    <row r="31" spans="2:20" ht="15" customHeight="1" outlineLevel="1">
      <c r="B31" s="7"/>
      <c r="C31" s="7"/>
      <c r="D31" s="300" t="s">
        <v>1486</v>
      </c>
      <c r="E31" s="365">
        <v>0</v>
      </c>
      <c r="F31" s="365">
        <v>13.67</v>
      </c>
      <c r="G31">
        <v>43.62</v>
      </c>
      <c r="H31" s="305"/>
      <c r="J31" s="305"/>
      <c r="L31" s="362"/>
      <c r="N31" s="315"/>
      <c r="O31" s="274">
        <f t="shared" ref="O31:O38" si="7">SUM(E31:F31)-SUM(G31:N31)</f>
        <v>-29.949999999999996</v>
      </c>
      <c r="P31" s="274" t="str">
        <f t="shared" si="6"/>
        <v>TV</v>
      </c>
      <c r="Q31" s="282"/>
    </row>
    <row r="32" spans="2:20" ht="15" customHeight="1" outlineLevel="1">
      <c r="B32" s="7"/>
      <c r="C32" s="7"/>
      <c r="D32" s="300" t="s">
        <v>1296</v>
      </c>
      <c r="E32" s="365">
        <v>0</v>
      </c>
      <c r="F32" s="365">
        <v>95</v>
      </c>
      <c r="H32" s="305"/>
      <c r="J32" s="305"/>
      <c r="L32" s="362"/>
      <c r="N32" s="315"/>
      <c r="O32" s="274">
        <f t="shared" si="7"/>
        <v>95</v>
      </c>
      <c r="P32" s="274" t="str">
        <f t="shared" si="6"/>
        <v>Offset</v>
      </c>
      <c r="Q32" s="282"/>
    </row>
    <row r="33" spans="2:19" ht="15" customHeight="1" outlineLevel="1">
      <c r="B33" s="7"/>
      <c r="C33" s="7"/>
      <c r="D33" s="300" t="s">
        <v>354</v>
      </c>
      <c r="E33" s="365">
        <v>0</v>
      </c>
      <c r="F33" s="365">
        <f>650</f>
        <v>650</v>
      </c>
      <c r="H33" s="305">
        <f>120</f>
        <v>120</v>
      </c>
      <c r="J33" s="305"/>
      <c r="L33" s="362"/>
      <c r="N33" s="315"/>
      <c r="O33" s="274">
        <f t="shared" si="7"/>
        <v>530</v>
      </c>
      <c r="P33" s="274" t="str">
        <f t="shared" si="6"/>
        <v>Holiday</v>
      </c>
      <c r="Q33" s="282"/>
    </row>
    <row r="34" spans="2:19" ht="15" customHeight="1" outlineLevel="1">
      <c r="B34" s="7"/>
      <c r="C34" s="7"/>
      <c r="D34" s="300" t="s">
        <v>701</v>
      </c>
      <c r="E34" s="365">
        <v>0</v>
      </c>
      <c r="F34" s="365">
        <f>250+35</f>
        <v>285</v>
      </c>
      <c r="H34">
        <v>300</v>
      </c>
      <c r="J34" s="305">
        <f>18.98-5.99</f>
        <v>12.99</v>
      </c>
      <c r="L34" s="362"/>
      <c r="N34" s="315"/>
      <c r="O34" s="274">
        <f t="shared" si="7"/>
        <v>-27.990000000000009</v>
      </c>
      <c r="P34" s="274" t="str">
        <f t="shared" si="6"/>
        <v>Gift</v>
      </c>
      <c r="Q34" s="282"/>
    </row>
    <row r="35" spans="2:19" ht="15" customHeight="1" outlineLevel="1">
      <c r="B35" s="7"/>
      <c r="C35" s="7"/>
      <c r="D35" s="300" t="s">
        <v>1297</v>
      </c>
      <c r="E35" s="365">
        <v>0</v>
      </c>
      <c r="F35" s="365">
        <v>50</v>
      </c>
      <c r="H35" s="305"/>
      <c r="J35" s="305">
        <f>100+350</f>
        <v>450</v>
      </c>
      <c r="L35" s="362"/>
      <c r="N35" s="315"/>
      <c r="O35" s="274">
        <f t="shared" si="7"/>
        <v>-400</v>
      </c>
      <c r="P35" s="274" t="str">
        <f t="shared" si="6"/>
        <v>Skin</v>
      </c>
      <c r="Q35" s="282"/>
    </row>
    <row r="36" spans="2:19" ht="15" customHeight="1" outlineLevel="1">
      <c r="B36" s="7"/>
      <c r="C36" s="7"/>
      <c r="D36" s="300" t="s">
        <v>1391</v>
      </c>
      <c r="E36" s="365">
        <v>0</v>
      </c>
      <c r="F36" s="365">
        <v>75</v>
      </c>
      <c r="H36" s="305"/>
      <c r="J36" s="305"/>
      <c r="L36" s="362"/>
      <c r="N36" s="315"/>
      <c r="O36" s="274">
        <f t="shared" si="7"/>
        <v>75</v>
      </c>
      <c r="P36" s="274" t="str">
        <f t="shared" si="6"/>
        <v>Avios</v>
      </c>
      <c r="Q36" s="282"/>
    </row>
    <row r="37" spans="2:19" ht="15" customHeight="1" outlineLevel="1">
      <c r="B37" s="7"/>
      <c r="C37" s="7"/>
      <c r="D37" s="300" t="s">
        <v>1808</v>
      </c>
      <c r="E37" s="365">
        <v>0</v>
      </c>
      <c r="F37" s="365">
        <v>-40</v>
      </c>
      <c r="H37" s="305"/>
      <c r="J37" s="305"/>
      <c r="L37" s="362"/>
      <c r="N37" s="315"/>
      <c r="O37" s="274">
        <f t="shared" si="7"/>
        <v>-40</v>
      </c>
      <c r="P37" s="274" t="str">
        <f t="shared" si="6"/>
        <v>Prime</v>
      </c>
      <c r="Q37" s="282"/>
    </row>
    <row r="38" spans="2:19" ht="15" customHeight="1" outlineLevel="1">
      <c r="B38" s="7"/>
      <c r="C38" s="7"/>
      <c r="D38" s="300" t="s">
        <v>1589</v>
      </c>
      <c r="E38" s="365">
        <v>0</v>
      </c>
      <c r="F38" s="365">
        <v>0</v>
      </c>
      <c r="H38" s="305"/>
      <c r="J38" s="305"/>
      <c r="L38" s="362"/>
      <c r="N38" s="315"/>
      <c r="O38" s="274">
        <f t="shared" si="7"/>
        <v>0</v>
      </c>
      <c r="P38" s="274" t="str">
        <f t="shared" si="6"/>
        <v>Amex</v>
      </c>
      <c r="Q38" s="282"/>
    </row>
    <row r="39" spans="2:19" ht="15" customHeight="1" outlineLevel="1">
      <c r="B39" s="7"/>
      <c r="C39" s="7"/>
      <c r="D39" s="491" t="s">
        <v>1239</v>
      </c>
      <c r="E39" s="277">
        <v>0</v>
      </c>
      <c r="F39" s="277">
        <v>400</v>
      </c>
      <c r="H39" s="305"/>
      <c r="J39" s="305"/>
      <c r="L39" s="362"/>
      <c r="N39" s="315"/>
      <c r="O39" s="274">
        <f>SUM(E39:F39)-SUM(G39:N39)</f>
        <v>400</v>
      </c>
      <c r="P39" s="274" t="str">
        <f t="shared" si="6"/>
        <v>Summer</v>
      </c>
      <c r="Q39" s="282"/>
    </row>
    <row r="40" spans="2:19" ht="15" customHeight="1">
      <c r="B40" s="118"/>
      <c r="C40" s="118"/>
      <c r="E40" s="365"/>
      <c r="F40" s="365"/>
      <c r="H40" s="305"/>
      <c r="J40" s="305"/>
      <c r="L40" s="305"/>
      <c r="N40" s="305"/>
      <c r="O40" s="273"/>
      <c r="P40" s="273"/>
      <c r="Q40" s="282"/>
      <c r="R40" s="243"/>
    </row>
    <row r="41" spans="2:19" ht="15" customHeight="1">
      <c r="B41" s="727" t="str">
        <f>_xlfn.CONCAT("Wants - 30 - ",G46*0.3," / Actual = ",D42," (",ROUND((D42/G46)*100,2),")")</f>
        <v>Wants - 30 - 1970.475 / Actual = 920.069999999999 (14.01)</v>
      </c>
      <c r="C41" s="727"/>
      <c r="D41" s="727"/>
      <c r="E41" s="727"/>
      <c r="F41" s="318"/>
      <c r="H41" s="305"/>
      <c r="J41" s="305"/>
      <c r="L41" s="305"/>
      <c r="N41" s="305"/>
      <c r="O41" s="273"/>
      <c r="P41" s="273"/>
      <c r="Q41" s="282"/>
      <c r="S41" s="243"/>
    </row>
    <row r="42" spans="2:19" ht="15" customHeight="1">
      <c r="B42" s="727" t="str">
        <f>IF(ISNUMBER((SEARCH("Over",B$5))),"Operating under budget","Operating over budget")</f>
        <v>Operating over budget</v>
      </c>
      <c r="C42" s="727"/>
      <c r="D42" s="759">
        <f>(E$46-D5-D26-E45)</f>
        <v>920.06999999999925</v>
      </c>
      <c r="E42" s="727"/>
      <c r="F42" s="319">
        <f>F43</f>
        <v>476.06999999999925</v>
      </c>
      <c r="H42" s="305"/>
      <c r="J42" s="305"/>
      <c r="L42" s="305"/>
      <c r="N42" s="305"/>
      <c r="O42" s="285">
        <f>0</f>
        <v>0</v>
      </c>
      <c r="P42" s="285" t="s">
        <v>899</v>
      </c>
      <c r="Q42" s="282">
        <f>SUM(Q43:Q43)</f>
        <v>0</v>
      </c>
      <c r="S42" s="243"/>
    </row>
    <row r="43" spans="2:19" ht="18" outlineLevel="1">
      <c r="B43" s="7"/>
      <c r="C43" s="284"/>
      <c r="D43" s="13" t="s">
        <v>922</v>
      </c>
      <c r="E43" s="365">
        <v>0</v>
      </c>
      <c r="F43" s="365">
        <f>D42-F44</f>
        <v>476.06999999999925</v>
      </c>
      <c r="G43" s="11">
        <f>40+3.39+4.08-0.5</f>
        <v>46.97</v>
      </c>
      <c r="H43">
        <f>9+11+3.7+24+4+7.95+58.47+3.18+5+46.37+12+5.41+2.4+13.05</f>
        <v>205.53000000000003</v>
      </c>
      <c r="J43" s="305">
        <f>40.5+2.9+11.9+7.35+10.65+26.99+0.45+13.5+5.55+21-9+11.19+10.99+4.84+16+15+8.13+8.9+5.75</f>
        <v>212.59</v>
      </c>
      <c r="N43" s="305"/>
      <c r="O43" s="274">
        <f>SUM(E43:F43)-SUM(G43:N43)</f>
        <v>10.979999999999222</v>
      </c>
      <c r="P43" s="274" t="str">
        <f t="shared" ref="P43:P44" si="8">D43</f>
        <v>Matt Fun</v>
      </c>
      <c r="Q43" s="282">
        <f>IF(SUM(E43:F43)-SUM(G43:N43)&lt;=0,(SUM(E43:F43)-SUM(G43:N43))*-1,0)</f>
        <v>0</v>
      </c>
    </row>
    <row r="44" spans="2:19" ht="18" outlineLevel="1">
      <c r="B44" s="7"/>
      <c r="C44" s="284"/>
      <c r="D44" s="13" t="s">
        <v>152</v>
      </c>
      <c r="E44" s="365">
        <v>0</v>
      </c>
      <c r="F44" s="365">
        <f>150+200+39+55</f>
        <v>444</v>
      </c>
      <c r="G44" s="11"/>
      <c r="H44" s="306">
        <f>55+41.71+55</f>
        <v>151.71</v>
      </c>
      <c r="J44" s="305">
        <f>400+50-100+39+38</f>
        <v>427</v>
      </c>
      <c r="L44" s="305"/>
      <c r="N44" s="305"/>
      <c r="O44" s="274">
        <f>SUM(E44:F44)-SUM(G44:N44)</f>
        <v>-134.71000000000004</v>
      </c>
      <c r="P44" s="274" t="str">
        <f t="shared" si="8"/>
        <v>Kris</v>
      </c>
      <c r="Q44" s="271">
        <f>IF(F44-SUM(G44:N44)&lt;=0,(F44-SUM(G44:N44))*-1,0)</f>
        <v>134.71000000000004</v>
      </c>
    </row>
    <row r="45" spans="2:19">
      <c r="B45" s="118"/>
      <c r="C45" s="118"/>
      <c r="E45" s="365">
        <f>E27</f>
        <v>0</v>
      </c>
      <c r="F45" s="365"/>
      <c r="G45" s="349"/>
      <c r="J45" s="7"/>
      <c r="L45" s="7"/>
      <c r="N45" s="7"/>
      <c r="O45" s="273"/>
      <c r="P45" s="273"/>
      <c r="Q45" s="282"/>
    </row>
    <row r="46" spans="2:19" ht="18">
      <c r="B46" s="728" t="s">
        <v>817</v>
      </c>
      <c r="C46" s="728"/>
      <c r="D46" s="728"/>
      <c r="E46" s="375">
        <f>G46+I46+K46+M46+N46+E45</f>
        <v>6568.25</v>
      </c>
      <c r="F46" s="379"/>
      <c r="G46" s="271">
        <f>5161.25+850+(150+200)+59+39+10+55+25+4+15</f>
        <v>6568.25</v>
      </c>
      <c r="H46" s="282"/>
      <c r="I46" s="271"/>
      <c r="J46" s="271"/>
      <c r="K46" s="271"/>
      <c r="L46" s="271"/>
      <c r="M46" s="271"/>
      <c r="N46" s="271"/>
      <c r="O46" s="314">
        <f>ROUND(O5+O26+IF(O43&lt;0,0,O43)+O44+O4,2)</f>
        <v>4519.17</v>
      </c>
      <c r="P46" s="274"/>
      <c r="Q46" s="282">
        <f>SUM(Q42,Q26,Q5)</f>
        <v>17.840599999999974</v>
      </c>
    </row>
    <row r="47" spans="2:19" ht="18">
      <c r="B47" s="118"/>
      <c r="C47" s="7"/>
      <c r="D47" s="13" t="s">
        <v>1451</v>
      </c>
      <c r="E47" s="365"/>
      <c r="F47" s="365"/>
      <c r="G47" s="384"/>
      <c r="H47" s="243"/>
      <c r="L47" s="243"/>
    </row>
    <row r="48" spans="2:19" ht="14.4">
      <c r="B48" s="729"/>
      <c r="C48" s="729"/>
      <c r="D48" s="729"/>
      <c r="E48" s="729"/>
      <c r="F48" s="729"/>
      <c r="G48" s="729"/>
      <c r="H48" s="297"/>
      <c r="K48" s="729"/>
      <c r="L48" s="729"/>
      <c r="M48" s="729"/>
      <c r="N48" s="729"/>
      <c r="O48" s="729"/>
      <c r="P48" s="297"/>
    </row>
    <row r="49" spans="2:18" ht="15" customHeight="1">
      <c r="B49" s="726" t="s">
        <v>955</v>
      </c>
      <c r="C49" s="726"/>
      <c r="E49"/>
      <c r="F49" s="348"/>
      <c r="H49" s="243"/>
      <c r="K49" s="212"/>
      <c r="L49" s="212"/>
      <c r="M49" s="243" t="e">
        <f>O44+#REF!</f>
        <v>#REF!</v>
      </c>
      <c r="N49" s="476" t="s">
        <v>1895</v>
      </c>
      <c r="O49" s="316">
        <v>45508</v>
      </c>
      <c r="P49" s="7">
        <f ca="1">DATEDIF(O49,NOW(),"d")</f>
        <v>743</v>
      </c>
      <c r="Q49">
        <v>1.49</v>
      </c>
      <c r="R49" t="s">
        <v>1896</v>
      </c>
    </row>
    <row r="50" spans="2:18">
      <c r="B50" s="365"/>
      <c r="C50" s="38"/>
      <c r="E50" s="486"/>
      <c r="F50" s="11"/>
      <c r="G50" s="367"/>
      <c r="H50" s="243"/>
      <c r="I50" s="243"/>
      <c r="K50" s="11"/>
      <c r="L50" s="243"/>
      <c r="N50" s="483" t="s">
        <v>1938</v>
      </c>
      <c r="O50" s="42">
        <v>45522</v>
      </c>
      <c r="P50" s="7">
        <f ca="1">DATEDIF(O50,NOW(),"d")</f>
        <v>729</v>
      </c>
      <c r="Q50">
        <v>5.41</v>
      </c>
      <c r="R50" t="s">
        <v>1939</v>
      </c>
    </row>
    <row r="51" spans="2:18">
      <c r="F51" s="457"/>
      <c r="J51" s="243"/>
      <c r="L51" s="243"/>
      <c r="N51" s="358" t="s">
        <v>1940</v>
      </c>
      <c r="O51" s="316">
        <v>45522</v>
      </c>
      <c r="P51" s="7">
        <f ca="1">DATEDIF(O51,NOW(),"d")</f>
        <v>729</v>
      </c>
      <c r="Q51">
        <v>29.49</v>
      </c>
      <c r="R51" t="s">
        <v>1441</v>
      </c>
    </row>
    <row r="52" spans="2:18" ht="16.2" customHeight="1">
      <c r="F52" s="457"/>
      <c r="G52" s="458"/>
      <c r="H52" s="243"/>
      <c r="I52" s="243"/>
      <c r="J52" s="213"/>
      <c r="K52" s="213"/>
      <c r="L52" s="243"/>
      <c r="O52" s="316"/>
    </row>
    <row r="53" spans="2:18">
      <c r="B53" s="378"/>
      <c r="D53" t="s">
        <v>1867</v>
      </c>
      <c r="E53" s="267">
        <f>O46</f>
        <v>4519.17</v>
      </c>
      <c r="F53" s="278">
        <f>E53-O46</f>
        <v>0</v>
      </c>
      <c r="G53" s="243"/>
      <c r="H53" s="243" t="s">
        <v>1871</v>
      </c>
      <c r="J53" s="243"/>
      <c r="L53" s="243">
        <f>4925.78-4926.28</f>
        <v>-0.5</v>
      </c>
      <c r="P53" s="56"/>
    </row>
    <row r="54" spans="2:18">
      <c r="D54" t="s">
        <v>1868</v>
      </c>
      <c r="E54" s="486">
        <f>4838.46-(SUM(O4:O5)+O43)</f>
        <v>1959.1300000000015</v>
      </c>
      <c r="F54" s="451"/>
      <c r="G54" t="s">
        <v>768</v>
      </c>
      <c r="H54" s="369">
        <v>25000</v>
      </c>
      <c r="J54" s="243"/>
      <c r="K54" s="243"/>
      <c r="L54" s="243"/>
      <c r="N54" s="243"/>
      <c r="P54"/>
    </row>
    <row r="55" spans="2:18">
      <c r="D55" t="s">
        <v>1869</v>
      </c>
      <c r="E55" s="267">
        <f>E54</f>
        <v>1959.1300000000015</v>
      </c>
      <c r="G55" t="s">
        <v>1875</v>
      </c>
      <c r="H55" s="332">
        <f>H54-I55</f>
        <v>23605</v>
      </c>
      <c r="I55">
        <v>1395</v>
      </c>
      <c r="K55" s="243"/>
      <c r="L55" s="243"/>
      <c r="M55" s="243"/>
      <c r="P55" s="212"/>
      <c r="Q55" s="212"/>
    </row>
    <row r="56" spans="2:18" ht="15" customHeight="1">
      <c r="D56" s="478" t="s">
        <v>1108</v>
      </c>
      <c r="E56" s="499">
        <f>3900-E55</f>
        <v>1940.8699999999985</v>
      </c>
      <c r="G56" t="s">
        <v>1877</v>
      </c>
      <c r="H56" s="243">
        <f>H55-I56</f>
        <v>16221.82</v>
      </c>
      <c r="I56">
        <v>7383.18</v>
      </c>
      <c r="K56" s="353"/>
      <c r="L56" s="243"/>
      <c r="M56" s="243"/>
      <c r="N56" s="243">
        <f>N57+150</f>
        <v>1804.5200000000004</v>
      </c>
      <c r="P56" s="56"/>
      <c r="Q56" s="38"/>
    </row>
    <row r="57" spans="2:18">
      <c r="D57" t="s">
        <v>1870</v>
      </c>
      <c r="E57" s="267">
        <f>E56-425</f>
        <v>1515.8699999999985</v>
      </c>
      <c r="G57" t="s">
        <v>1872</v>
      </c>
      <c r="H57" s="243">
        <f>H56-I57</f>
        <v>15263.82</v>
      </c>
      <c r="I57" s="243">
        <v>958</v>
      </c>
      <c r="L57" s="243"/>
      <c r="N57" s="243">
        <f>4500-N58</f>
        <v>1654.5200000000004</v>
      </c>
      <c r="O57"/>
      <c r="P57"/>
    </row>
    <row r="58" spans="2:18" ht="15" customHeight="1">
      <c r="D58" t="s">
        <v>1216</v>
      </c>
      <c r="E58" s="267">
        <f>E57-75</f>
        <v>1440.8699999999985</v>
      </c>
      <c r="G58" t="s">
        <v>1887</v>
      </c>
      <c r="H58" s="500">
        <f>H57-I58</f>
        <v>-31.329999999999927</v>
      </c>
      <c r="I58" s="11">
        <v>15295.15</v>
      </c>
      <c r="L58" s="243"/>
      <c r="N58" s="243">
        <f>H4+J4</f>
        <v>2845.4799999999996</v>
      </c>
      <c r="O58"/>
      <c r="P58"/>
    </row>
    <row r="59" spans="2:18">
      <c r="D59" t="s">
        <v>724</v>
      </c>
      <c r="E59" s="267">
        <f>E58-(90+75)</f>
        <v>1275.8699999999985</v>
      </c>
      <c r="I59" s="11"/>
      <c r="J59" s="79"/>
      <c r="K59">
        <f>33.5+33.35+54.17</f>
        <v>121.02</v>
      </c>
      <c r="L59" s="243"/>
      <c r="N59" s="243">
        <f>N58-4.93</f>
        <v>2840.5499999999997</v>
      </c>
      <c r="O59"/>
      <c r="P59"/>
    </row>
    <row r="60" spans="2:18">
      <c r="B60" s="11"/>
      <c r="D60" t="s">
        <v>1846</v>
      </c>
      <c r="E60" s="267">
        <f>E59-350-175</f>
        <v>750.86999999999853</v>
      </c>
      <c r="I60" s="243"/>
      <c r="J60" s="79"/>
      <c r="K60">
        <f>K59-12</f>
        <v>109.02</v>
      </c>
      <c r="L60" t="s">
        <v>1937</v>
      </c>
      <c r="O60"/>
      <c r="P60"/>
    </row>
    <row r="61" spans="2:18">
      <c r="B61" s="11"/>
      <c r="H61" t="s">
        <v>1873</v>
      </c>
      <c r="J61" s="390"/>
      <c r="O61"/>
      <c r="P61"/>
    </row>
    <row r="62" spans="2:18">
      <c r="H62">
        <f>3298.31+18+98.31+51.76</f>
        <v>3466.38</v>
      </c>
      <c r="J62" s="79"/>
      <c r="L62" s="243"/>
      <c r="M62" s="243"/>
      <c r="O62"/>
      <c r="P62"/>
    </row>
    <row r="63" spans="2:18">
      <c r="B63" s="212"/>
      <c r="C63" s="212"/>
      <c r="G63" t="s">
        <v>1874</v>
      </c>
      <c r="H63">
        <f>H62-I63</f>
        <v>2329.2200000000003</v>
      </c>
      <c r="I63">
        <v>1137.1600000000001</v>
      </c>
      <c r="J63" s="79"/>
      <c r="K63" s="118"/>
      <c r="O63"/>
      <c r="P63"/>
    </row>
    <row r="64" spans="2:18">
      <c r="C64" s="56"/>
      <c r="G64" t="s">
        <v>1876</v>
      </c>
      <c r="H64">
        <f>H63-I64</f>
        <v>2329.2200000000003</v>
      </c>
      <c r="I64">
        <v>0</v>
      </c>
      <c r="J64" s="79"/>
      <c r="O64"/>
      <c r="P64"/>
    </row>
    <row r="65" spans="2:16" ht="15.75" customHeight="1">
      <c r="C65" s="56"/>
      <c r="G65" t="s">
        <v>1878</v>
      </c>
      <c r="H65">
        <f>H64-I65</f>
        <v>2306.5200000000004</v>
      </c>
      <c r="I65">
        <v>22.7</v>
      </c>
      <c r="K65" s="726" t="s">
        <v>1888</v>
      </c>
      <c r="L65" s="726"/>
      <c r="M65" s="243"/>
      <c r="O65"/>
      <c r="P65"/>
    </row>
    <row r="66" spans="2:16" ht="14.4">
      <c r="C66" s="56"/>
      <c r="E66"/>
      <c r="F66"/>
      <c r="G66" t="s">
        <v>1884</v>
      </c>
      <c r="H66">
        <f>H65-I66</f>
        <v>1284.7600000000004</v>
      </c>
      <c r="I66">
        <v>1021.76</v>
      </c>
      <c r="K66" t="s">
        <v>1889</v>
      </c>
      <c r="L66" s="243">
        <v>3298.31</v>
      </c>
      <c r="M66" s="243"/>
      <c r="O66"/>
      <c r="P66"/>
    </row>
    <row r="67" spans="2:16" ht="14.4">
      <c r="C67" s="56"/>
      <c r="D67" s="188"/>
      <c r="E67"/>
      <c r="F67" s="79"/>
      <c r="G67" t="s">
        <v>1885</v>
      </c>
      <c r="H67" s="242">
        <f>H66-I67</f>
        <v>-62.429999999999609</v>
      </c>
      <c r="I67">
        <v>1347.19</v>
      </c>
      <c r="J67" s="79"/>
      <c r="K67" t="s">
        <v>1290</v>
      </c>
      <c r="L67">
        <f>18+25000</f>
        <v>25018</v>
      </c>
      <c r="O67"/>
      <c r="P67"/>
    </row>
    <row r="68" spans="2:16">
      <c r="C68" s="56"/>
      <c r="E68"/>
      <c r="K68" t="s">
        <v>1289</v>
      </c>
      <c r="L68">
        <f>1137.16+15295.15+1395</f>
        <v>17827.310000000001</v>
      </c>
      <c r="M68" s="243"/>
      <c r="O68"/>
      <c r="P68"/>
    </row>
    <row r="69" spans="2:16">
      <c r="C69" s="56"/>
      <c r="E69" s="407"/>
      <c r="K69" s="476" t="s">
        <v>1890</v>
      </c>
      <c r="L69" s="501">
        <f>L66+L67-L68</f>
        <v>10489</v>
      </c>
      <c r="O69"/>
      <c r="P69"/>
    </row>
    <row r="70" spans="2:16">
      <c r="C70" s="56"/>
      <c r="E70"/>
      <c r="H70" t="s">
        <v>290</v>
      </c>
      <c r="I70" s="407"/>
      <c r="N70" s="288"/>
      <c r="O70"/>
      <c r="P70"/>
    </row>
    <row r="71" spans="2:16">
      <c r="C71" s="56"/>
      <c r="E71" s="347"/>
      <c r="H71">
        <f>5161.25+90.12+850+150+200+59</f>
        <v>6510.37</v>
      </c>
      <c r="K71" s="726" t="s">
        <v>1891</v>
      </c>
      <c r="L71" s="726"/>
      <c r="O71"/>
      <c r="P71"/>
    </row>
    <row r="72" spans="2:16">
      <c r="C72" s="56"/>
      <c r="E72" s="332"/>
      <c r="G72" t="s">
        <v>597</v>
      </c>
      <c r="H72">
        <f>H71-I72</f>
        <v>6476.37</v>
      </c>
      <c r="I72">
        <v>34</v>
      </c>
      <c r="K72" t="s">
        <v>1889</v>
      </c>
      <c r="L72" s="243">
        <f>L69</f>
        <v>10489</v>
      </c>
      <c r="O72"/>
      <c r="P72"/>
    </row>
    <row r="73" spans="2:16" ht="14.4">
      <c r="C73" s="56"/>
      <c r="E73" s="407"/>
      <c r="F73"/>
      <c r="G73" t="s">
        <v>1879</v>
      </c>
      <c r="H73">
        <f t="shared" ref="H73:H76" si="9">H72-I73</f>
        <v>6429.68</v>
      </c>
      <c r="I73">
        <v>46.69</v>
      </c>
      <c r="K73" t="s">
        <v>1290</v>
      </c>
      <c r="L73">
        <v>98.31</v>
      </c>
      <c r="O73"/>
      <c r="P73"/>
    </row>
    <row r="74" spans="2:16" ht="15.45" customHeight="1">
      <c r="C74" s="56"/>
      <c r="E74" s="407"/>
      <c r="F74"/>
      <c r="G74" t="s">
        <v>1880</v>
      </c>
      <c r="H74">
        <f t="shared" si="9"/>
        <v>6317.93</v>
      </c>
      <c r="I74">
        <v>111.75</v>
      </c>
      <c r="K74" t="s">
        <v>1289</v>
      </c>
      <c r="L74">
        <f>232.5+7383.18</f>
        <v>7615.68</v>
      </c>
      <c r="O74"/>
      <c r="P74"/>
    </row>
    <row r="75" spans="2:16" ht="14.4">
      <c r="D75" s="459"/>
      <c r="E75" s="243"/>
      <c r="F75" s="459"/>
      <c r="G75" t="s">
        <v>1881</v>
      </c>
      <c r="H75">
        <f t="shared" si="9"/>
        <v>6163.93</v>
      </c>
      <c r="I75">
        <v>154</v>
      </c>
      <c r="K75" s="476" t="s">
        <v>1890</v>
      </c>
      <c r="L75" s="501">
        <f>L72+L73-L74</f>
        <v>2971.6299999999992</v>
      </c>
      <c r="O75"/>
      <c r="P75"/>
    </row>
    <row r="76" spans="2:16" ht="14.4">
      <c r="B76" s="212"/>
      <c r="C76" s="294"/>
      <c r="D76" s="188"/>
      <c r="E76"/>
      <c r="F76" s="188"/>
      <c r="G76" s="407" t="s">
        <v>1058</v>
      </c>
      <c r="H76">
        <f t="shared" si="9"/>
        <v>5325.93</v>
      </c>
      <c r="I76">
        <v>838</v>
      </c>
      <c r="O76"/>
      <c r="P76"/>
    </row>
    <row r="77" spans="2:16" ht="15.45" customHeight="1">
      <c r="C77" s="56"/>
      <c r="E77"/>
      <c r="F77"/>
      <c r="G77" s="407" t="s">
        <v>1882</v>
      </c>
      <c r="H77">
        <f t="shared" ref="H77:H86" si="10">H76-I77</f>
        <v>5322.54</v>
      </c>
      <c r="I77">
        <v>3.39</v>
      </c>
      <c r="K77" s="726" t="s">
        <v>1891</v>
      </c>
      <c r="L77" s="726"/>
      <c r="M77" s="243"/>
      <c r="O77"/>
      <c r="P77"/>
    </row>
    <row r="78" spans="2:16">
      <c r="C78" s="56"/>
      <c r="E78" s="484"/>
      <c r="F78"/>
      <c r="G78" s="243" t="s">
        <v>1610</v>
      </c>
      <c r="H78">
        <f t="shared" si="10"/>
        <v>5308.29</v>
      </c>
      <c r="I78">
        <v>14.25</v>
      </c>
      <c r="K78" t="s">
        <v>1889</v>
      </c>
      <c r="L78" s="243">
        <f>L75</f>
        <v>2971.6299999999992</v>
      </c>
      <c r="O78"/>
      <c r="P78"/>
    </row>
    <row r="79" spans="2:16">
      <c r="C79" s="56"/>
      <c r="G79" t="s">
        <v>1883</v>
      </c>
      <c r="H79">
        <f t="shared" si="10"/>
        <v>5208.29</v>
      </c>
      <c r="I79">
        <v>100</v>
      </c>
      <c r="K79" t="s">
        <v>1290</v>
      </c>
      <c r="L79">
        <v>98.31</v>
      </c>
      <c r="M79" s="461"/>
      <c r="O79"/>
      <c r="P79"/>
    </row>
    <row r="80" spans="2:16">
      <c r="C80" s="56"/>
      <c r="D80" s="426"/>
      <c r="E80" s="447"/>
      <c r="G80" t="s">
        <v>1486</v>
      </c>
      <c r="H80">
        <f t="shared" si="10"/>
        <v>5205.3</v>
      </c>
      <c r="I80">
        <v>2.99</v>
      </c>
      <c r="K80" t="s">
        <v>1289</v>
      </c>
      <c r="L80">
        <f>232.5+7383.18</f>
        <v>7615.68</v>
      </c>
      <c r="M80" s="230"/>
      <c r="O80"/>
      <c r="P80"/>
    </row>
    <row r="81" spans="3:16">
      <c r="C81" s="56"/>
      <c r="D81" s="405"/>
      <c r="E81" s="407"/>
      <c r="G81" t="s">
        <v>1352</v>
      </c>
      <c r="H81">
        <f t="shared" si="10"/>
        <v>5165.3</v>
      </c>
      <c r="I81">
        <v>40</v>
      </c>
      <c r="K81" s="476" t="s">
        <v>1890</v>
      </c>
      <c r="L81" s="501">
        <f>L78+L79-L80</f>
        <v>-4545.7400000000016</v>
      </c>
      <c r="M81" s="230"/>
      <c r="O81"/>
      <c r="P81"/>
    </row>
    <row r="82" spans="3:16">
      <c r="C82" s="56"/>
      <c r="D82" s="484"/>
      <c r="E82"/>
      <c r="G82" t="s">
        <v>1886</v>
      </c>
      <c r="H82">
        <f t="shared" si="10"/>
        <v>5071.5400000000009</v>
      </c>
      <c r="I82" s="242">
        <f>(H67*-1)+(H58*-1)</f>
        <v>93.759999999999536</v>
      </c>
      <c r="L82" s="188"/>
      <c r="M82" s="230"/>
      <c r="O82"/>
      <c r="P82"/>
    </row>
    <row r="83" spans="3:16">
      <c r="E83" s="447"/>
      <c r="G83" t="s">
        <v>1892</v>
      </c>
      <c r="H83">
        <f t="shared" si="10"/>
        <v>5051.0500000000011</v>
      </c>
      <c r="I83">
        <v>20.49</v>
      </c>
      <c r="L83" s="188"/>
      <c r="M83" s="230"/>
      <c r="O83"/>
      <c r="P83"/>
    </row>
    <row r="84" spans="3:16">
      <c r="E84" s="447"/>
      <c r="F84" s="365"/>
      <c r="G84" t="s">
        <v>1893</v>
      </c>
      <c r="H84">
        <f t="shared" si="10"/>
        <v>5030.0600000000013</v>
      </c>
      <c r="I84">
        <v>20.99</v>
      </c>
      <c r="K84">
        <f>7247.41-1021.76-40-1347.19</f>
        <v>4838.4599999999991</v>
      </c>
      <c r="L84" s="460"/>
      <c r="M84" s="230"/>
      <c r="O84"/>
      <c r="P84"/>
    </row>
    <row r="85" spans="3:16">
      <c r="E85" s="447"/>
      <c r="F85" s="212"/>
      <c r="G85" t="s">
        <v>1894</v>
      </c>
      <c r="H85">
        <f t="shared" si="10"/>
        <v>5006.0700000000015</v>
      </c>
      <c r="I85">
        <v>23.99</v>
      </c>
      <c r="L85" s="405"/>
      <c r="M85" s="230"/>
      <c r="O85"/>
      <c r="P85"/>
    </row>
    <row r="86" spans="3:16" ht="14.4">
      <c r="E86"/>
      <c r="F86"/>
      <c r="G86" t="s">
        <v>1894</v>
      </c>
      <c r="H86">
        <f t="shared" si="10"/>
        <v>4916.4300000000012</v>
      </c>
      <c r="I86">
        <v>89.64</v>
      </c>
      <c r="L86" s="405"/>
      <c r="M86" s="462"/>
      <c r="O86"/>
      <c r="P86"/>
    </row>
    <row r="87" spans="3:16" ht="14.4">
      <c r="E87"/>
      <c r="F87"/>
      <c r="O87"/>
      <c r="P87"/>
    </row>
    <row r="88" spans="3:16" ht="14.4">
      <c r="E88"/>
      <c r="F88"/>
      <c r="O88"/>
      <c r="P88"/>
    </row>
    <row r="89" spans="3:16" ht="14.4">
      <c r="E89" s="292"/>
      <c r="F89" s="56"/>
      <c r="O89"/>
      <c r="P89"/>
    </row>
    <row r="90" spans="3:16" ht="14.4">
      <c r="D90" s="62" t="s">
        <v>1908</v>
      </c>
      <c r="E90" s="42"/>
      <c r="F90" s="56"/>
      <c r="O90"/>
      <c r="P90"/>
    </row>
    <row r="91" spans="3:16" ht="14.4">
      <c r="D91" s="358" t="s">
        <v>1906</v>
      </c>
      <c r="E91" s="503" t="s">
        <v>1914</v>
      </c>
      <c r="F91" s="56"/>
      <c r="O91"/>
      <c r="P91"/>
    </row>
    <row r="92" spans="3:16">
      <c r="D92" s="358" t="s">
        <v>1904</v>
      </c>
      <c r="E92" s="504" t="s">
        <v>1913</v>
      </c>
      <c r="O92"/>
      <c r="P92"/>
    </row>
    <row r="93" spans="3:16" ht="14.4">
      <c r="D93" s="331" t="s">
        <v>1916</v>
      </c>
      <c r="E93" s="450" t="s">
        <v>1912</v>
      </c>
      <c r="F93" s="212"/>
      <c r="O93"/>
      <c r="P93"/>
    </row>
    <row r="94" spans="3:16" ht="14.4">
      <c r="D94" s="331"/>
      <c r="E94" s="450"/>
      <c r="F94" s="212"/>
      <c r="O94"/>
      <c r="P94"/>
    </row>
    <row r="95" spans="3:16" ht="14.4">
      <c r="D95" s="242" t="s">
        <v>1905</v>
      </c>
      <c r="E95" s="242" t="s">
        <v>1947</v>
      </c>
      <c r="F95" s="56"/>
      <c r="O95"/>
      <c r="P95"/>
    </row>
    <row r="96" spans="3:16" ht="14.4">
      <c r="D96" s="358" t="s">
        <v>1907</v>
      </c>
      <c r="E96" s="503" t="s">
        <v>1915</v>
      </c>
      <c r="F96" s="56"/>
      <c r="O96"/>
      <c r="P96"/>
    </row>
    <row r="97" spans="4:16" ht="14.4">
      <c r="D97" s="358" t="s">
        <v>1909</v>
      </c>
      <c r="E97" s="503" t="s">
        <v>1911</v>
      </c>
      <c r="F97" s="56"/>
      <c r="G97" s="407"/>
      <c r="O97"/>
      <c r="P97"/>
    </row>
    <row r="98" spans="4:16" ht="14.4">
      <c r="D98" s="331" t="s">
        <v>1910</v>
      </c>
      <c r="E98" s="505" t="s">
        <v>704</v>
      </c>
      <c r="F98" s="56"/>
      <c r="G98" s="407"/>
      <c r="O98"/>
      <c r="P98"/>
    </row>
    <row r="99" spans="4:16" ht="14.4">
      <c r="D99" s="331" t="s">
        <v>1929</v>
      </c>
      <c r="E99" s="505" t="s">
        <v>1930</v>
      </c>
      <c r="F99" s="56"/>
      <c r="G99" s="407"/>
      <c r="O99"/>
      <c r="P99"/>
    </row>
    <row r="100" spans="4:16">
      <c r="D100" s="358" t="s">
        <v>1917</v>
      </c>
      <c r="E100" s="504"/>
      <c r="F100" s="365"/>
      <c r="G100" s="407"/>
      <c r="O100"/>
      <c r="P100"/>
    </row>
    <row r="101" spans="4:16">
      <c r="D101" s="331" t="s">
        <v>1931</v>
      </c>
      <c r="E101" s="506"/>
      <c r="G101" s="407"/>
      <c r="O101"/>
      <c r="P101"/>
    </row>
    <row r="102" spans="4:16">
      <c r="D102" s="242" t="s">
        <v>1386</v>
      </c>
      <c r="E102" s="509" t="s">
        <v>1944</v>
      </c>
      <c r="F102" s="486" t="s">
        <v>1945</v>
      </c>
      <c r="G102" s="508" t="s">
        <v>1946</v>
      </c>
      <c r="H102">
        <v>7960865956</v>
      </c>
    </row>
    <row r="103" spans="4:16">
      <c r="D103" s="331" t="s">
        <v>1390</v>
      </c>
      <c r="E103" s="502" t="s">
        <v>1935</v>
      </c>
    </row>
    <row r="104" spans="4:16">
      <c r="D104" s="358" t="s">
        <v>1936</v>
      </c>
      <c r="E104" s="507"/>
    </row>
    <row r="105" spans="4:16">
      <c r="D105" s="358" t="s">
        <v>1941</v>
      </c>
      <c r="E105" s="504" t="s">
        <v>1942</v>
      </c>
      <c r="F105" s="510">
        <v>7432127609</v>
      </c>
    </row>
    <row r="107" spans="4:16">
      <c r="F107" s="384"/>
    </row>
    <row r="108" spans="4:16">
      <c r="F108" s="384"/>
    </row>
    <row r="112" spans="4:16">
      <c r="D112" t="s">
        <v>1927</v>
      </c>
      <c r="E112" s="267">
        <f>55+130</f>
        <v>185</v>
      </c>
    </row>
    <row r="113" spans="4:6">
      <c r="D113" t="s">
        <v>1920</v>
      </c>
      <c r="E113" s="486" t="s">
        <v>1918</v>
      </c>
    </row>
    <row r="114" spans="4:6">
      <c r="D114" t="s">
        <v>1926</v>
      </c>
    </row>
    <row r="115" spans="4:6">
      <c r="D115" t="s">
        <v>1925</v>
      </c>
      <c r="E115" s="486" t="s">
        <v>1919</v>
      </c>
    </row>
    <row r="116" spans="4:6">
      <c r="D116" t="s">
        <v>1921</v>
      </c>
      <c r="E116" s="486"/>
    </row>
    <row r="118" spans="4:6">
      <c r="D118" t="s">
        <v>1922</v>
      </c>
      <c r="E118" s="267">
        <f>130+204</f>
        <v>334</v>
      </c>
    </row>
    <row r="119" spans="4:6">
      <c r="D119" t="s">
        <v>1923</v>
      </c>
      <c r="E119" s="486" t="s">
        <v>1918</v>
      </c>
    </row>
    <row r="120" spans="4:6">
      <c r="D120" t="s">
        <v>1921</v>
      </c>
    </row>
    <row r="121" spans="4:6">
      <c r="D121" t="s">
        <v>1924</v>
      </c>
      <c r="E121" s="486" t="s">
        <v>1919</v>
      </c>
    </row>
    <row r="123" spans="4:6">
      <c r="D123" t="s">
        <v>1928</v>
      </c>
      <c r="E123" s="267">
        <f>130+130</f>
        <v>260</v>
      </c>
    </row>
    <row r="124" spans="4:6">
      <c r="D124" t="s">
        <v>1920</v>
      </c>
      <c r="E124" s="486" t="s">
        <v>1918</v>
      </c>
      <c r="F124" s="486"/>
    </row>
    <row r="125" spans="4:6">
      <c r="D125" t="s">
        <v>1926</v>
      </c>
      <c r="F125" s="486"/>
    </row>
    <row r="126" spans="4:6">
      <c r="D126" t="s">
        <v>1925</v>
      </c>
      <c r="E126" s="486" t="s">
        <v>1919</v>
      </c>
      <c r="F126" s="486"/>
    </row>
    <row r="127" spans="4:6">
      <c r="D127" t="s">
        <v>1921</v>
      </c>
      <c r="E127" s="486"/>
    </row>
  </sheetData>
  <mergeCells count="24">
    <mergeCell ref="B46:D46"/>
    <mergeCell ref="B26:C26"/>
    <mergeCell ref="D26:E26"/>
    <mergeCell ref="B41:E41"/>
    <mergeCell ref="B25:E25"/>
    <mergeCell ref="B42:C42"/>
    <mergeCell ref="D42:E42"/>
    <mergeCell ref="B1:O1"/>
    <mergeCell ref="G3:H3"/>
    <mergeCell ref="I3:J3"/>
    <mergeCell ref="K3:L3"/>
    <mergeCell ref="M3:N3"/>
    <mergeCell ref="B4:E4"/>
    <mergeCell ref="B5:C5"/>
    <mergeCell ref="D5:E5"/>
    <mergeCell ref="B6:B21"/>
    <mergeCell ref="C6:C21"/>
    <mergeCell ref="E10:F10"/>
    <mergeCell ref="K65:L65"/>
    <mergeCell ref="K71:L71"/>
    <mergeCell ref="K77:L77"/>
    <mergeCell ref="B48:G48"/>
    <mergeCell ref="K48:O48"/>
    <mergeCell ref="B49:C49"/>
  </mergeCells>
  <hyperlinks>
    <hyperlink ref="G102" r:id="rId1" xr:uid="{114A9413-66F0-4380-950A-E6FDFC821650}"/>
  </hyperlinks>
  <pageMargins left="0.7" right="0.7" top="0.75" bottom="0.75" header="0.3" footer="0.3"/>
  <pageSetup orientation="portrait" r:id="rId2"/>
  <legacyDrawing r:id="rId3"/>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1F57-F542-4DA3-AB2C-DDE3E8398CAE}">
  <dimension ref="A1:T106"/>
  <sheetViews>
    <sheetView topLeftCell="D1" zoomScale="90" zoomScaleNormal="90" workbookViewId="0">
      <selection activeCell="G45" sqref="G45"/>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JUL-AUG P 24</v>
      </c>
      <c r="B1" s="730" t="str">
        <f ca="1">MID(CELL("filename",B1),FIND("]",CELL("filename",B1))+1,255)</f>
        <v>AUG-SEP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ROUND(O5+O41+O25+IF(O42&lt;0,0,O42)+O43+O4,2) &amp; " / " &amp; "£" &amp; E45</f>
        <v>£4734.9 / £5661.49</v>
      </c>
      <c r="E3" s="365"/>
      <c r="F3" s="365"/>
      <c r="G3" s="732">
        <v>45437</v>
      </c>
      <c r="H3" s="732"/>
      <c r="I3" s="732">
        <f>G3+7</f>
        <v>45444</v>
      </c>
      <c r="J3" s="732"/>
      <c r="K3" s="732">
        <f>I3+7</f>
        <v>45451</v>
      </c>
      <c r="L3" s="732"/>
      <c r="M3" s="732">
        <f>K3+7</f>
        <v>45458</v>
      </c>
      <c r="N3" s="732"/>
      <c r="O3" s="308">
        <v>0</v>
      </c>
      <c r="P3" s="325" t="s">
        <v>1224</v>
      </c>
      <c r="Q3" s="282"/>
    </row>
    <row r="4" spans="1:20" ht="15" customHeight="1">
      <c r="B4" s="727" t="str">
        <f>_xlfn.CONCAT("Expenses - 50 - ",G45*0.5," / Actual = ",ROUND(D5,2)," (",ROUND((D5/G45)*100,2),")")</f>
        <v>Expenses - 50 - 2830.745 / Actual = 2502.01 (44.19)</v>
      </c>
      <c r="C4" s="727"/>
      <c r="D4" s="727"/>
      <c r="E4" s="727"/>
      <c r="F4" s="318"/>
      <c r="G4" s="243"/>
      <c r="H4" s="304">
        <f>SUM(H5:H43)</f>
        <v>1992.9399999999998</v>
      </c>
      <c r="I4" s="243">
        <f>2520.81-H4</f>
        <v>527.87000000000012</v>
      </c>
      <c r="J4" s="304">
        <f>SUM(J5:J43)</f>
        <v>1196.58</v>
      </c>
      <c r="K4" s="243"/>
      <c r="L4" s="304">
        <f>SUM(L5:L43)</f>
        <v>0</v>
      </c>
      <c r="M4" s="243"/>
      <c r="N4" s="304">
        <f>SUM(N5:N43)-SUM(N27:N33)</f>
        <v>0</v>
      </c>
      <c r="O4" s="308">
        <f>IF(H44&lt;&gt;"PAID",H4,0)+IF(J44&lt;&gt;"PAID",J4,0)+IF(L44&lt;&gt;"PAID",L4,0)+IF(N44&lt;&gt;"PAID",N4,0)</f>
        <v>3189.5199999999995</v>
      </c>
      <c r="P4" s="309" t="s">
        <v>973</v>
      </c>
      <c r="Q4" s="408">
        <f>O4+402.34</f>
        <v>3591.8599999999997</v>
      </c>
      <c r="R4" s="243">
        <f>2761.15-SUM(O4:O5)</f>
        <v>-1834.8999999999992</v>
      </c>
      <c r="S4" s="243"/>
    </row>
    <row r="5" spans="1:20" ht="15" customHeight="1">
      <c r="B5" s="733" t="str">
        <f>IF(D5&gt;E$45*0.5,ROUND(D5-E$45*0.5,2) &amp; " Over",ROUND(E$45*0.5-D5,2) &amp; " Under")</f>
        <v>328.73 Under</v>
      </c>
      <c r="C5" s="733"/>
      <c r="D5" s="761">
        <f>ROUND(SUM(F6:F22),2)</f>
        <v>2502.0100000000002</v>
      </c>
      <c r="E5" s="761"/>
      <c r="F5" s="321"/>
      <c r="G5" s="284"/>
      <c r="H5" s="306"/>
      <c r="I5" s="390"/>
      <c r="J5" s="306"/>
      <c r="K5" s="390"/>
      <c r="L5" s="306"/>
      <c r="M5" s="79"/>
      <c r="N5" s="305"/>
      <c r="O5" s="285">
        <f>SUMIF(O6:O22,"&gt;0")</f>
        <v>1406.53</v>
      </c>
      <c r="P5" s="285" t="s">
        <v>892</v>
      </c>
      <c r="Q5" s="282">
        <f>SUM(Q6:Q21)</f>
        <v>119.76999999999995</v>
      </c>
      <c r="R5" s="243"/>
    </row>
    <row r="6" spans="1:20" ht="15" customHeight="1">
      <c r="B6" s="734" t="str">
        <f>"50%: " &amp; E$45*0.5</f>
        <v>50%: 2830.745</v>
      </c>
      <c r="C6" s="734" t="str">
        <f>ROUND((D5/E$45)*100,2) &amp; "%: " &amp;D5</f>
        <v>44.19%: 2502.01</v>
      </c>
      <c r="D6" s="13" t="s">
        <v>805</v>
      </c>
      <c r="E6" s="365">
        <v>0</v>
      </c>
      <c r="F6" s="374">
        <f>150+18.96</f>
        <v>168.96</v>
      </c>
      <c r="H6" s="304">
        <f>30+36.61+42.85+31.17+30.01+30.02+30.03</f>
        <v>230.69</v>
      </c>
      <c r="J6" s="305"/>
      <c r="L6" s="305"/>
      <c r="N6" s="305"/>
      <c r="O6" s="274">
        <f>SUM(E6:F6)-SUM(G6:N6)</f>
        <v>-61.72999999999999</v>
      </c>
      <c r="P6" s="274" t="str">
        <f t="shared" ref="P6:P22" si="0">D6</f>
        <v>Car Petrol / commuting</v>
      </c>
      <c r="Q6" s="282">
        <f t="shared" ref="Q6:Q21" si="1">IF(O6&lt;0,O6*-1,0)</f>
        <v>61.72999999999999</v>
      </c>
      <c r="R6" s="243"/>
    </row>
    <row r="7" spans="1:20" ht="15" customHeight="1">
      <c r="B7" s="734"/>
      <c r="C7" s="734"/>
      <c r="D7" s="13" t="s">
        <v>169</v>
      </c>
      <c r="E7" s="365">
        <v>0</v>
      </c>
      <c r="F7" s="365">
        <f>400-18.96</f>
        <v>381.04</v>
      </c>
      <c r="H7" s="304">
        <f>(6.6+25.02+61.56+4.15+3.5)+(37.89+15.69+26.63)+(17.32+76.78+3.78+10.83)+(21.08+27.2+4.95+24.29+17.15+5.35+2.1)</f>
        <v>391.87</v>
      </c>
      <c r="J7" s="305">
        <v>4</v>
      </c>
      <c r="L7" s="305"/>
      <c r="N7" s="305"/>
      <c r="O7" s="274">
        <f>SUM(E7:F7)-SUM(G7:N7)</f>
        <v>-14.829999999999984</v>
      </c>
      <c r="P7" s="274" t="str">
        <f t="shared" si="0"/>
        <v>Food</v>
      </c>
      <c r="Q7" s="282">
        <f t="shared" si="1"/>
        <v>14.829999999999984</v>
      </c>
      <c r="R7" s="243"/>
    </row>
    <row r="8" spans="1:20" ht="15" customHeight="1">
      <c r="B8" s="734"/>
      <c r="C8" s="734"/>
      <c r="D8" s="13" t="s">
        <v>153</v>
      </c>
      <c r="E8" s="365">
        <v>0</v>
      </c>
      <c r="F8" s="365">
        <v>100</v>
      </c>
      <c r="H8" s="305">
        <f>23.4+15.19</f>
        <v>38.589999999999996</v>
      </c>
      <c r="J8" s="305">
        <f>5.37+17.69+31.39+26</f>
        <v>80.45</v>
      </c>
      <c r="L8" s="305"/>
      <c r="N8" s="305"/>
      <c r="O8" s="274">
        <f>SUM(E8:F8)-SUM(G8:N8)</f>
        <v>-19.039999999999992</v>
      </c>
      <c r="P8" s="274" t="str">
        <f t="shared" si="0"/>
        <v>Luna</v>
      </c>
      <c r="Q8" s="282">
        <f t="shared" si="1"/>
        <v>19.039999999999992</v>
      </c>
    </row>
    <row r="9" spans="1:20" ht="15" customHeight="1">
      <c r="B9" s="734"/>
      <c r="C9" s="734"/>
      <c r="D9" s="13" t="s">
        <v>1079</v>
      </c>
      <c r="E9" s="365">
        <v>0</v>
      </c>
      <c r="F9" s="365">
        <f>30</f>
        <v>30</v>
      </c>
      <c r="H9" s="305"/>
      <c r="J9" s="305">
        <f>25.4+16+12.34</f>
        <v>53.739999999999995</v>
      </c>
      <c r="L9" s="305"/>
      <c r="N9" s="305"/>
      <c r="O9" s="274">
        <f>SUM(E9:F9)-SUM(G9:N9)</f>
        <v>-23.739999999999995</v>
      </c>
      <c r="P9" s="274" t="str">
        <f t="shared" si="0"/>
        <v>Creamy</v>
      </c>
      <c r="Q9" s="282">
        <f t="shared" si="1"/>
        <v>23.739999999999995</v>
      </c>
      <c r="R9" s="243"/>
    </row>
    <row r="10" spans="1:20" ht="15" customHeight="1">
      <c r="B10" s="734"/>
      <c r="C10" s="734"/>
      <c r="D10" s="13" t="s">
        <v>189</v>
      </c>
      <c r="E10" s="780">
        <f>SUM(F11:F22)</f>
        <v>1822.01</v>
      </c>
      <c r="F10" s="780"/>
      <c r="G10" s="243"/>
      <c r="H10" s="305"/>
      <c r="J10" s="305"/>
      <c r="L10" s="305"/>
      <c r="N10" s="305"/>
      <c r="O10" s="274"/>
      <c r="P10" s="274" t="str">
        <f t="shared" si="0"/>
        <v>Direct debits</v>
      </c>
      <c r="Q10" s="282"/>
      <c r="R10" s="243"/>
    </row>
    <row r="11" spans="1:20" ht="15" customHeight="1" outlineLevel="1">
      <c r="B11" s="734"/>
      <c r="C11" s="734"/>
      <c r="D11" s="201" t="s">
        <v>595</v>
      </c>
      <c r="E11" s="365">
        <v>0</v>
      </c>
      <c r="F11" s="365">
        <v>838</v>
      </c>
      <c r="H11" s="304"/>
      <c r="J11" s="305"/>
      <c r="L11" s="305"/>
      <c r="N11" s="305"/>
      <c r="O11" s="274">
        <f t="shared" ref="O11:O16" si="2">SUM(E11:F11)-SUM(G11:N11)</f>
        <v>838</v>
      </c>
      <c r="P11" s="274" t="str">
        <f t="shared" si="0"/>
        <v>Mortgage</v>
      </c>
      <c r="Q11" s="282">
        <f t="shared" si="1"/>
        <v>0</v>
      </c>
      <c r="R11" s="243"/>
      <c r="S11" s="11"/>
    </row>
    <row r="12" spans="1:20" ht="15" customHeight="1" outlineLevel="1">
      <c r="B12" s="734"/>
      <c r="C12" s="734"/>
      <c r="D12" s="201" t="s">
        <v>596</v>
      </c>
      <c r="E12" s="365">
        <v>0</v>
      </c>
      <c r="F12" s="365">
        <v>154</v>
      </c>
      <c r="H12" s="305"/>
      <c r="J12" s="305"/>
      <c r="L12" s="305"/>
      <c r="N12" s="305"/>
      <c r="O12" s="274">
        <f t="shared" si="2"/>
        <v>154</v>
      </c>
      <c r="P12" s="274" t="str">
        <f t="shared" si="0"/>
        <v>Council tax</v>
      </c>
      <c r="Q12" s="282">
        <f t="shared" si="1"/>
        <v>0</v>
      </c>
      <c r="S12" s="349"/>
    </row>
    <row r="13" spans="1:20" ht="15" customHeight="1" outlineLevel="1">
      <c r="B13" s="734"/>
      <c r="C13" s="734"/>
      <c r="D13" s="201" t="s">
        <v>1002</v>
      </c>
      <c r="E13" s="365">
        <v>0</v>
      </c>
      <c r="F13" s="365">
        <f>34+111.75</f>
        <v>145.75</v>
      </c>
      <c r="H13" s="305"/>
      <c r="J13" s="305"/>
      <c r="L13" s="305"/>
      <c r="N13" s="305"/>
      <c r="O13" s="274">
        <f>SUM(E13:F13)-SUM(G13:N13)</f>
        <v>145.75</v>
      </c>
      <c r="P13" s="274" t="str">
        <f t="shared" si="0"/>
        <v>Utilities (G,W,E,HTB)</v>
      </c>
      <c r="Q13" s="282">
        <f t="shared" si="1"/>
        <v>0</v>
      </c>
    </row>
    <row r="14" spans="1:20" ht="15" customHeight="1" outlineLevel="1">
      <c r="B14" s="734"/>
      <c r="C14" s="734"/>
      <c r="D14" s="201" t="s">
        <v>996</v>
      </c>
      <c r="E14" s="365">
        <v>0</v>
      </c>
      <c r="F14" s="365">
        <v>22.7</v>
      </c>
      <c r="H14" s="305"/>
      <c r="J14" s="305"/>
      <c r="L14" s="305"/>
      <c r="N14" s="305"/>
      <c r="O14" s="274">
        <f>SUM(E14:F14)-SUM(G14:N14)</f>
        <v>22.7</v>
      </c>
      <c r="P14" s="274" t="str">
        <f t="shared" si="0"/>
        <v>Home Insurance</v>
      </c>
      <c r="Q14" s="282">
        <f t="shared" si="1"/>
        <v>0</v>
      </c>
    </row>
    <row r="15" spans="1:20" ht="15" customHeight="1" outlineLevel="1">
      <c r="B15" s="734"/>
      <c r="C15" s="734"/>
      <c r="D15" s="201" t="s">
        <v>1056</v>
      </c>
      <c r="E15" s="365">
        <v>0</v>
      </c>
      <c r="F15" s="365">
        <f>8+23.99+20.99</f>
        <v>52.98</v>
      </c>
      <c r="H15" s="305"/>
      <c r="J15" s="305"/>
      <c r="L15" s="305"/>
      <c r="N15" s="305"/>
      <c r="O15" s="274">
        <f>SUM(E15:F15)-SUM(G15:N15)</f>
        <v>52.98</v>
      </c>
      <c r="P15" s="274" t="str">
        <f t="shared" si="0"/>
        <v>Pet Health / Insurance</v>
      </c>
      <c r="Q15" s="282">
        <f t="shared" si="1"/>
        <v>0</v>
      </c>
    </row>
    <row r="16" spans="1:20" ht="15" customHeight="1" outlineLevel="1">
      <c r="B16" s="734"/>
      <c r="C16" s="734"/>
      <c r="D16" s="201" t="s">
        <v>1057</v>
      </c>
      <c r="E16" s="365">
        <v>0</v>
      </c>
      <c r="F16" s="365">
        <f>30.8+62</f>
        <v>92.8</v>
      </c>
      <c r="G16">
        <v>92.8</v>
      </c>
      <c r="H16" s="305"/>
      <c r="I16" s="11"/>
      <c r="J16" s="305"/>
      <c r="L16" s="305"/>
      <c r="N16" s="305"/>
      <c r="O16" s="274">
        <f t="shared" si="2"/>
        <v>0</v>
      </c>
      <c r="P16" s="274" t="str">
        <f t="shared" si="0"/>
        <v>Life / Income Insurance</v>
      </c>
      <c r="Q16" s="282">
        <f t="shared" si="1"/>
        <v>0</v>
      </c>
    </row>
    <row r="17" spans="2:20" ht="15" customHeight="1" outlineLevel="1">
      <c r="B17" s="734"/>
      <c r="C17" s="734"/>
      <c r="D17" s="201" t="s">
        <v>602</v>
      </c>
      <c r="E17" s="365">
        <v>0</v>
      </c>
      <c r="F17" s="365">
        <f>25.71</f>
        <v>25.71</v>
      </c>
      <c r="G17">
        <v>25.71</v>
      </c>
      <c r="H17" s="305"/>
      <c r="J17" s="305"/>
      <c r="L17" s="305"/>
      <c r="N17" s="305"/>
      <c r="O17" s="274">
        <f t="shared" ref="O17:O21" si="3">SUM(E17:F17)-SUM(G17:N17)</f>
        <v>0</v>
      </c>
      <c r="P17" s="274" t="str">
        <f t="shared" si="0"/>
        <v>Broadband / TV</v>
      </c>
      <c r="Q17" s="282">
        <f t="shared" si="1"/>
        <v>0</v>
      </c>
    </row>
    <row r="18" spans="2:20" ht="15" customHeight="1" outlineLevel="1">
      <c r="B18" s="734"/>
      <c r="C18" s="734"/>
      <c r="D18" s="201" t="s">
        <v>582</v>
      </c>
      <c r="E18" s="365">
        <v>0</v>
      </c>
      <c r="F18" s="365">
        <v>7.99</v>
      </c>
      <c r="H18" s="305"/>
      <c r="J18" s="305"/>
      <c r="L18" s="305"/>
      <c r="N18" s="305"/>
      <c r="O18" s="274">
        <f t="shared" si="3"/>
        <v>7.99</v>
      </c>
      <c r="P18" s="274" t="str">
        <f t="shared" si="0"/>
        <v>Onedrive (6th)</v>
      </c>
      <c r="Q18" s="282">
        <f t="shared" si="1"/>
        <v>0</v>
      </c>
    </row>
    <row r="19" spans="2:20" ht="15" customHeight="1" outlineLevel="1">
      <c r="B19" s="734"/>
      <c r="C19" s="734"/>
      <c r="D19" s="201" t="s">
        <v>788</v>
      </c>
      <c r="E19" s="365">
        <v>0</v>
      </c>
      <c r="F19" s="365">
        <v>26</v>
      </c>
      <c r="G19">
        <v>26.43</v>
      </c>
      <c r="H19" s="305"/>
      <c r="J19" s="305"/>
      <c r="L19" s="305"/>
      <c r="N19" s="305"/>
      <c r="O19" s="274">
        <f t="shared" si="3"/>
        <v>-0.42999999999999972</v>
      </c>
      <c r="P19" s="274" t="str">
        <f t="shared" si="0"/>
        <v>Matt Phone</v>
      </c>
      <c r="Q19" s="282">
        <f t="shared" si="1"/>
        <v>0.42999999999999972</v>
      </c>
    </row>
    <row r="20" spans="2:20" ht="15" customHeight="1" outlineLevel="1">
      <c r="B20" s="734"/>
      <c r="C20" s="734"/>
      <c r="D20" s="201" t="s">
        <v>690</v>
      </c>
      <c r="E20" s="365">
        <v>0</v>
      </c>
      <c r="F20" s="365">
        <f>11.81+46.69+89.64+270.97</f>
        <v>419.11</v>
      </c>
      <c r="G20">
        <f>270.97</f>
        <v>270.97000000000003</v>
      </c>
      <c r="H20" s="305"/>
      <c r="J20" s="305"/>
      <c r="L20" s="305"/>
      <c r="N20" s="305"/>
      <c r="O20" s="274">
        <f t="shared" si="3"/>
        <v>148.13999999999999</v>
      </c>
      <c r="P20" s="274" t="str">
        <f t="shared" si="0"/>
        <v>Cars</v>
      </c>
      <c r="Q20" s="282">
        <f t="shared" si="1"/>
        <v>0</v>
      </c>
    </row>
    <row r="21" spans="2:20" ht="15" customHeight="1" outlineLevel="1">
      <c r="B21" s="734"/>
      <c r="C21" s="734"/>
      <c r="D21" s="201" t="s">
        <v>944</v>
      </c>
      <c r="E21" s="365">
        <v>0</v>
      </c>
      <c r="F21" s="365">
        <v>15</v>
      </c>
      <c r="H21" s="305"/>
      <c r="J21" s="305"/>
      <c r="L21" s="305"/>
      <c r="N21" s="305"/>
      <c r="O21" s="274">
        <f t="shared" si="3"/>
        <v>15</v>
      </c>
      <c r="P21" s="274" t="str">
        <f t="shared" si="0"/>
        <v>Windows</v>
      </c>
      <c r="Q21" s="282">
        <f t="shared" si="1"/>
        <v>0</v>
      </c>
      <c r="R21" s="243"/>
    </row>
    <row r="22" spans="2:20" ht="15" customHeight="1" outlineLevel="1">
      <c r="B22" s="7"/>
      <c r="C22" s="7"/>
      <c r="D22" s="201" t="s">
        <v>781</v>
      </c>
      <c r="E22" s="365">
        <v>0</v>
      </c>
      <c r="F22" s="365">
        <f>13+4.99+0.99+2.99</f>
        <v>21.97</v>
      </c>
      <c r="G22" s="11"/>
      <c r="H22" s="305"/>
      <c r="J22" s="305"/>
      <c r="L22" s="305"/>
      <c r="N22" s="305"/>
      <c r="O22" s="274">
        <f t="shared" ref="O22" si="4">SUM(E22:F22)-SUM(G22:N22)</f>
        <v>21.97</v>
      </c>
      <c r="P22" s="274" t="str">
        <f t="shared" si="0"/>
        <v>Subscriptions</v>
      </c>
      <c r="Q22" s="282"/>
      <c r="R22" s="243"/>
    </row>
    <row r="23" spans="2:20" ht="15" customHeight="1">
      <c r="B23" s="118"/>
      <c r="C23" s="118"/>
      <c r="D23" s="188"/>
      <c r="E23" s="365"/>
      <c r="F23" s="365"/>
      <c r="H23" s="305"/>
      <c r="J23" s="305"/>
      <c r="L23" s="305"/>
      <c r="N23" s="305"/>
      <c r="O23" s="273"/>
      <c r="P23" s="273"/>
      <c r="Q23" s="282"/>
    </row>
    <row r="24" spans="2:20" ht="15" customHeight="1">
      <c r="B24" s="736" t="str">
        <f>_xlfn.CONCAT("Savings - 20 - ",G45*0.2," / Actual = ",D25," (",ROUND((D25/G45)*100,2),")")</f>
        <v>Savings - 20 - 1132.298 / Actual = 1730.39 (30.56)</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1730.39</v>
      </c>
      <c r="E25" s="759"/>
      <c r="F25" s="319"/>
      <c r="H25" s="305"/>
      <c r="J25" s="305"/>
      <c r="L25" s="305"/>
      <c r="N25" s="305"/>
      <c r="O25" s="285">
        <f>0</f>
        <v>0</v>
      </c>
      <c r="P25" s="285" t="s">
        <v>895</v>
      </c>
      <c r="Q25" s="282">
        <f>SUM(Q26:Q26)</f>
        <v>0</v>
      </c>
    </row>
    <row r="26" spans="2:20" ht="15" customHeight="1" outlineLevel="1">
      <c r="B26" s="7" t="str">
        <f>"20% : " &amp; E$45*0.2</f>
        <v>20% : 1132.298</v>
      </c>
      <c r="C26" s="7" t="str">
        <f>"20% : " &amp; E$45*0.2</f>
        <v>20% : 1132.298</v>
      </c>
      <c r="D26" s="300" t="s">
        <v>183</v>
      </c>
      <c r="E26" s="365">
        <v>0</v>
      </c>
      <c r="F26" s="365">
        <f>SUM(F27:F37)</f>
        <v>1730.39</v>
      </c>
      <c r="H26" s="305"/>
      <c r="J26" s="305"/>
      <c r="L26" s="305"/>
      <c r="N26" s="305"/>
      <c r="O26" s="274">
        <f>SUM(O27:O37)</f>
        <v>510.68000000000006</v>
      </c>
      <c r="P26" s="274" t="str">
        <f t="shared" ref="P26:P38" si="5">D26</f>
        <v>Savings</v>
      </c>
      <c r="Q26" s="282">
        <v>0</v>
      </c>
      <c r="R26" s="495"/>
      <c r="S26" s="243"/>
    </row>
    <row r="27" spans="2:20" ht="15" customHeight="1" outlineLevel="1">
      <c r="B27" s="7"/>
      <c r="C27" s="7"/>
      <c r="D27" s="300" t="s">
        <v>1485</v>
      </c>
      <c r="E27" s="365">
        <v>0</v>
      </c>
      <c r="F27" s="365">
        <v>40</v>
      </c>
      <c r="H27" s="305"/>
      <c r="J27" s="305"/>
      <c r="L27" s="362"/>
      <c r="N27" s="315"/>
      <c r="O27" s="274">
        <f>SUM(E27:F27)-SUM(G27:N27)</f>
        <v>40</v>
      </c>
      <c r="P27" s="274" t="str">
        <f t="shared" si="5"/>
        <v>MOT / Service</v>
      </c>
      <c r="Q27" s="282"/>
      <c r="R27" s="243"/>
    </row>
    <row r="28" spans="2:20" ht="15" customHeight="1" outlineLevel="1">
      <c r="B28" s="7"/>
      <c r="C28" s="7"/>
      <c r="D28" s="300" t="s">
        <v>690</v>
      </c>
      <c r="E28" s="365">
        <v>0</v>
      </c>
      <c r="F28" s="365">
        <f>-468.84-232.5</f>
        <v>-701.33999999999992</v>
      </c>
      <c r="H28" s="305"/>
      <c r="J28" s="305"/>
      <c r="L28" s="362"/>
      <c r="N28" s="315"/>
      <c r="O28" s="274">
        <f>SUM(E28:F28)-SUM(G28:N28)</f>
        <v>-701.33999999999992</v>
      </c>
      <c r="P28" s="274" t="str">
        <f t="shared" si="5"/>
        <v>Cars</v>
      </c>
      <c r="Q28" s="282"/>
      <c r="R28" s="243"/>
    </row>
    <row r="29" spans="2:20" ht="15" customHeight="1" outlineLevel="1">
      <c r="B29" s="7"/>
      <c r="C29" s="7"/>
      <c r="D29" s="300" t="s">
        <v>590</v>
      </c>
      <c r="E29" s="365">
        <v>0</v>
      </c>
      <c r="F29" s="365">
        <f>165+10.99+8.99+2.85+29.95+20+10.06+245+(487-26.78)</f>
        <v>953.06000000000006</v>
      </c>
      <c r="H29" s="305">
        <v>22.49</v>
      </c>
      <c r="J29" s="305">
        <f>45+15.99</f>
        <v>60.99</v>
      </c>
      <c r="L29" s="362"/>
      <c r="N29" s="315"/>
      <c r="O29" s="274">
        <f>SUM(E29:F29)-SUM(G29:N29)-Q45</f>
        <v>749.81000000000006</v>
      </c>
      <c r="P29" s="274" t="str">
        <f t="shared" si="5"/>
        <v>Contingency</v>
      </c>
      <c r="Q29" s="282"/>
      <c r="T29" s="243"/>
    </row>
    <row r="30" spans="2:20" ht="15" customHeight="1" outlineLevel="1">
      <c r="B30" s="7"/>
      <c r="C30" s="7"/>
      <c r="D30" s="300" t="s">
        <v>1486</v>
      </c>
      <c r="E30" s="365">
        <v>0</v>
      </c>
      <c r="F30" s="365">
        <v>13.67</v>
      </c>
      <c r="H30" s="305"/>
      <c r="J30" s="305"/>
      <c r="L30" s="362"/>
      <c r="N30" s="315"/>
      <c r="O30" s="274">
        <f t="shared" ref="O30:O38" si="6">SUM(E30:F30)-SUM(G30:N30)</f>
        <v>13.67</v>
      </c>
      <c r="P30" s="274" t="str">
        <f t="shared" si="5"/>
        <v>TV</v>
      </c>
      <c r="Q30" s="282"/>
    </row>
    <row r="31" spans="2:20" ht="15" customHeight="1" outlineLevel="1">
      <c r="B31" s="7"/>
      <c r="C31" s="7"/>
      <c r="D31" s="300" t="s">
        <v>1296</v>
      </c>
      <c r="E31" s="365">
        <v>0</v>
      </c>
      <c r="F31" s="365">
        <f>95</f>
        <v>95</v>
      </c>
      <c r="H31" s="305"/>
      <c r="J31" s="305"/>
      <c r="L31" s="362"/>
      <c r="N31" s="315"/>
      <c r="O31" s="274">
        <f t="shared" si="6"/>
        <v>95</v>
      </c>
      <c r="P31" s="274" t="str">
        <f t="shared" si="5"/>
        <v>Offset</v>
      </c>
      <c r="Q31" s="282"/>
    </row>
    <row r="32" spans="2:20" ht="15" customHeight="1" outlineLevel="1">
      <c r="B32" s="7"/>
      <c r="C32" s="7"/>
      <c r="D32" s="300" t="s">
        <v>354</v>
      </c>
      <c r="E32" s="365">
        <v>0</v>
      </c>
      <c r="F32" s="365">
        <f>650+310</f>
        <v>960</v>
      </c>
      <c r="H32" s="305">
        <f>152.6+117.46+145.97</f>
        <v>416.03</v>
      </c>
      <c r="J32" s="305">
        <f>179+9.94</f>
        <v>188.94</v>
      </c>
      <c r="L32" s="362"/>
      <c r="N32" s="315"/>
      <c r="O32" s="274">
        <f t="shared" si="6"/>
        <v>355.03</v>
      </c>
      <c r="P32" s="274" t="str">
        <f t="shared" si="5"/>
        <v>Holiday</v>
      </c>
      <c r="Q32" s="282"/>
    </row>
    <row r="33" spans="2:19" ht="15" customHeight="1" outlineLevel="1">
      <c r="B33" s="7"/>
      <c r="C33" s="7"/>
      <c r="D33" s="300" t="s">
        <v>701</v>
      </c>
      <c r="E33" s="365">
        <v>0</v>
      </c>
      <c r="F33" s="365">
        <f>250+35</f>
        <v>285</v>
      </c>
      <c r="H33">
        <f>23.4+11.29+1.5+150.9</f>
        <v>187.09</v>
      </c>
      <c r="J33" s="305">
        <f>70+19.9+19+115.5</f>
        <v>224.4</v>
      </c>
      <c r="L33" s="362"/>
      <c r="N33" s="315"/>
      <c r="O33" s="274">
        <f t="shared" si="6"/>
        <v>-126.49000000000001</v>
      </c>
      <c r="P33" s="274" t="str">
        <f t="shared" si="5"/>
        <v>Gift</v>
      </c>
      <c r="Q33" s="282"/>
    </row>
    <row r="34" spans="2:19" ht="15" customHeight="1" outlineLevel="1">
      <c r="B34" s="7"/>
      <c r="C34" s="7"/>
      <c r="D34" s="300" t="s">
        <v>1297</v>
      </c>
      <c r="E34" s="365">
        <v>0</v>
      </c>
      <c r="F34" s="365">
        <v>50</v>
      </c>
      <c r="H34" s="305"/>
      <c r="J34" s="305"/>
      <c r="L34" s="362"/>
      <c r="N34" s="315"/>
      <c r="O34" s="274">
        <f t="shared" si="6"/>
        <v>50</v>
      </c>
      <c r="P34" s="274" t="str">
        <f t="shared" si="5"/>
        <v>Skin</v>
      </c>
      <c r="Q34" s="282"/>
    </row>
    <row r="35" spans="2:19" ht="15" customHeight="1" outlineLevel="1">
      <c r="B35" s="7"/>
      <c r="C35" s="7"/>
      <c r="D35" s="300" t="s">
        <v>1391</v>
      </c>
      <c r="E35" s="365">
        <v>0</v>
      </c>
      <c r="F35" s="365">
        <v>75</v>
      </c>
      <c r="H35" s="305"/>
      <c r="J35" s="305"/>
      <c r="L35" s="362"/>
      <c r="N35" s="315"/>
      <c r="O35" s="274">
        <f t="shared" si="6"/>
        <v>75</v>
      </c>
      <c r="P35" s="274" t="str">
        <f t="shared" si="5"/>
        <v>Avios</v>
      </c>
      <c r="Q35" s="282"/>
    </row>
    <row r="36" spans="2:19" ht="15" customHeight="1" outlineLevel="1">
      <c r="B36" s="7"/>
      <c r="C36" s="7"/>
      <c r="D36" s="300" t="s">
        <v>1808</v>
      </c>
      <c r="E36" s="365">
        <v>0</v>
      </c>
      <c r="F36" s="365">
        <v>0</v>
      </c>
      <c r="H36" s="305"/>
      <c r="J36" s="305"/>
      <c r="L36" s="362"/>
      <c r="N36" s="315"/>
      <c r="O36" s="274">
        <f t="shared" si="6"/>
        <v>0</v>
      </c>
      <c r="P36" s="274" t="str">
        <f t="shared" si="5"/>
        <v>Prime</v>
      </c>
      <c r="Q36" s="282"/>
    </row>
    <row r="37" spans="2:19" ht="15" customHeight="1" outlineLevel="1">
      <c r="B37" s="7"/>
      <c r="C37" s="7"/>
      <c r="D37" s="300" t="s">
        <v>1589</v>
      </c>
      <c r="E37" s="365">
        <v>0</v>
      </c>
      <c r="F37" s="365">
        <v>-40</v>
      </c>
      <c r="H37" s="305"/>
      <c r="J37" s="305"/>
      <c r="L37" s="362"/>
      <c r="N37" s="315"/>
      <c r="O37" s="274">
        <f t="shared" si="6"/>
        <v>-40</v>
      </c>
      <c r="P37" s="274" t="str">
        <f t="shared" si="5"/>
        <v>Amex</v>
      </c>
      <c r="Q37" s="282"/>
    </row>
    <row r="38" spans="2:19" ht="15" customHeight="1" outlineLevel="1">
      <c r="B38" s="7"/>
      <c r="C38" s="7"/>
      <c r="D38" s="491" t="s">
        <v>1239</v>
      </c>
      <c r="E38" s="277">
        <v>0</v>
      </c>
      <c r="F38" s="277">
        <v>500</v>
      </c>
      <c r="H38" s="305"/>
      <c r="J38" s="305"/>
      <c r="L38" s="362"/>
      <c r="N38" s="315"/>
      <c r="O38" s="274">
        <f t="shared" si="6"/>
        <v>500</v>
      </c>
      <c r="P38" s="274" t="str">
        <f t="shared" si="5"/>
        <v>Summer</v>
      </c>
      <c r="Q38" s="282"/>
    </row>
    <row r="39" spans="2:19" ht="15" customHeight="1">
      <c r="B39" s="118"/>
      <c r="C39" s="118"/>
      <c r="E39" s="365"/>
      <c r="F39" s="365"/>
      <c r="H39" s="305"/>
      <c r="J39" s="305"/>
      <c r="L39" s="305"/>
      <c r="N39" s="305"/>
      <c r="O39" s="273"/>
      <c r="P39" s="273"/>
      <c r="Q39" s="282"/>
      <c r="R39" s="243"/>
    </row>
    <row r="40" spans="2:19" ht="15" customHeight="1">
      <c r="B40" s="727" t="str">
        <f>_xlfn.CONCAT("Wants - 30 - ",G45*0.3," / Actual = ",D41," (",ROUND((D41/G45)*100,2),")")</f>
        <v>Wants - 30 - 1698.447 / Actual = 1429.09 (25.24)</v>
      </c>
      <c r="C40" s="727"/>
      <c r="D40" s="727"/>
      <c r="E40" s="727"/>
      <c r="F40" s="318"/>
      <c r="H40" s="305"/>
      <c r="J40" s="305"/>
      <c r="L40" s="305"/>
      <c r="N40" s="305"/>
      <c r="O40" s="273"/>
      <c r="P40" s="273"/>
      <c r="Q40" s="282"/>
      <c r="S40" s="243"/>
    </row>
    <row r="41" spans="2:19" ht="15" customHeight="1">
      <c r="B41" s="727" t="str">
        <f>IF(ISNUMBER((SEARCH("Over",B$5))),"Operating under budget","Operating over budget")</f>
        <v>Operating over budget</v>
      </c>
      <c r="C41" s="727"/>
      <c r="D41" s="759">
        <f>(E$45-D5-D25-E44)</f>
        <v>1429.0899999999986</v>
      </c>
      <c r="E41" s="727"/>
      <c r="F41" s="319">
        <f>F42</f>
        <v>833.72999999999854</v>
      </c>
      <c r="H41" s="305"/>
      <c r="J41" s="305"/>
      <c r="L41" s="305"/>
      <c r="N41" s="305"/>
      <c r="O41" s="285">
        <f>0</f>
        <v>0</v>
      </c>
      <c r="P41" s="285" t="s">
        <v>899</v>
      </c>
      <c r="Q41" s="282">
        <f>SUM(Q42:Q42)</f>
        <v>0</v>
      </c>
      <c r="S41" s="243"/>
    </row>
    <row r="42" spans="2:19" ht="18" outlineLevel="1">
      <c r="B42" s="7"/>
      <c r="C42" s="284"/>
      <c r="D42" s="13" t="s">
        <v>922</v>
      </c>
      <c r="E42" s="365">
        <v>0</v>
      </c>
      <c r="F42" s="365">
        <f>D41-F43</f>
        <v>833.72999999999854</v>
      </c>
      <c r="G42" s="11"/>
      <c r="H42">
        <f>3+2.15+56.65+14.45+9.95+16.5+12.55+12.97+2.25+(6.75+17.2+15.9+33.48+33)+2.2+5.25+8.19+3.75+1.45+6+8.19+21.8</f>
        <v>293.63</v>
      </c>
      <c r="J42" s="305">
        <f>25.8+20.66+14.65+(12+26+3.99+5.5+53.75+16+140.1)+2.5+(96.36-58.36)+27+5.1+3-16+12+11.2</f>
        <v>401.25000000000006</v>
      </c>
      <c r="N42" s="305"/>
      <c r="O42" s="274">
        <f>SUM(E42:F42)-SUM(G42:N42)</f>
        <v>138.84999999999843</v>
      </c>
      <c r="P42" s="274" t="str">
        <f t="shared" ref="P42:P43" si="7">D42</f>
        <v>Matt Fun</v>
      </c>
      <c r="Q42" s="282">
        <f>IF(SUM(E42:F42)-SUM(G42:N42)&lt;=0,(SUM(E42:F42)-SUM(G42:N42))*-1,0)</f>
        <v>0</v>
      </c>
    </row>
    <row r="43" spans="2:19" ht="18" outlineLevel="1">
      <c r="B43" s="7"/>
      <c r="C43" s="284"/>
      <c r="D43" s="13" t="s">
        <v>152</v>
      </c>
      <c r="E43" s="365">
        <v>0</v>
      </c>
      <c r="F43" s="365">
        <f>230.16+35+10.3+80+99.99+30+55-12.83+50+40-22.26</f>
        <v>595.36</v>
      </c>
      <c r="G43" s="11"/>
      <c r="H43" s="306">
        <f>42.66+148.5+21.99+10.3+99.99+55+16.97+72.99+39.15-95</f>
        <v>412.54999999999995</v>
      </c>
      <c r="J43" s="305">
        <f>39+34.85+58.36+40+10.6</f>
        <v>182.80999999999997</v>
      </c>
      <c r="L43" s="305"/>
      <c r="N43" s="305"/>
      <c r="O43" s="274">
        <f>SUM(E43:F43)-SUM(G43:N43)</f>
        <v>0</v>
      </c>
      <c r="P43" s="274" t="str">
        <f t="shared" si="7"/>
        <v>Kris</v>
      </c>
      <c r="Q43" s="271">
        <f>IF(F43-SUM(G43:N43)&lt;=0,(F43-SUM(G43:N43))*-1,0)</f>
        <v>0</v>
      </c>
    </row>
    <row r="44" spans="2:19">
      <c r="B44" s="118"/>
      <c r="C44" s="118"/>
      <c r="E44" s="365">
        <f>E26</f>
        <v>0</v>
      </c>
      <c r="F44" s="365"/>
      <c r="G44" s="349"/>
      <c r="J44" s="7"/>
      <c r="L44" s="7"/>
      <c r="N44" s="7"/>
      <c r="O44" s="273"/>
      <c r="P44" s="273"/>
      <c r="Q44" s="282"/>
    </row>
    <row r="45" spans="2:19" ht="18">
      <c r="B45" s="728" t="s">
        <v>817</v>
      </c>
      <c r="C45" s="728"/>
      <c r="D45" s="728"/>
      <c r="E45" s="375">
        <f>G45+I45+K45+M45+N45+E44</f>
        <v>5661.4899999999989</v>
      </c>
      <c r="F45" s="379"/>
      <c r="G45" s="271">
        <f>3475.56+850+14.65+(160+50+220+42.66+148.5+39+100)+35+10.3+80+99.99+21.07+30+55+50+40+50+51.76+38</f>
        <v>5661.4899999999989</v>
      </c>
      <c r="H45" s="282"/>
      <c r="I45" s="271"/>
      <c r="J45" s="271"/>
      <c r="K45" s="271"/>
      <c r="L45" s="271"/>
      <c r="M45" s="271"/>
      <c r="N45" s="271"/>
      <c r="O45" s="314">
        <f>ROUND(O5+O41+O25+IF(O42&lt;0,0,O42)+O43+O4,2)</f>
        <v>4734.8999999999996</v>
      </c>
      <c r="P45" s="274"/>
      <c r="Q45" s="282">
        <f>SUM(Q41,Q25,Q5)</f>
        <v>119.76999999999995</v>
      </c>
    </row>
    <row r="46" spans="2:19" ht="18">
      <c r="B46" s="118"/>
      <c r="C46" s="7"/>
      <c r="D46" s="13" t="s">
        <v>1451</v>
      </c>
      <c r="E46" s="365"/>
      <c r="F46" s="365"/>
      <c r="G46" s="384"/>
      <c r="H46" s="243"/>
      <c r="L46" s="243"/>
    </row>
    <row r="47" spans="2:19" ht="14.4">
      <c r="B47" s="729"/>
      <c r="C47" s="729"/>
      <c r="D47" s="729"/>
      <c r="E47" s="729"/>
      <c r="F47" s="729"/>
      <c r="G47" s="729"/>
      <c r="H47" s="297"/>
      <c r="K47" s="729"/>
      <c r="L47" s="729"/>
      <c r="M47" s="729"/>
      <c r="N47" s="729"/>
      <c r="O47" s="729"/>
      <c r="P47" s="297"/>
    </row>
    <row r="48" spans="2:19" ht="15" customHeight="1">
      <c r="B48" s="726" t="s">
        <v>955</v>
      </c>
      <c r="C48" s="726"/>
      <c r="E48"/>
      <c r="F48" s="348"/>
      <c r="H48" s="243"/>
      <c r="K48" s="212"/>
      <c r="L48" s="212"/>
      <c r="M48" s="243" t="e">
        <f>O43+#REF!</f>
        <v>#REF!</v>
      </c>
      <c r="N48" s="118" t="s">
        <v>1958</v>
      </c>
      <c r="O48" s="316">
        <v>45277</v>
      </c>
      <c r="P48" s="7">
        <f ca="1">DATEDIF(O48,NOW(),"d")</f>
        <v>974</v>
      </c>
      <c r="Q48">
        <v>270</v>
      </c>
      <c r="R48" t="s">
        <v>1500</v>
      </c>
    </row>
    <row r="49" spans="2:18">
      <c r="B49" s="365"/>
      <c r="C49" s="38"/>
      <c r="D49" t="s">
        <v>1352</v>
      </c>
      <c r="F49" s="11" t="s">
        <v>704</v>
      </c>
      <c r="G49" s="367"/>
      <c r="K49" s="11"/>
      <c r="L49" s="243"/>
      <c r="N49" s="483" t="s">
        <v>1969</v>
      </c>
      <c r="O49" s="42">
        <v>45557</v>
      </c>
      <c r="P49" s="7">
        <f ca="1">DATEDIF(O49,NOW(),"d")</f>
        <v>694</v>
      </c>
      <c r="Q49">
        <v>2.1</v>
      </c>
      <c r="R49" t="s">
        <v>1099</v>
      </c>
    </row>
    <row r="50" spans="2:18">
      <c r="D50">
        <v>55</v>
      </c>
      <c r="F50" s="457">
        <f>6.75+17.2+15.9+33.48+33+145.97</f>
        <v>252.3</v>
      </c>
      <c r="H50" s="243" t="s">
        <v>1959</v>
      </c>
      <c r="I50" s="243">
        <v>15295.15</v>
      </c>
      <c r="J50" s="243"/>
      <c r="L50" s="243"/>
      <c r="N50" s="358" t="s">
        <v>1970</v>
      </c>
      <c r="O50" s="316">
        <v>45557</v>
      </c>
      <c r="P50" s="7">
        <f ca="1">DATEDIF(O50,NOW(),"d")</f>
        <v>694</v>
      </c>
      <c r="Q50">
        <v>11.2</v>
      </c>
      <c r="R50" t="s">
        <v>1971</v>
      </c>
    </row>
    <row r="51" spans="2:18" ht="16.2" customHeight="1">
      <c r="F51" s="457">
        <f>F50+179</f>
        <v>431.3</v>
      </c>
      <c r="G51" s="458"/>
      <c r="H51" s="445" t="s">
        <v>1960</v>
      </c>
      <c r="I51" s="11">
        <f>3870.28-O4</f>
        <v>680.76000000000067</v>
      </c>
      <c r="J51" s="213"/>
      <c r="K51" s="213"/>
      <c r="L51" s="243"/>
      <c r="O51" s="316"/>
    </row>
    <row r="52" spans="2:18">
      <c r="B52" s="378"/>
      <c r="F52" s="278"/>
      <c r="G52" s="243"/>
      <c r="H52" s="243" t="s">
        <v>1961</v>
      </c>
      <c r="I52" s="243">
        <f>17155.68-I50</f>
        <v>1860.5300000000007</v>
      </c>
      <c r="J52" s="243"/>
      <c r="K52" s="353"/>
      <c r="L52" s="243"/>
      <c r="P52" s="56"/>
    </row>
    <row r="53" spans="2:18">
      <c r="F53" s="451" t="s">
        <v>1972</v>
      </c>
      <c r="H53" s="369" t="s">
        <v>1962</v>
      </c>
      <c r="I53">
        <v>175</v>
      </c>
      <c r="J53" s="243"/>
      <c r="K53" s="243"/>
      <c r="L53" s="243"/>
      <c r="N53" s="243"/>
      <c r="P53"/>
    </row>
    <row r="54" spans="2:18">
      <c r="F54" s="492" t="s">
        <v>1973</v>
      </c>
      <c r="G54" s="118"/>
      <c r="H54" s="118"/>
      <c r="K54" s="243"/>
      <c r="L54" s="243"/>
      <c r="M54" s="243"/>
      <c r="P54" s="212"/>
      <c r="Q54" s="212"/>
    </row>
    <row r="55" spans="2:18" ht="15" customHeight="1">
      <c r="F55" s="267">
        <v>355</v>
      </c>
      <c r="H55" s="243" t="s">
        <v>1963</v>
      </c>
      <c r="I55">
        <v>110</v>
      </c>
      <c r="K55" s="353"/>
      <c r="L55" s="243"/>
      <c r="M55" s="243"/>
      <c r="P55" s="56"/>
      <c r="Q55" s="38"/>
    </row>
    <row r="56" spans="2:18">
      <c r="H56" t="s">
        <v>1964</v>
      </c>
      <c r="I56" s="243">
        <f>30*8</f>
        <v>240</v>
      </c>
      <c r="K56" s="243"/>
      <c r="L56" s="243"/>
      <c r="O56"/>
      <c r="P56"/>
    </row>
    <row r="57" spans="2:18" ht="15" customHeight="1">
      <c r="H57" t="s">
        <v>1755</v>
      </c>
      <c r="I57">
        <f>1700-152.6-117.46</f>
        <v>1429.94</v>
      </c>
      <c r="L57" s="243"/>
      <c r="O57"/>
      <c r="P57"/>
    </row>
    <row r="58" spans="2:18">
      <c r="D58" s="358" t="s">
        <v>1951</v>
      </c>
      <c r="E58" s="504" t="s">
        <v>1952</v>
      </c>
      <c r="H58" s="242" t="s">
        <v>1966</v>
      </c>
      <c r="I58" s="500">
        <f>SUM(I51:I53)-SUM(I55:I57)</f>
        <v>936.35000000000127</v>
      </c>
      <c r="J58" s="79"/>
      <c r="L58" s="243"/>
      <c r="O58"/>
      <c r="P58"/>
    </row>
    <row r="59" spans="2:18">
      <c r="B59" s="11"/>
      <c r="D59" s="242" t="s">
        <v>1949</v>
      </c>
      <c r="E59" s="290" t="s">
        <v>1950</v>
      </c>
      <c r="H59" t="s">
        <v>203</v>
      </c>
      <c r="I59" s="243">
        <f>2200-I58</f>
        <v>1263.6499999999987</v>
      </c>
      <c r="L59" s="243"/>
      <c r="O59"/>
      <c r="P59"/>
    </row>
    <row r="60" spans="2:18">
      <c r="B60" s="11"/>
      <c r="D60" s="358" t="s">
        <v>1916</v>
      </c>
      <c r="E60" s="455" t="s">
        <v>1912</v>
      </c>
      <c r="H60" s="79" t="s">
        <v>1965</v>
      </c>
      <c r="I60" s="390">
        <f>I59-(150+179)</f>
        <v>934.64999999999873</v>
      </c>
      <c r="L60" s="243"/>
      <c r="O60"/>
      <c r="P60"/>
    </row>
    <row r="61" spans="2:18">
      <c r="B61" s="212"/>
      <c r="C61" s="212"/>
      <c r="D61" s="358" t="s">
        <v>1905</v>
      </c>
      <c r="E61" s="358" t="s">
        <v>1947</v>
      </c>
      <c r="F61" s="384"/>
      <c r="G61" s="511"/>
      <c r="H61" t="s">
        <v>1967</v>
      </c>
      <c r="I61" s="243">
        <f>I60-70-60.99-22.49-23.4</f>
        <v>757.76999999999873</v>
      </c>
      <c r="J61" s="79"/>
      <c r="K61" s="118"/>
      <c r="O61"/>
      <c r="P61"/>
    </row>
    <row r="62" spans="2:18" ht="14.4">
      <c r="C62" s="56"/>
      <c r="D62" s="358" t="s">
        <v>1910</v>
      </c>
      <c r="E62" s="503" t="s">
        <v>704</v>
      </c>
      <c r="F62"/>
      <c r="H62" t="s">
        <v>1968</v>
      </c>
      <c r="I62" s="243">
        <f>I61-288</f>
        <v>469.76999999999873</v>
      </c>
      <c r="J62" s="79"/>
      <c r="O62"/>
      <c r="P62"/>
    </row>
    <row r="63" spans="2:18" ht="15.75" customHeight="1">
      <c r="C63" s="56"/>
      <c r="D63" s="331" t="s">
        <v>1953</v>
      </c>
      <c r="E63" s="505" t="s">
        <v>1954</v>
      </c>
      <c r="F63"/>
      <c r="M63" s="243"/>
      <c r="O63"/>
      <c r="P63"/>
    </row>
    <row r="64" spans="2:18">
      <c r="C64" s="56"/>
      <c r="D64" s="358" t="s">
        <v>1931</v>
      </c>
      <c r="E64" s="507"/>
      <c r="F64"/>
      <c r="I64" s="407"/>
      <c r="M64" s="243"/>
      <c r="O64"/>
      <c r="P64"/>
    </row>
    <row r="65" spans="2:16">
      <c r="C65" s="56"/>
      <c r="D65" s="358" t="s">
        <v>1386</v>
      </c>
      <c r="E65" s="504" t="s">
        <v>1944</v>
      </c>
      <c r="F65" s="79"/>
      <c r="I65" s="407"/>
      <c r="J65" s="79"/>
      <c r="O65"/>
      <c r="P65"/>
    </row>
    <row r="66" spans="2:16">
      <c r="C66" s="56"/>
      <c r="D66" s="331" t="s">
        <v>1390</v>
      </c>
      <c r="E66" s="502" t="s">
        <v>1935</v>
      </c>
      <c r="I66" s="407"/>
      <c r="K66" s="118"/>
      <c r="M66" s="243"/>
      <c r="O66"/>
      <c r="P66"/>
    </row>
    <row r="67" spans="2:16">
      <c r="C67" s="56"/>
      <c r="D67" s="358" t="s">
        <v>1948</v>
      </c>
      <c r="E67" s="512"/>
      <c r="I67" s="407"/>
      <c r="O67"/>
      <c r="P67"/>
    </row>
    <row r="68" spans="2:16">
      <c r="C68" s="56"/>
      <c r="E68"/>
      <c r="N68" s="288"/>
      <c r="O68"/>
      <c r="P68"/>
    </row>
    <row r="69" spans="2:16">
      <c r="C69" s="56"/>
      <c r="E69" s="347"/>
      <c r="O69"/>
      <c r="P69"/>
    </row>
    <row r="70" spans="2:16">
      <c r="C70" s="56"/>
      <c r="E70" s="332"/>
      <c r="O70"/>
      <c r="P70"/>
    </row>
    <row r="71" spans="2:16" ht="14.4">
      <c r="C71" s="56"/>
      <c r="E71" s="407"/>
      <c r="F71"/>
      <c r="G71" s="407"/>
      <c r="O71"/>
      <c r="P71"/>
    </row>
    <row r="72" spans="2:16" ht="15.45" customHeight="1">
      <c r="C72" s="56"/>
      <c r="E72" s="407"/>
      <c r="F72"/>
      <c r="G72" s="407"/>
      <c r="O72"/>
      <c r="P72"/>
    </row>
    <row r="73" spans="2:16" ht="14.4">
      <c r="D73" s="459"/>
      <c r="E73" s="243"/>
      <c r="F73" s="459"/>
      <c r="G73" s="243"/>
      <c r="O73"/>
      <c r="P73"/>
    </row>
    <row r="74" spans="2:16" ht="14.4">
      <c r="B74" s="212"/>
      <c r="C74" s="294"/>
      <c r="D74" s="188"/>
      <c r="E74"/>
      <c r="F74" s="188"/>
      <c r="O74"/>
      <c r="P74"/>
    </row>
    <row r="75" spans="2:16" ht="15.45" customHeight="1">
      <c r="C75" s="56"/>
      <c r="E75"/>
      <c r="F75"/>
      <c r="M75" s="243"/>
      <c r="O75"/>
      <c r="P75"/>
    </row>
    <row r="76" spans="2:16">
      <c r="C76" s="56"/>
      <c r="E76" s="484"/>
      <c r="F76"/>
      <c r="G76" s="484"/>
      <c r="O76"/>
      <c r="P76"/>
    </row>
    <row r="77" spans="2:16">
      <c r="C77" s="56"/>
      <c r="L77" s="459"/>
      <c r="M77" s="461"/>
      <c r="O77"/>
      <c r="P77"/>
    </row>
    <row r="78" spans="2:16">
      <c r="C78" s="56"/>
      <c r="D78" s="426"/>
      <c r="E78" s="447"/>
      <c r="F78" s="486"/>
      <c r="L78" s="188"/>
      <c r="M78" s="230"/>
      <c r="O78"/>
      <c r="P78"/>
    </row>
    <row r="79" spans="2:16">
      <c r="C79" s="56"/>
      <c r="D79" s="405"/>
      <c r="E79" s="407"/>
      <c r="L79" s="188"/>
      <c r="M79" s="230"/>
      <c r="O79"/>
      <c r="P79"/>
    </row>
    <row r="80" spans="2:16">
      <c r="C80" s="56"/>
      <c r="D80" s="484"/>
      <c r="E80" s="243"/>
      <c r="L80" s="188"/>
      <c r="M80" s="230"/>
      <c r="O80"/>
      <c r="P80"/>
    </row>
    <row r="81" spans="5:16">
      <c r="E81" s="447"/>
      <c r="L81" s="188"/>
      <c r="M81" s="230"/>
      <c r="O81"/>
      <c r="P81"/>
    </row>
    <row r="82" spans="5:16">
      <c r="E82" s="447"/>
      <c r="F82" s="365"/>
      <c r="L82" s="460"/>
      <c r="M82" s="230"/>
      <c r="O82"/>
      <c r="P82"/>
    </row>
    <row r="83" spans="5:16">
      <c r="E83" s="487"/>
      <c r="F83" s="212"/>
      <c r="L83" s="405"/>
      <c r="M83" s="230"/>
      <c r="O83"/>
      <c r="P83"/>
    </row>
    <row r="84" spans="5:16" ht="14.4">
      <c r="E84"/>
      <c r="F84"/>
      <c r="L84" s="405"/>
      <c r="M84" s="462"/>
      <c r="O84"/>
      <c r="P84"/>
    </row>
    <row r="85" spans="5:16" ht="14.4">
      <c r="E85"/>
      <c r="F85"/>
      <c r="O85"/>
      <c r="P85"/>
    </row>
    <row r="86" spans="5:16" ht="14.4">
      <c r="E86"/>
      <c r="F86"/>
      <c r="O86"/>
      <c r="P86"/>
    </row>
    <row r="87" spans="5:16" ht="14.4">
      <c r="E87" s="292"/>
      <c r="F87" s="56"/>
      <c r="H87" s="243"/>
      <c r="O87"/>
      <c r="P87"/>
    </row>
    <row r="88" spans="5:16" ht="14.4">
      <c r="E88"/>
      <c r="F88" s="56"/>
      <c r="H88" s="243"/>
      <c r="O88"/>
      <c r="P88"/>
    </row>
    <row r="89" spans="5:16" ht="14.4">
      <c r="E89" s="56"/>
      <c r="F89" s="56"/>
      <c r="O89"/>
      <c r="P89"/>
    </row>
    <row r="90" spans="5:16">
      <c r="O90"/>
      <c r="P90"/>
    </row>
    <row r="91" spans="5:16" ht="14.4">
      <c r="E91" s="212"/>
      <c r="F91" s="212"/>
      <c r="O91"/>
      <c r="P91"/>
    </row>
    <row r="92" spans="5:16" ht="14.4">
      <c r="E92"/>
      <c r="F92" s="56"/>
      <c r="O92"/>
      <c r="P92"/>
    </row>
    <row r="93" spans="5:16" ht="14.4">
      <c r="E93" s="56"/>
      <c r="F93" s="56"/>
      <c r="O93"/>
      <c r="P93"/>
    </row>
    <row r="94" spans="5:16" ht="14.4">
      <c r="E94" s="56"/>
      <c r="F94" s="56"/>
      <c r="G94" s="407"/>
      <c r="O94"/>
      <c r="P94"/>
    </row>
    <row r="95" spans="5:16" ht="14.4">
      <c r="E95" s="56"/>
      <c r="F95" s="56"/>
      <c r="G95" s="407"/>
      <c r="O95"/>
      <c r="P95"/>
    </row>
    <row r="96" spans="5:16" ht="14.4">
      <c r="E96" s="56"/>
      <c r="F96" s="56"/>
      <c r="G96" s="407"/>
      <c r="O96"/>
      <c r="P96"/>
    </row>
    <row r="97" spans="5:16" ht="14.4">
      <c r="E97" s="56"/>
      <c r="F97" s="56"/>
      <c r="G97" s="407"/>
      <c r="O97"/>
      <c r="P97"/>
    </row>
    <row r="98" spans="5:16">
      <c r="E98" s="365"/>
      <c r="F98" s="365"/>
      <c r="G98" s="407"/>
      <c r="O98"/>
      <c r="P98"/>
    </row>
    <row r="99" spans="5:16">
      <c r="E99" s="486"/>
      <c r="G99" s="407"/>
      <c r="O99"/>
      <c r="P99"/>
    </row>
    <row r="100" spans="5:16">
      <c r="G100" s="407"/>
      <c r="O100"/>
      <c r="P100"/>
    </row>
    <row r="101" spans="5:16">
      <c r="G101" s="407"/>
    </row>
    <row r="105" spans="5:16">
      <c r="F105" s="384"/>
    </row>
    <row r="106" spans="5:16">
      <c r="F106" s="384"/>
    </row>
  </sheetData>
  <mergeCells count="21">
    <mergeCell ref="B47:G47"/>
    <mergeCell ref="K47:O47"/>
    <mergeCell ref="B48:C48"/>
    <mergeCell ref="B25:C25"/>
    <mergeCell ref="D25:E25"/>
    <mergeCell ref="B40:E40"/>
    <mergeCell ref="B41:C41"/>
    <mergeCell ref="D41:E41"/>
    <mergeCell ref="B45:D45"/>
    <mergeCell ref="B24:E24"/>
    <mergeCell ref="B1:O1"/>
    <mergeCell ref="G3:H3"/>
    <mergeCell ref="I3:J3"/>
    <mergeCell ref="K3:L3"/>
    <mergeCell ref="M3:N3"/>
    <mergeCell ref="B4:E4"/>
    <mergeCell ref="B5:C5"/>
    <mergeCell ref="D5:E5"/>
    <mergeCell ref="B6:B21"/>
    <mergeCell ref="C6:C21"/>
    <mergeCell ref="E10:F10"/>
  </mergeCells>
  <pageMargins left="0.7" right="0.7" top="0.75" bottom="0.75" header="0.3" footer="0.3"/>
  <pageSetup orientation="portrait" r:id="rId1"/>
  <legacyDrawing r:id="rId2"/>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2870C-9A6A-432E-B66C-97D7617475E7}">
  <dimension ref="A1:T105"/>
  <sheetViews>
    <sheetView topLeftCell="D14" zoomScale="90" zoomScaleNormal="90" workbookViewId="0">
      <selection activeCell="G43" sqref="G43"/>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AUG-SEP T 24</v>
      </c>
      <c r="B1" s="730" t="str">
        <f ca="1">MID(CELL("filename",B1),FIND("]",CELL("filename",B1))+1,255)</f>
        <v>SEP-OCT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ROUND(O5+O39+O24+IF(O40&lt;0,0,O40)+O41+O4,2) &amp; " / " &amp; "£" &amp; E43</f>
        <v>£4703.59 / £4435.58</v>
      </c>
      <c r="E3" s="365"/>
      <c r="F3" s="365"/>
      <c r="G3" s="732">
        <v>45437</v>
      </c>
      <c r="H3" s="732"/>
      <c r="I3" s="732">
        <f>G3+7</f>
        <v>45444</v>
      </c>
      <c r="J3" s="732"/>
      <c r="K3" s="732">
        <f>I3+7</f>
        <v>45451</v>
      </c>
      <c r="L3" s="732"/>
      <c r="M3" s="732">
        <f>K3+7</f>
        <v>45458</v>
      </c>
      <c r="N3" s="732"/>
      <c r="O3" s="308">
        <v>0</v>
      </c>
      <c r="P3" s="325" t="s">
        <v>1224</v>
      </c>
      <c r="Q3" s="282"/>
    </row>
    <row r="4" spans="1:20" ht="15" customHeight="1">
      <c r="B4" s="727" t="str">
        <f>_xlfn.CONCAT("Expenses - 50 - ",G43*0.5," / Actual = ",ROUND(D5,2)," (",ROUND((D5/G43)*100,2),")")</f>
        <v>Expenses - 50 - 2217.79 / Actual = 3085.27 (69.56)</v>
      </c>
      <c r="C4" s="727"/>
      <c r="D4" s="727"/>
      <c r="E4" s="727"/>
      <c r="F4" s="318"/>
      <c r="G4" s="243"/>
      <c r="H4" s="304">
        <f>SUM(H5:H41)</f>
        <v>3872.8500000000004</v>
      </c>
      <c r="I4" s="243">
        <f>H4+5000</f>
        <v>8872.85</v>
      </c>
      <c r="J4" s="304">
        <f>SUM(J5:J41)</f>
        <v>317.12</v>
      </c>
      <c r="K4" s="243">
        <f>J4+55</f>
        <v>372.12</v>
      </c>
      <c r="L4" s="304">
        <f>SUM(L5:L41)</f>
        <v>0</v>
      </c>
      <c r="M4" s="243"/>
      <c r="N4" s="304">
        <f>SUM(N5:N41)-SUM(N26:N32)</f>
        <v>0</v>
      </c>
      <c r="O4" s="308">
        <f>IF(H42&lt;&gt;"PAID",H4,0)+IF(J42&lt;&gt;"PAID",J4,0)+IF(L42&lt;&gt;"PAID",L4,0)+IF(N42&lt;&gt;"PAID",N4,0)</f>
        <v>4189.97</v>
      </c>
      <c r="P4" s="309" t="s">
        <v>973</v>
      </c>
      <c r="Q4" s="408">
        <f>O4+402.34</f>
        <v>4592.3100000000004</v>
      </c>
      <c r="R4" s="243">
        <f>2761.15-SUM(O4:O5)</f>
        <v>-2310.56</v>
      </c>
      <c r="S4" s="243"/>
    </row>
    <row r="5" spans="1:20" ht="15" customHeight="1">
      <c r="B5" s="733" t="str">
        <f>IF(D5&gt;E$43*0.5,ROUND(D5-E$43*0.5,2) &amp; " Over",ROUND(E$43*0.5-D5,2) &amp; " Under")</f>
        <v>867.48 Over</v>
      </c>
      <c r="C5" s="733"/>
      <c r="D5" s="761">
        <f>ROUND(SUM(F6:F21),2)</f>
        <v>3085.27</v>
      </c>
      <c r="E5" s="761"/>
      <c r="F5" s="321"/>
      <c r="G5" s="284"/>
      <c r="H5" s="306"/>
      <c r="I5" s="390"/>
      <c r="J5" s="306"/>
      <c r="K5" s="390"/>
      <c r="L5" s="306"/>
      <c r="M5" s="79"/>
      <c r="N5" s="305"/>
      <c r="O5" s="285">
        <f>SUMIF(O6:O21,"&gt;0")</f>
        <v>881.74</v>
      </c>
      <c r="P5" s="285" t="s">
        <v>892</v>
      </c>
      <c r="Q5" s="282">
        <f>SUM(Q6:Q20)</f>
        <v>0</v>
      </c>
      <c r="R5" s="243"/>
    </row>
    <row r="6" spans="1:20" ht="15" customHeight="1">
      <c r="B6" s="734" t="str">
        <f>"50%: " &amp; E$43*0.5</f>
        <v>50%: 2217.79</v>
      </c>
      <c r="C6" s="734" t="str">
        <f>ROUND((D5/E$43)*100,2) &amp; "%: " &amp;D5</f>
        <v>69.56%: 3085.27</v>
      </c>
      <c r="D6" s="13" t="s">
        <v>805</v>
      </c>
      <c r="E6" s="365">
        <v>0</v>
      </c>
      <c r="F6" s="374">
        <v>150</v>
      </c>
      <c r="H6" s="304">
        <f>59.5+30.05+30.02+30</f>
        <v>149.57</v>
      </c>
      <c r="J6" s="305"/>
      <c r="L6" s="305"/>
      <c r="N6" s="305"/>
      <c r="O6" s="274">
        <f>SUM(E6:F6)-SUM(G6:N6)</f>
        <v>0.43000000000000682</v>
      </c>
      <c r="P6" s="274" t="str">
        <f t="shared" ref="P6:P21" si="0">D6</f>
        <v>Car Petrol / commuting</v>
      </c>
      <c r="Q6" s="282">
        <f t="shared" ref="Q6:Q20" si="1">IF(O6&lt;0,O6*-1,0)</f>
        <v>0</v>
      </c>
      <c r="R6" s="243"/>
    </row>
    <row r="7" spans="1:20" ht="15" customHeight="1">
      <c r="B7" s="734"/>
      <c r="C7" s="734"/>
      <c r="D7" s="13" t="s">
        <v>169</v>
      </c>
      <c r="E7" s="365">
        <v>0</v>
      </c>
      <c r="F7" s="365">
        <f>400+43.38+5.42</f>
        <v>448.8</v>
      </c>
      <c r="H7" s="304">
        <f>22+13.5+27.32+70.43+4.95+114.12+11.79+36.25+26.41+0.6+82.73</f>
        <v>410.10000000000008</v>
      </c>
      <c r="J7" s="305">
        <f>2.4+11.9+24.4</f>
        <v>38.700000000000003</v>
      </c>
      <c r="L7" s="305"/>
      <c r="N7" s="305"/>
      <c r="O7" s="274">
        <f>SUM(E7:F7)-SUM(G7:N7)</f>
        <v>0</v>
      </c>
      <c r="P7" s="274" t="str">
        <f t="shared" si="0"/>
        <v>Food</v>
      </c>
      <c r="Q7" s="282">
        <f t="shared" si="1"/>
        <v>0</v>
      </c>
      <c r="R7" s="243"/>
    </row>
    <row r="8" spans="1:20" ht="15" customHeight="1">
      <c r="B8" s="734"/>
      <c r="C8" s="734"/>
      <c r="D8" s="13" t="s">
        <v>153</v>
      </c>
      <c r="E8" s="365">
        <v>0</v>
      </c>
      <c r="F8" s="365">
        <f>100+13+10.19</f>
        <v>123.19</v>
      </c>
      <c r="H8" s="305">
        <f>63.76+10</f>
        <v>73.759999999999991</v>
      </c>
      <c r="J8" s="305">
        <f>(34.09-5)+20.34</f>
        <v>49.430000000000007</v>
      </c>
      <c r="L8" s="305"/>
      <c r="N8" s="305"/>
      <c r="O8" s="274">
        <f>SUM(E8:F8)-SUM(G8:N8)</f>
        <v>0</v>
      </c>
      <c r="P8" s="274" t="str">
        <f t="shared" si="0"/>
        <v>Luna</v>
      </c>
      <c r="Q8" s="282">
        <f t="shared" si="1"/>
        <v>0</v>
      </c>
    </row>
    <row r="9" spans="1:20" ht="15" customHeight="1">
      <c r="B9" s="734"/>
      <c r="C9" s="734"/>
      <c r="D9" s="13" t="s">
        <v>1079</v>
      </c>
      <c r="E9" s="365">
        <v>0</v>
      </c>
      <c r="F9" s="365">
        <f>30-13</f>
        <v>17</v>
      </c>
      <c r="H9" s="305">
        <v>9</v>
      </c>
      <c r="J9" s="305">
        <f>5</f>
        <v>5</v>
      </c>
      <c r="L9" s="305"/>
      <c r="N9" s="305"/>
      <c r="O9" s="274">
        <f>SUM(E9:F9)-SUM(G9:N9)</f>
        <v>3</v>
      </c>
      <c r="P9" s="274" t="str">
        <f t="shared" si="0"/>
        <v>Creamy</v>
      </c>
      <c r="Q9" s="282">
        <f t="shared" si="1"/>
        <v>0</v>
      </c>
      <c r="R9" s="243"/>
    </row>
    <row r="10" spans="1:20" ht="15" customHeight="1">
      <c r="B10" s="734"/>
      <c r="C10" s="734"/>
      <c r="D10" s="13" t="s">
        <v>189</v>
      </c>
      <c r="E10" s="780">
        <f>SUM(F11:F21)</f>
        <v>2346.2799999999997</v>
      </c>
      <c r="F10" s="780"/>
      <c r="G10" s="243"/>
      <c r="H10" s="305"/>
      <c r="J10" s="305"/>
      <c r="L10" s="305"/>
      <c r="N10" s="305"/>
      <c r="O10" s="274"/>
      <c r="P10" s="274" t="str">
        <f t="shared" si="0"/>
        <v>Direct debits</v>
      </c>
      <c r="Q10" s="282"/>
      <c r="R10" s="243"/>
    </row>
    <row r="11" spans="1:20" ht="15" customHeight="1" outlineLevel="1">
      <c r="B11" s="734"/>
      <c r="C11" s="734"/>
      <c r="D11" s="201" t="s">
        <v>595</v>
      </c>
      <c r="E11" s="365">
        <v>0</v>
      </c>
      <c r="F11" s="365">
        <v>838</v>
      </c>
      <c r="G11">
        <v>838</v>
      </c>
      <c r="H11" s="304"/>
      <c r="J11" s="305"/>
      <c r="L11" s="305"/>
      <c r="N11" s="305"/>
      <c r="O11" s="274">
        <f t="shared" ref="O11:O16" si="2">SUM(E11:F11)-SUM(G11:N11)</f>
        <v>0</v>
      </c>
      <c r="P11" s="274" t="str">
        <f t="shared" si="0"/>
        <v>Mortgage</v>
      </c>
      <c r="Q11" s="282">
        <f t="shared" si="1"/>
        <v>0</v>
      </c>
      <c r="R11" s="243"/>
      <c r="S11" s="11"/>
    </row>
    <row r="12" spans="1:20" ht="15" customHeight="1" outlineLevel="1">
      <c r="B12" s="734"/>
      <c r="C12" s="734"/>
      <c r="D12" s="201" t="s">
        <v>596</v>
      </c>
      <c r="E12" s="365">
        <v>0</v>
      </c>
      <c r="F12" s="365">
        <v>154</v>
      </c>
      <c r="G12">
        <v>154</v>
      </c>
      <c r="H12" s="305"/>
      <c r="J12" s="305"/>
      <c r="L12" s="305"/>
      <c r="N12" s="305"/>
      <c r="O12" s="274">
        <f t="shared" si="2"/>
        <v>0</v>
      </c>
      <c r="P12" s="274" t="str">
        <f t="shared" si="0"/>
        <v>Council tax</v>
      </c>
      <c r="Q12" s="282">
        <f t="shared" si="1"/>
        <v>0</v>
      </c>
      <c r="S12" s="349"/>
    </row>
    <row r="13" spans="1:20" ht="15" customHeight="1" outlineLevel="1">
      <c r="B13" s="734"/>
      <c r="C13" s="734"/>
      <c r="D13" s="201" t="s">
        <v>1002</v>
      </c>
      <c r="E13" s="365">
        <v>0</v>
      </c>
      <c r="F13" s="365">
        <f>34+111.75</f>
        <v>145.75</v>
      </c>
      <c r="G13">
        <f>34+111.75</f>
        <v>145.75</v>
      </c>
      <c r="H13" s="305"/>
      <c r="J13" s="305"/>
      <c r="L13" s="305"/>
      <c r="N13" s="305"/>
      <c r="O13" s="274">
        <f>SUM(E13:F13)-SUM(G13:N13)</f>
        <v>0</v>
      </c>
      <c r="P13" s="274" t="str">
        <f t="shared" si="0"/>
        <v>Utilities (G,W,E,HTB)</v>
      </c>
      <c r="Q13" s="282">
        <f t="shared" si="1"/>
        <v>0</v>
      </c>
    </row>
    <row r="14" spans="1:20" ht="15" customHeight="1" outlineLevel="1">
      <c r="B14" s="734"/>
      <c r="C14" s="734"/>
      <c r="D14" s="201" t="s">
        <v>996</v>
      </c>
      <c r="E14" s="365">
        <v>0</v>
      </c>
      <c r="F14" s="365">
        <v>22.7</v>
      </c>
      <c r="H14" s="305"/>
      <c r="J14" s="305"/>
      <c r="L14" s="305"/>
      <c r="N14" s="305"/>
      <c r="O14" s="274">
        <f>SUM(E14:F14)-SUM(G14:N14)</f>
        <v>22.7</v>
      </c>
      <c r="P14" s="274" t="str">
        <f t="shared" si="0"/>
        <v>Home Insurance</v>
      </c>
      <c r="Q14" s="282">
        <f t="shared" si="1"/>
        <v>0</v>
      </c>
    </row>
    <row r="15" spans="1:20" ht="15" customHeight="1" outlineLevel="1">
      <c r="B15" s="734"/>
      <c r="C15" s="734"/>
      <c r="D15" s="201" t="s">
        <v>1056</v>
      </c>
      <c r="E15" s="365">
        <v>0</v>
      </c>
      <c r="F15" s="365">
        <f>8+23.99+20.99</f>
        <v>52.98</v>
      </c>
      <c r="G15">
        <f>20.99+23.99</f>
        <v>44.98</v>
      </c>
      <c r="H15" s="305"/>
      <c r="J15" s="305"/>
      <c r="L15" s="305"/>
      <c r="N15" s="305"/>
      <c r="O15" s="274">
        <f>SUM(E15:F15)-SUM(G15:N15)</f>
        <v>8</v>
      </c>
      <c r="P15" s="274" t="str">
        <f t="shared" si="0"/>
        <v>Pet Health / Insurance</v>
      </c>
      <c r="Q15" s="282">
        <f t="shared" si="1"/>
        <v>0</v>
      </c>
    </row>
    <row r="16" spans="1:20" ht="15" customHeight="1" outlineLevel="1">
      <c r="B16" s="734"/>
      <c r="C16" s="734"/>
      <c r="D16" s="201" t="s">
        <v>1057</v>
      </c>
      <c r="E16" s="365">
        <v>0</v>
      </c>
      <c r="F16" s="365">
        <f>30.8+62</f>
        <v>92.8</v>
      </c>
      <c r="H16" s="305"/>
      <c r="I16" s="11"/>
      <c r="J16" s="305"/>
      <c r="L16" s="305"/>
      <c r="N16" s="305"/>
      <c r="O16" s="274">
        <f t="shared" si="2"/>
        <v>92.8</v>
      </c>
      <c r="P16" s="274" t="str">
        <f t="shared" si="0"/>
        <v>Life / Income Insurance</v>
      </c>
      <c r="Q16" s="282">
        <f t="shared" si="1"/>
        <v>0</v>
      </c>
    </row>
    <row r="17" spans="2:20" ht="15" customHeight="1" outlineLevel="1">
      <c r="B17" s="734"/>
      <c r="C17" s="734"/>
      <c r="D17" s="201" t="s">
        <v>602</v>
      </c>
      <c r="E17" s="365">
        <v>0</v>
      </c>
      <c r="F17" s="365">
        <f>34</f>
        <v>34</v>
      </c>
      <c r="G17">
        <v>34</v>
      </c>
      <c r="H17" s="305"/>
      <c r="J17" s="305"/>
      <c r="L17" s="305"/>
      <c r="N17" s="305"/>
      <c r="O17" s="274">
        <f t="shared" ref="O17:O20" si="3">SUM(E17:F17)-SUM(G17:N17)</f>
        <v>0</v>
      </c>
      <c r="P17" s="274" t="str">
        <f t="shared" si="0"/>
        <v>Broadband / TV</v>
      </c>
      <c r="Q17" s="282">
        <f t="shared" si="1"/>
        <v>0</v>
      </c>
    </row>
    <row r="18" spans="2:20" ht="15" customHeight="1" outlineLevel="1">
      <c r="B18" s="734"/>
      <c r="C18" s="734"/>
      <c r="D18" s="201" t="s">
        <v>788</v>
      </c>
      <c r="E18" s="365">
        <v>0</v>
      </c>
      <c r="F18" s="365">
        <v>26</v>
      </c>
      <c r="G18">
        <v>26</v>
      </c>
      <c r="H18" s="305"/>
      <c r="J18" s="305"/>
      <c r="L18" s="305"/>
      <c r="N18" s="305"/>
      <c r="O18" s="274">
        <f t="shared" si="3"/>
        <v>0</v>
      </c>
      <c r="P18" s="274" t="str">
        <f t="shared" si="0"/>
        <v>Matt Phone</v>
      </c>
      <c r="Q18" s="282">
        <f t="shared" si="1"/>
        <v>0</v>
      </c>
    </row>
    <row r="19" spans="2:20" ht="15" customHeight="1" outlineLevel="1">
      <c r="B19" s="734"/>
      <c r="C19" s="734"/>
      <c r="D19" s="201" t="s">
        <v>690</v>
      </c>
      <c r="E19" s="365">
        <v>0</v>
      </c>
      <c r="F19" s="365">
        <f>11.81+46.69+270+487+89.64</f>
        <v>905.14</v>
      </c>
      <c r="G19">
        <f>14+46.69+89.64</f>
        <v>150.32999999999998</v>
      </c>
      <c r="H19" s="305"/>
      <c r="J19" s="305"/>
      <c r="L19" s="305"/>
      <c r="N19" s="305"/>
      <c r="O19" s="274">
        <f t="shared" si="3"/>
        <v>754.81</v>
      </c>
      <c r="P19" s="274" t="str">
        <f t="shared" si="0"/>
        <v>Cars</v>
      </c>
      <c r="Q19" s="282">
        <f t="shared" si="1"/>
        <v>0</v>
      </c>
    </row>
    <row r="20" spans="2:20" ht="15" customHeight="1" outlineLevel="1">
      <c r="B20" s="734"/>
      <c r="C20" s="734"/>
      <c r="D20" s="201" t="s">
        <v>944</v>
      </c>
      <c r="E20" s="365">
        <v>0</v>
      </c>
      <c r="F20" s="365">
        <v>15</v>
      </c>
      <c r="G20">
        <v>15</v>
      </c>
      <c r="H20" s="305"/>
      <c r="J20" s="305"/>
      <c r="L20" s="305"/>
      <c r="N20" s="305"/>
      <c r="O20" s="274">
        <f t="shared" si="3"/>
        <v>0</v>
      </c>
      <c r="P20" s="274" t="str">
        <f t="shared" si="0"/>
        <v>Windows</v>
      </c>
      <c r="Q20" s="282">
        <f t="shared" si="1"/>
        <v>0</v>
      </c>
      <c r="R20" s="243"/>
    </row>
    <row r="21" spans="2:20" ht="15" customHeight="1" outlineLevel="1">
      <c r="B21" s="7"/>
      <c r="C21" s="7"/>
      <c r="D21" s="201" t="s">
        <v>781</v>
      </c>
      <c r="E21" s="365">
        <v>0</v>
      </c>
      <c r="F21" s="365">
        <f>7.99+13+4.99+0.99+2.99+29.95</f>
        <v>59.91</v>
      </c>
      <c r="G21" s="11">
        <f>7.99+2.99+7.99+13+29.95</f>
        <v>61.92</v>
      </c>
      <c r="H21" s="305"/>
      <c r="J21" s="305"/>
      <c r="L21" s="305"/>
      <c r="N21" s="305"/>
      <c r="O21" s="274">
        <f t="shared" ref="O21" si="4">SUM(E21:F21)-SUM(G21:N21)</f>
        <v>-2.0100000000000051</v>
      </c>
      <c r="P21" s="274" t="str">
        <f t="shared" si="0"/>
        <v>Subscriptions</v>
      </c>
      <c r="Q21" s="282"/>
      <c r="R21" s="243"/>
    </row>
    <row r="22" spans="2:20" ht="15" customHeight="1">
      <c r="B22" s="118"/>
      <c r="C22" s="118"/>
      <c r="D22" s="188"/>
      <c r="E22" s="365"/>
      <c r="F22" s="365"/>
      <c r="H22" s="305"/>
      <c r="J22" s="305"/>
      <c r="L22" s="305"/>
      <c r="N22" s="305"/>
      <c r="O22" s="273"/>
      <c r="P22" s="273"/>
      <c r="Q22" s="282"/>
    </row>
    <row r="23" spans="2:20" ht="15" customHeight="1">
      <c r="B23" s="736" t="str">
        <f>_xlfn.CONCAT("Savings - 20 - ",G43*0.2," / Actual = ",D24," (",ROUND((D24/G43)*100,2),")")</f>
        <v>Savings - 20 - 887.116 / Actual = 1000.17 (22.55)</v>
      </c>
      <c r="C23" s="736"/>
      <c r="D23" s="736"/>
      <c r="E23" s="736"/>
      <c r="F23" s="320"/>
      <c r="H23" s="305"/>
      <c r="J23" s="305"/>
      <c r="L23" s="305"/>
      <c r="N23" s="305"/>
      <c r="O23" s="274"/>
      <c r="P23" s="274"/>
      <c r="Q23" s="282"/>
    </row>
    <row r="24" spans="2:20" ht="15" customHeight="1">
      <c r="B24" s="727" t="str">
        <f>IF(ISNUMBER((SEARCH("Over",C$5))),"Operating under budget","Operating over budget")</f>
        <v>Operating over budget</v>
      </c>
      <c r="C24" s="727"/>
      <c r="D24" s="759">
        <f>F25</f>
        <v>1000.1700000000001</v>
      </c>
      <c r="E24" s="759"/>
      <c r="F24" s="319"/>
      <c r="H24" s="305"/>
      <c r="J24" s="305"/>
      <c r="L24" s="305"/>
      <c r="N24" s="305"/>
      <c r="O24" s="285">
        <f>0</f>
        <v>0</v>
      </c>
      <c r="P24" s="285" t="s">
        <v>895</v>
      </c>
      <c r="Q24" s="282">
        <f>SUM(Q25:Q25)</f>
        <v>0</v>
      </c>
    </row>
    <row r="25" spans="2:20" ht="15" customHeight="1" outlineLevel="1">
      <c r="B25" s="7" t="str">
        <f>"20% : " &amp; E$43*0.2</f>
        <v>20% : 887.116</v>
      </c>
      <c r="C25" s="7" t="str">
        <f>"20% : " &amp; E$43*0.2</f>
        <v>20% : 887.116</v>
      </c>
      <c r="D25" s="300" t="s">
        <v>183</v>
      </c>
      <c r="E25" s="365">
        <v>0</v>
      </c>
      <c r="F25" s="365">
        <f>SUM(F26:F36)</f>
        <v>1000.1700000000001</v>
      </c>
      <c r="H25" s="305"/>
      <c r="J25" s="305"/>
      <c r="L25" s="305"/>
      <c r="N25" s="305"/>
      <c r="O25" s="274">
        <f>SUM(O26:O36)</f>
        <v>-1845.9800000000005</v>
      </c>
      <c r="P25" s="274" t="str">
        <f t="shared" ref="P25:P36" si="5">D25</f>
        <v>Savings</v>
      </c>
      <c r="Q25" s="282">
        <v>0</v>
      </c>
      <c r="R25" s="495"/>
      <c r="S25" s="243"/>
    </row>
    <row r="26" spans="2:20" ht="15" customHeight="1" outlineLevel="1">
      <c r="B26" s="7"/>
      <c r="C26" s="7"/>
      <c r="D26" s="300" t="s">
        <v>1485</v>
      </c>
      <c r="E26" s="365">
        <v>0</v>
      </c>
      <c r="F26" s="365">
        <v>40</v>
      </c>
      <c r="H26" s="305"/>
      <c r="J26" s="305"/>
      <c r="L26" s="362"/>
      <c r="N26" s="315"/>
      <c r="O26" s="274">
        <f>SUM(E26:F26)-SUM(G26:N26)</f>
        <v>40</v>
      </c>
      <c r="P26" s="274" t="str">
        <f t="shared" si="5"/>
        <v>MOT / Service</v>
      </c>
      <c r="Q26" s="282"/>
      <c r="R26" s="243"/>
    </row>
    <row r="27" spans="2:20" ht="15" customHeight="1" outlineLevel="1">
      <c r="B27" s="7"/>
      <c r="C27" s="7"/>
      <c r="D27" s="300" t="s">
        <v>690</v>
      </c>
      <c r="E27" s="365">
        <v>0</v>
      </c>
      <c r="F27" s="365">
        <f>-468.84-232.5</f>
        <v>-701.33999999999992</v>
      </c>
      <c r="H27" s="305"/>
      <c r="J27" s="305"/>
      <c r="L27" s="362"/>
      <c r="N27" s="315"/>
      <c r="O27" s="274">
        <f>SUM(E27:F27)-SUM(G27:N27)</f>
        <v>-701.33999999999992</v>
      </c>
      <c r="P27" s="274" t="str">
        <f t="shared" si="5"/>
        <v>Cars</v>
      </c>
      <c r="Q27" s="282"/>
      <c r="R27" s="243"/>
    </row>
    <row r="28" spans="2:20" ht="15" customHeight="1" outlineLevel="1">
      <c r="B28" s="7"/>
      <c r="C28" s="7"/>
      <c r="D28" s="300" t="s">
        <v>590</v>
      </c>
      <c r="E28" s="365">
        <v>0</v>
      </c>
      <c r="F28" s="365">
        <f>165+10.99+8.99+2.85+29.95+20+10.06+245</f>
        <v>492.84000000000003</v>
      </c>
      <c r="G28">
        <v>110</v>
      </c>
      <c r="H28" s="305"/>
      <c r="J28" s="305"/>
      <c r="L28" s="362"/>
      <c r="N28" s="315"/>
      <c r="O28" s="274">
        <f>SUM(E28:F28)-SUM(G28:N28)-Q43</f>
        <v>324.66999999999985</v>
      </c>
      <c r="P28" s="274" t="str">
        <f t="shared" si="5"/>
        <v>Contingency</v>
      </c>
      <c r="Q28" s="282"/>
      <c r="T28" s="243"/>
    </row>
    <row r="29" spans="2:20" ht="15" customHeight="1" outlineLevel="1">
      <c r="B29" s="7"/>
      <c r="C29" s="7"/>
      <c r="D29" s="300" t="s">
        <v>1486</v>
      </c>
      <c r="E29" s="365">
        <v>0</v>
      </c>
      <c r="F29" s="365">
        <v>13.67</v>
      </c>
      <c r="H29" s="305"/>
      <c r="J29" s="305"/>
      <c r="L29" s="362"/>
      <c r="N29" s="315"/>
      <c r="O29" s="274">
        <f t="shared" ref="O29:O36" si="6">SUM(E29:F29)-SUM(G29:N29)</f>
        <v>13.67</v>
      </c>
      <c r="P29" s="274" t="str">
        <f t="shared" si="5"/>
        <v>TV</v>
      </c>
      <c r="Q29" s="282"/>
    </row>
    <row r="30" spans="2:20" ht="15" customHeight="1" outlineLevel="1">
      <c r="B30" s="7"/>
      <c r="C30" s="7"/>
      <c r="D30" s="300" t="s">
        <v>1296</v>
      </c>
      <c r="E30" s="365">
        <v>0</v>
      </c>
      <c r="F30" s="365">
        <v>95</v>
      </c>
      <c r="H30" s="305"/>
      <c r="J30" s="305"/>
      <c r="L30" s="362"/>
      <c r="N30" s="315"/>
      <c r="O30" s="274">
        <f t="shared" si="6"/>
        <v>95</v>
      </c>
      <c r="P30" s="274" t="str">
        <f t="shared" si="5"/>
        <v>Offset</v>
      </c>
      <c r="Q30" s="282"/>
    </row>
    <row r="31" spans="2:20" ht="15" customHeight="1" outlineLevel="1">
      <c r="B31" s="7"/>
      <c r="C31" s="7"/>
      <c r="D31" s="300" t="s">
        <v>354</v>
      </c>
      <c r="E31" s="365">
        <v>0</v>
      </c>
      <c r="F31" s="365">
        <f>650</f>
        <v>650</v>
      </c>
      <c r="G31">
        <v>78.63</v>
      </c>
      <c r="H31">
        <f>15+10.67+20.7+15.44+22.43+19.44+14.23+30.84+46+46+1898.84+(15.71)+39.41+27.59+8.28</f>
        <v>2230.5800000000004</v>
      </c>
      <c r="J31" s="305"/>
      <c r="L31" s="362"/>
      <c r="N31" s="315"/>
      <c r="O31" s="274">
        <f>SUM(E31:F31)-SUM(H31:N31)</f>
        <v>-1580.5800000000004</v>
      </c>
      <c r="P31" s="274" t="str">
        <f t="shared" si="5"/>
        <v>Holiday</v>
      </c>
      <c r="Q31" s="282"/>
    </row>
    <row r="32" spans="2:20" ht="15" customHeight="1" outlineLevel="1">
      <c r="B32" s="7"/>
      <c r="C32" s="7"/>
      <c r="D32" s="300" t="s">
        <v>701</v>
      </c>
      <c r="E32" s="365">
        <v>0</v>
      </c>
      <c r="F32" s="365">
        <f>250+35</f>
        <v>285</v>
      </c>
      <c r="H32">
        <f>211.25+72</f>
        <v>283.25</v>
      </c>
      <c r="J32" s="305"/>
      <c r="L32" s="362"/>
      <c r="N32" s="315"/>
      <c r="O32" s="274">
        <f t="shared" si="6"/>
        <v>1.75</v>
      </c>
      <c r="P32" s="274" t="str">
        <f t="shared" si="5"/>
        <v>Gift</v>
      </c>
      <c r="Q32" s="282"/>
    </row>
    <row r="33" spans="2:19" ht="15" customHeight="1" outlineLevel="1">
      <c r="B33" s="7"/>
      <c r="C33" s="7"/>
      <c r="D33" s="300" t="s">
        <v>1297</v>
      </c>
      <c r="E33" s="365">
        <v>0</v>
      </c>
      <c r="F33" s="365">
        <f>50</f>
        <v>50</v>
      </c>
      <c r="H33" s="305">
        <v>164.15</v>
      </c>
      <c r="J33" s="305"/>
      <c r="L33" s="362"/>
      <c r="N33" s="315"/>
      <c r="O33" s="274">
        <f t="shared" si="6"/>
        <v>-114.15</v>
      </c>
      <c r="P33" s="274" t="str">
        <f t="shared" si="5"/>
        <v>Skin</v>
      </c>
      <c r="Q33" s="282"/>
    </row>
    <row r="34" spans="2:19" ht="15" customHeight="1" outlineLevel="1">
      <c r="B34" s="7"/>
      <c r="C34" s="7"/>
      <c r="D34" s="300" t="s">
        <v>1391</v>
      </c>
      <c r="E34" s="365">
        <v>0</v>
      </c>
      <c r="F34" s="365">
        <v>75</v>
      </c>
      <c r="H34" s="305"/>
      <c r="J34" s="305"/>
      <c r="L34" s="362"/>
      <c r="N34" s="315"/>
      <c r="O34" s="274">
        <f t="shared" si="6"/>
        <v>75</v>
      </c>
      <c r="P34" s="274" t="str">
        <f t="shared" si="5"/>
        <v>Avios</v>
      </c>
      <c r="Q34" s="282"/>
    </row>
    <row r="35" spans="2:19" ht="15" customHeight="1" outlineLevel="1">
      <c r="B35" s="7"/>
      <c r="C35" s="7"/>
      <c r="D35" s="300" t="s">
        <v>1808</v>
      </c>
      <c r="E35" s="365">
        <v>0</v>
      </c>
      <c r="F35" s="365">
        <v>0</v>
      </c>
      <c r="H35" s="305"/>
      <c r="J35" s="305"/>
      <c r="L35" s="362"/>
      <c r="N35" s="315"/>
      <c r="O35" s="274">
        <f t="shared" si="6"/>
        <v>0</v>
      </c>
      <c r="P35" s="274" t="str">
        <f t="shared" si="5"/>
        <v>Prime</v>
      </c>
      <c r="Q35" s="282"/>
    </row>
    <row r="36" spans="2:19" ht="15" customHeight="1" outlineLevel="1">
      <c r="B36" s="7"/>
      <c r="C36" s="7"/>
      <c r="D36" s="300" t="s">
        <v>1589</v>
      </c>
      <c r="E36" s="365">
        <v>0</v>
      </c>
      <c r="F36" s="365">
        <v>0</v>
      </c>
      <c r="H36" s="305"/>
      <c r="J36" s="305"/>
      <c r="L36" s="362"/>
      <c r="N36" s="315"/>
      <c r="O36" s="274">
        <f t="shared" si="6"/>
        <v>0</v>
      </c>
      <c r="P36" s="274" t="str">
        <f t="shared" si="5"/>
        <v>Amex</v>
      </c>
      <c r="Q36" s="282"/>
    </row>
    <row r="37" spans="2:19" ht="15" customHeight="1">
      <c r="B37" s="118"/>
      <c r="C37" s="118"/>
      <c r="E37" s="365"/>
      <c r="F37" s="365"/>
      <c r="H37" s="305"/>
      <c r="J37" s="305"/>
      <c r="L37" s="305"/>
      <c r="N37" s="305"/>
      <c r="O37" s="273"/>
      <c r="P37" s="273"/>
      <c r="Q37" s="282"/>
      <c r="R37" s="243"/>
    </row>
    <row r="38" spans="2:19" ht="15" customHeight="1">
      <c r="B38" s="727" t="str">
        <f>_xlfn.CONCAT("Wants - 30 - ",G43*0.3," / Actual = ",D39," (",ROUND((D39/G43)*100,2),")")</f>
        <v>Wants - 30 - 1330.674 / Actual = 350.14 (7.89)</v>
      </c>
      <c r="C38" s="727"/>
      <c r="D38" s="727"/>
      <c r="E38" s="727"/>
      <c r="F38" s="318"/>
      <c r="H38" s="305"/>
      <c r="J38" s="305"/>
      <c r="L38" s="305"/>
      <c r="N38" s="305"/>
      <c r="O38" s="273"/>
      <c r="P38" s="273"/>
      <c r="Q38" s="282"/>
      <c r="S38" s="243"/>
    </row>
    <row r="39" spans="2:19" ht="15" customHeight="1">
      <c r="B39" s="727" t="str">
        <f>IF(ISNUMBER((SEARCH("Over",B$5))),"Operating under budget","Operating over budget")</f>
        <v>Operating under budget</v>
      </c>
      <c r="C39" s="727"/>
      <c r="D39" s="759">
        <f>(E$43-D5-D24-E42)</f>
        <v>350.13999999999987</v>
      </c>
      <c r="E39" s="727"/>
      <c r="F39" s="319">
        <f>F40</f>
        <v>350.13999999999987</v>
      </c>
      <c r="H39" s="305"/>
      <c r="J39" s="305"/>
      <c r="L39" s="305"/>
      <c r="N39" s="305"/>
      <c r="O39" s="285">
        <f>0</f>
        <v>0</v>
      </c>
      <c r="P39" s="285" t="s">
        <v>899</v>
      </c>
      <c r="Q39" s="282">
        <f>SUM(Q40:Q40)</f>
        <v>58.170000000000186</v>
      </c>
      <c r="S39" s="243"/>
    </row>
    <row r="40" spans="2:19" ht="18" outlineLevel="1">
      <c r="B40" s="7"/>
      <c r="C40" s="284"/>
      <c r="D40" s="13" t="s">
        <v>922</v>
      </c>
      <c r="E40" s="365">
        <v>0</v>
      </c>
      <c r="F40" s="365">
        <f>D39-F41</f>
        <v>350.13999999999987</v>
      </c>
      <c r="G40" s="11"/>
      <c r="H40">
        <f>32.69+2.85+23.5+11.32+7.05+5.99+12.99+12+2.75+14.66+12.4+5.87+9.49+5.99+1.4+0.99+7.99+14.47+5.99+20.2+6+39.99+2.75+0.99</f>
        <v>260.32000000000005</v>
      </c>
      <c r="J40" s="305">
        <f>21.47+16+7.69+38.45+8.79+5.99+3+7.47+12.9+7.23+5.5+7+6.5</f>
        <v>147.99</v>
      </c>
      <c r="N40" s="305"/>
      <c r="O40" s="274">
        <f>SUM(E40:F40)-SUM(G40:N40)</f>
        <v>-58.170000000000186</v>
      </c>
      <c r="P40" s="274" t="str">
        <f t="shared" ref="P40:P41" si="7">D40</f>
        <v>Matt Fun</v>
      </c>
      <c r="Q40" s="282">
        <f>IF(SUM(E40:F40)-SUM(G40:N40)&lt;=0,(SUM(E40:F40)-SUM(G40:N40))*-1,0)</f>
        <v>58.170000000000186</v>
      </c>
    </row>
    <row r="41" spans="2:19" ht="18" outlineLevel="1">
      <c r="B41" s="7"/>
      <c r="C41" s="284"/>
      <c r="D41" s="13" t="s">
        <v>152</v>
      </c>
      <c r="E41" s="365">
        <v>0</v>
      </c>
      <c r="F41" s="365">
        <v>0</v>
      </c>
      <c r="G41" s="11"/>
      <c r="H41" s="306">
        <f>55.79+55+148.5+21.45+11.38</f>
        <v>292.11999999999995</v>
      </c>
      <c r="J41" s="305">
        <f>38+38</f>
        <v>76</v>
      </c>
      <c r="L41" s="305"/>
      <c r="N41" s="305"/>
      <c r="O41" s="274">
        <f>SUM(E41:F41)-SUM(G41:N41)</f>
        <v>-368.11999999999995</v>
      </c>
      <c r="P41" s="274" t="str">
        <f t="shared" si="7"/>
        <v>Kris</v>
      </c>
      <c r="Q41" s="271">
        <f>IF(F41-SUM(G41:N41)&lt;=0,(F41-SUM(G41:N41))*-1,0)</f>
        <v>368.11999999999995</v>
      </c>
    </row>
    <row r="42" spans="2:19">
      <c r="B42" s="118"/>
      <c r="C42" s="118"/>
      <c r="E42" s="365">
        <f>E25</f>
        <v>0</v>
      </c>
      <c r="F42" s="365"/>
      <c r="G42" s="349"/>
      <c r="J42" s="7"/>
      <c r="L42" s="7"/>
      <c r="N42" s="7"/>
      <c r="O42" s="273"/>
      <c r="P42" s="273"/>
      <c r="Q42" s="282"/>
    </row>
    <row r="43" spans="2:19" ht="18">
      <c r="B43" s="728" t="s">
        <v>817</v>
      </c>
      <c r="C43" s="728"/>
      <c r="D43" s="728"/>
      <c r="E43" s="375">
        <f>G43+I43+K43+M43+N43+E42</f>
        <v>4435.58</v>
      </c>
      <c r="F43" s="379"/>
      <c r="G43" s="271">
        <f>3475.58+910+50</f>
        <v>4435.58</v>
      </c>
      <c r="H43" s="282"/>
      <c r="I43" s="271"/>
      <c r="J43" s="271"/>
      <c r="K43" s="271"/>
      <c r="L43" s="271"/>
      <c r="M43" s="271"/>
      <c r="N43" s="271"/>
      <c r="O43" s="314">
        <f>ROUND(O5+O39+O24+IF(O40&lt;0,0,O40)+O41+O4,2)</f>
        <v>4703.59</v>
      </c>
      <c r="P43" s="274"/>
      <c r="Q43" s="282">
        <f>SUM(Q39,Q24,Q5)</f>
        <v>58.170000000000186</v>
      </c>
    </row>
    <row r="44" spans="2:19" ht="18">
      <c r="B44" s="118"/>
      <c r="C44" s="7"/>
      <c r="D44" s="13" t="s">
        <v>1451</v>
      </c>
      <c r="E44" s="365"/>
      <c r="F44" s="365"/>
      <c r="G44" s="384"/>
      <c r="H44" s="243"/>
      <c r="L44" s="243"/>
    </row>
    <row r="45" spans="2:19" ht="14.4">
      <c r="B45" s="729"/>
      <c r="C45" s="729"/>
      <c r="D45" s="729"/>
      <c r="E45" s="729"/>
      <c r="F45" s="729"/>
      <c r="G45" s="729"/>
      <c r="H45" s="297"/>
      <c r="K45" s="729"/>
      <c r="L45" s="729"/>
      <c r="M45" s="729"/>
      <c r="N45" s="729"/>
      <c r="O45" s="729"/>
      <c r="P45" s="297"/>
    </row>
    <row r="46" spans="2:19" ht="15" customHeight="1">
      <c r="B46" s="726" t="s">
        <v>955</v>
      </c>
      <c r="C46" s="726"/>
      <c r="E46"/>
      <c r="F46" s="348"/>
      <c r="H46" s="243"/>
      <c r="K46" s="212"/>
      <c r="L46" s="212"/>
      <c r="M46" s="243" t="e">
        <f>O41+#REF!</f>
        <v>#REF!</v>
      </c>
      <c r="N46" s="118" t="s">
        <v>1992</v>
      </c>
      <c r="O46" s="316">
        <v>45277</v>
      </c>
      <c r="P46" s="7">
        <f ca="1">DATEDIF(O46,NOW(),"d")</f>
        <v>974</v>
      </c>
      <c r="Q46">
        <v>270</v>
      </c>
      <c r="R46" t="s">
        <v>1500</v>
      </c>
    </row>
    <row r="47" spans="2:19">
      <c r="B47" s="365"/>
      <c r="C47" s="38"/>
      <c r="F47" s="11"/>
      <c r="G47" s="367" t="s">
        <v>1976</v>
      </c>
      <c r="H47">
        <v>5120</v>
      </c>
      <c r="I47" s="243"/>
      <c r="K47" s="11"/>
      <c r="L47" s="243"/>
      <c r="N47" s="483" t="s">
        <v>2022</v>
      </c>
      <c r="O47" s="42">
        <v>45586</v>
      </c>
      <c r="P47" s="7">
        <f ca="1">DATEDIF(O47,NOW(),"d")</f>
        <v>665</v>
      </c>
      <c r="Q47">
        <v>30</v>
      </c>
      <c r="R47" t="s">
        <v>1083</v>
      </c>
    </row>
    <row r="48" spans="2:19">
      <c r="F48" s="457"/>
      <c r="G48" t="s">
        <v>1977</v>
      </c>
      <c r="H48" s="445">
        <v>3475</v>
      </c>
      <c r="I48" s="11"/>
      <c r="J48" s="243"/>
      <c r="L48" s="243"/>
      <c r="N48" s="358" t="s">
        <v>1990</v>
      </c>
      <c r="O48" s="316">
        <v>45578</v>
      </c>
      <c r="P48" s="7">
        <f ca="1">DATEDIF(O48,NOW(),"d")</f>
        <v>673</v>
      </c>
      <c r="Q48">
        <v>5.99</v>
      </c>
      <c r="R48" t="s">
        <v>1991</v>
      </c>
    </row>
    <row r="49" spans="2:17" ht="16.2" customHeight="1">
      <c r="F49" s="457"/>
      <c r="G49" s="458" t="s">
        <v>1978</v>
      </c>
      <c r="H49" s="243">
        <f>H48+1850</f>
        <v>5325</v>
      </c>
      <c r="I49" s="243"/>
      <c r="J49" s="213"/>
      <c r="K49" s="213"/>
      <c r="L49" s="243"/>
      <c r="O49" s="316"/>
    </row>
    <row r="50" spans="2:17">
      <c r="B50" s="378"/>
      <c r="F50" s="278"/>
      <c r="G50" s="243"/>
      <c r="H50" s="243"/>
      <c r="J50" s="243"/>
      <c r="L50" s="243"/>
      <c r="P50" s="56"/>
    </row>
    <row r="51" spans="2:17">
      <c r="F51" s="451"/>
      <c r="H51" s="369"/>
      <c r="J51" s="243"/>
      <c r="K51" s="243"/>
      <c r="L51" s="243"/>
      <c r="M51" s="243">
        <f>N51-O4-O5-O40</f>
        <v>-1445.77</v>
      </c>
      <c r="N51" s="243">
        <v>3567.77</v>
      </c>
      <c r="P51"/>
    </row>
    <row r="52" spans="2:17">
      <c r="F52" s="492"/>
      <c r="G52" s="118"/>
      <c r="H52" s="118"/>
      <c r="I52">
        <f>6+9+39</f>
        <v>54</v>
      </c>
      <c r="K52" s="725" t="s">
        <v>873</v>
      </c>
      <c r="L52" s="725"/>
      <c r="M52" s="243"/>
      <c r="P52" s="212"/>
      <c r="Q52" s="212"/>
    </row>
    <row r="53" spans="2:17" ht="15" customHeight="1">
      <c r="E53" s="486"/>
      <c r="F53" t="s">
        <v>1984</v>
      </c>
      <c r="G53">
        <f>4413-92.8</f>
        <v>4320.2</v>
      </c>
      <c r="H53" s="243"/>
      <c r="K53" s="353">
        <f>1650</f>
        <v>1650</v>
      </c>
      <c r="L53" s="243" t="s">
        <v>918</v>
      </c>
      <c r="M53" s="243"/>
      <c r="N53" s="243"/>
      <c r="P53" s="56"/>
      <c r="Q53" s="38"/>
    </row>
    <row r="54" spans="2:17">
      <c r="E54" s="486"/>
      <c r="F54" t="s">
        <v>1985</v>
      </c>
      <c r="G54" s="243">
        <f>3657.27</f>
        <v>3657.27</v>
      </c>
      <c r="H54" t="s">
        <v>2025</v>
      </c>
      <c r="I54">
        <v>36</v>
      </c>
      <c r="K54">
        <v>2233</v>
      </c>
      <c r="L54" s="243" t="s">
        <v>1982</v>
      </c>
      <c r="O54"/>
      <c r="P54"/>
    </row>
    <row r="55" spans="2:17" ht="15" customHeight="1">
      <c r="E55" s="486"/>
      <c r="F55" t="s">
        <v>1986</v>
      </c>
      <c r="G55" s="11">
        <f>G53-G54</f>
        <v>662.92999999999984</v>
      </c>
      <c r="H55" s="243" t="s">
        <v>2026</v>
      </c>
      <c r="I55">
        <v>20</v>
      </c>
      <c r="K55">
        <f>416+100+240</f>
        <v>756</v>
      </c>
      <c r="L55" s="243" t="s">
        <v>1983</v>
      </c>
      <c r="O55"/>
      <c r="P55"/>
    </row>
    <row r="56" spans="2:17">
      <c r="E56" s="486"/>
      <c r="F56"/>
      <c r="I56" s="11"/>
      <c r="J56" s="79"/>
      <c r="L56" s="243"/>
      <c r="O56"/>
      <c r="P56"/>
    </row>
    <row r="57" spans="2:17">
      <c r="B57" s="11"/>
      <c r="E57" s="7"/>
      <c r="F57" s="486" t="s">
        <v>1789</v>
      </c>
      <c r="G57">
        <v>3200</v>
      </c>
      <c r="I57" s="243"/>
      <c r="J57" s="79"/>
      <c r="O57"/>
      <c r="P57"/>
    </row>
    <row r="58" spans="2:17">
      <c r="B58" s="11"/>
      <c r="E58" s="284"/>
      <c r="F58" s="486" t="s">
        <v>1788</v>
      </c>
      <c r="G58" s="369">
        <f>1860.53-G55</f>
        <v>1197.6000000000001</v>
      </c>
      <c r="J58" s="390"/>
      <c r="O58"/>
      <c r="P58"/>
    </row>
    <row r="59" spans="2:17">
      <c r="F59" s="486" t="s">
        <v>1108</v>
      </c>
      <c r="G59" s="369">
        <f>G57-G58</f>
        <v>2002.3999999999999</v>
      </c>
      <c r="I59" t="s">
        <v>1979</v>
      </c>
      <c r="J59" s="79"/>
      <c r="L59" s="243"/>
      <c r="M59" s="243"/>
      <c r="O59"/>
      <c r="P59"/>
    </row>
    <row r="60" spans="2:17">
      <c r="B60" s="212"/>
      <c r="C60" s="212"/>
      <c r="F60" s="384"/>
      <c r="G60" s="484"/>
      <c r="I60" s="516" t="s">
        <v>1980</v>
      </c>
      <c r="J60" s="517" t="s">
        <v>918</v>
      </c>
      <c r="K60" s="118"/>
      <c r="L60" t="s">
        <v>814</v>
      </c>
      <c r="M60" t="s">
        <v>19</v>
      </c>
      <c r="N60" t="s">
        <v>2023</v>
      </c>
      <c r="O60" t="s">
        <v>2024</v>
      </c>
      <c r="P60" t="s">
        <v>2027</v>
      </c>
    </row>
    <row r="61" spans="2:17">
      <c r="C61" s="56"/>
      <c r="F61"/>
      <c r="H61" s="516"/>
      <c r="I61" s="494">
        <f>240+21</f>
        <v>261</v>
      </c>
      <c r="J61" s="79" t="s">
        <v>1981</v>
      </c>
      <c r="L61">
        <v>4186.24</v>
      </c>
      <c r="M61">
        <v>1706.97</v>
      </c>
      <c r="N61">
        <f>16955.68-15000</f>
        <v>1955.6800000000003</v>
      </c>
      <c r="O61">
        <f>150+100</f>
        <v>250</v>
      </c>
      <c r="P61">
        <v>165</v>
      </c>
    </row>
    <row r="62" spans="2:17" ht="15.75" customHeight="1">
      <c r="C62" s="56"/>
      <c r="F62"/>
      <c r="L62" s="243"/>
      <c r="M62" s="243">
        <v>70</v>
      </c>
      <c r="O62"/>
      <c r="P62"/>
    </row>
    <row r="63" spans="2:17" ht="14.4">
      <c r="C63" s="56"/>
      <c r="E63"/>
      <c r="F63"/>
      <c r="H63" t="s">
        <v>2031</v>
      </c>
      <c r="I63">
        <f>1800*0.08</f>
        <v>144</v>
      </c>
      <c r="M63" s="243"/>
      <c r="O63"/>
      <c r="P63"/>
    </row>
    <row r="64" spans="2:17" ht="14.4">
      <c r="C64" s="56"/>
      <c r="D64" s="188"/>
      <c r="E64"/>
      <c r="F64" s="79"/>
      <c r="H64" t="s">
        <v>2032</v>
      </c>
      <c r="I64">
        <f>16980*0.028</f>
        <v>475.44</v>
      </c>
      <c r="O64"/>
      <c r="P64"/>
    </row>
    <row r="65" spans="2:16">
      <c r="C65" s="56"/>
      <c r="E65"/>
      <c r="H65" t="s">
        <v>2033</v>
      </c>
      <c r="I65">
        <f>5000*0.0512</f>
        <v>256</v>
      </c>
      <c r="K65" s="118"/>
      <c r="M65" s="243"/>
      <c r="O65"/>
      <c r="P65"/>
    </row>
    <row r="66" spans="2:16">
      <c r="C66" s="56"/>
      <c r="E66" s="407"/>
      <c r="O66"/>
      <c r="P66"/>
    </row>
    <row r="67" spans="2:16">
      <c r="C67" s="56"/>
      <c r="E67"/>
      <c r="J67" s="79"/>
      <c r="N67" s="288"/>
      <c r="O67"/>
      <c r="P67"/>
    </row>
    <row r="68" spans="2:16">
      <c r="C68" s="56"/>
      <c r="E68" s="347"/>
      <c r="O68"/>
      <c r="P68"/>
    </row>
    <row r="69" spans="2:16">
      <c r="C69" s="56"/>
      <c r="E69" s="332"/>
      <c r="I69">
        <v>1593.85</v>
      </c>
      <c r="K69" t="s">
        <v>2028</v>
      </c>
      <c r="O69"/>
      <c r="P69"/>
    </row>
    <row r="70" spans="2:16" ht="14.4">
      <c r="C70" s="56"/>
      <c r="E70" s="407"/>
      <c r="F70"/>
      <c r="G70" s="407"/>
      <c r="I70" s="407">
        <f>I69-K4</f>
        <v>1221.73</v>
      </c>
      <c r="O70"/>
      <c r="P70"/>
    </row>
    <row r="71" spans="2:16" ht="15.45" customHeight="1">
      <c r="C71" s="56"/>
      <c r="E71" s="407"/>
      <c r="F71"/>
      <c r="G71" s="407"/>
      <c r="H71" t="s">
        <v>2029</v>
      </c>
      <c r="I71" s="407">
        <f>I70-I4</f>
        <v>-7651.1200000000008</v>
      </c>
      <c r="J71">
        <f>(I71*-1)+I69</f>
        <v>9244.9700000000012</v>
      </c>
      <c r="O71"/>
      <c r="P71"/>
    </row>
    <row r="72" spans="2:16" ht="14.4">
      <c r="D72" s="459"/>
      <c r="E72" s="243"/>
      <c r="F72" s="459"/>
      <c r="G72" s="243"/>
      <c r="H72" t="s">
        <v>2030</v>
      </c>
      <c r="I72" s="407">
        <v>5000</v>
      </c>
      <c r="O72"/>
      <c r="P72"/>
    </row>
    <row r="73" spans="2:16" ht="14.4">
      <c r="B73" s="212"/>
      <c r="C73" s="294"/>
      <c r="D73" s="188"/>
      <c r="E73"/>
      <c r="F73" s="188"/>
      <c r="O73"/>
      <c r="P73"/>
    </row>
    <row r="74" spans="2:16" ht="15.45" customHeight="1">
      <c r="C74" s="56"/>
      <c r="E74"/>
      <c r="F74"/>
      <c r="H74" t="s">
        <v>2034</v>
      </c>
      <c r="I74">
        <f>16955.68-(I71*-1)</f>
        <v>9304.56</v>
      </c>
      <c r="M74" s="243"/>
      <c r="O74"/>
      <c r="P74"/>
    </row>
    <row r="75" spans="2:16">
      <c r="C75" s="56"/>
      <c r="E75" s="484"/>
      <c r="F75"/>
      <c r="G75" s="484"/>
      <c r="H75" t="s">
        <v>2035</v>
      </c>
      <c r="I75">
        <f>I74-864</f>
        <v>8440.56</v>
      </c>
      <c r="O75"/>
      <c r="P75"/>
    </row>
    <row r="76" spans="2:16">
      <c r="C76" s="56"/>
      <c r="H76" t="s">
        <v>2036</v>
      </c>
      <c r="I76">
        <f>I75+15000</f>
        <v>23440.559999999998</v>
      </c>
      <c r="L76" s="459"/>
      <c r="M76" s="461"/>
      <c r="O76"/>
      <c r="P76"/>
    </row>
    <row r="77" spans="2:16">
      <c r="C77" s="56"/>
      <c r="D77" s="426"/>
      <c r="E77" s="447"/>
      <c r="L77" s="188"/>
      <c r="M77" s="230"/>
      <c r="O77"/>
      <c r="P77"/>
    </row>
    <row r="78" spans="2:16">
      <c r="C78" s="56"/>
      <c r="D78" s="405"/>
      <c r="E78" s="407"/>
      <c r="L78" s="188"/>
      <c r="M78" s="230"/>
      <c r="O78"/>
      <c r="P78"/>
    </row>
    <row r="79" spans="2:16">
      <c r="C79" s="56"/>
      <c r="D79" s="484"/>
      <c r="E79"/>
      <c r="L79" s="188"/>
      <c r="M79" s="230"/>
      <c r="O79"/>
      <c r="P79"/>
    </row>
    <row r="80" spans="2:16">
      <c r="E80" s="447"/>
      <c r="L80" s="188"/>
      <c r="M80" s="230"/>
      <c r="O80"/>
      <c r="P80"/>
    </row>
    <row r="81" spans="5:16">
      <c r="E81" s="447"/>
      <c r="F81" s="365"/>
      <c r="L81" s="460"/>
      <c r="M81" s="230"/>
      <c r="O81"/>
      <c r="P81"/>
    </row>
    <row r="82" spans="5:16">
      <c r="E82" s="447"/>
      <c r="F82" s="212"/>
      <c r="L82" s="405"/>
      <c r="M82" s="230"/>
      <c r="O82"/>
      <c r="P82"/>
    </row>
    <row r="83" spans="5:16" ht="14.4">
      <c r="E83"/>
      <c r="F83"/>
      <c r="L83" s="405"/>
      <c r="M83" s="462"/>
      <c r="O83"/>
      <c r="P83"/>
    </row>
    <row r="84" spans="5:16" ht="14.4">
      <c r="E84"/>
      <c r="F84"/>
      <c r="O84"/>
      <c r="P84"/>
    </row>
    <row r="85" spans="5:16" ht="14.4">
      <c r="E85"/>
      <c r="F85"/>
      <c r="O85"/>
      <c r="P85"/>
    </row>
    <row r="86" spans="5:16" ht="14.4">
      <c r="E86" s="292"/>
      <c r="F86" s="56"/>
      <c r="O86"/>
      <c r="P86"/>
    </row>
    <row r="87" spans="5:16" ht="14.4">
      <c r="E87" s="42"/>
      <c r="F87" s="56"/>
      <c r="O87"/>
      <c r="P87"/>
    </row>
    <row r="88" spans="5:16" ht="14.4">
      <c r="E88" s="56"/>
      <c r="F88" s="56"/>
      <c r="O88"/>
      <c r="P88"/>
    </row>
    <row r="89" spans="5:16">
      <c r="O89"/>
      <c r="P89"/>
    </row>
    <row r="90" spans="5:16" ht="14.4">
      <c r="E90" s="212"/>
      <c r="F90" s="212"/>
      <c r="O90"/>
      <c r="P90"/>
    </row>
    <row r="91" spans="5:16" ht="14.4">
      <c r="E91"/>
      <c r="F91" s="56"/>
      <c r="O91"/>
      <c r="P91"/>
    </row>
    <row r="92" spans="5:16" ht="14.4">
      <c r="E92" s="56"/>
      <c r="F92" s="56"/>
      <c r="O92"/>
      <c r="P92"/>
    </row>
    <row r="93" spans="5:16" ht="14.4">
      <c r="E93" s="56"/>
      <c r="F93" s="56"/>
      <c r="G93" s="407"/>
      <c r="O93"/>
      <c r="P93"/>
    </row>
    <row r="94" spans="5:16" ht="14.4">
      <c r="E94" s="56"/>
      <c r="F94" s="56"/>
      <c r="G94" s="407"/>
      <c r="O94"/>
      <c r="P94"/>
    </row>
    <row r="95" spans="5:16" ht="14.4">
      <c r="E95" s="56"/>
      <c r="F95" s="56"/>
      <c r="G95" s="407"/>
      <c r="O95"/>
      <c r="P95"/>
    </row>
    <row r="96" spans="5:16" ht="14.4">
      <c r="E96" s="56"/>
      <c r="F96" s="56"/>
      <c r="G96" s="407"/>
      <c r="O96"/>
      <c r="P96"/>
    </row>
    <row r="97" spans="5:16">
      <c r="E97" s="365"/>
      <c r="F97" s="365"/>
      <c r="G97" s="407"/>
      <c r="O97"/>
      <c r="P97"/>
    </row>
    <row r="98" spans="5:16">
      <c r="E98" s="486"/>
      <c r="G98" s="407"/>
      <c r="O98"/>
      <c r="P98"/>
    </row>
    <row r="99" spans="5:16">
      <c r="G99" s="407"/>
      <c r="O99"/>
      <c r="P99"/>
    </row>
    <row r="100" spans="5:16">
      <c r="G100" s="407"/>
      <c r="H100">
        <f>16700</f>
        <v>16700</v>
      </c>
    </row>
    <row r="101" spans="5:16">
      <c r="H101">
        <v>14000</v>
      </c>
    </row>
    <row r="104" spans="5:16">
      <c r="F104" s="384"/>
    </row>
    <row r="105" spans="5:16">
      <c r="F105" s="384"/>
    </row>
  </sheetData>
  <mergeCells count="22">
    <mergeCell ref="B43:D43"/>
    <mergeCell ref="B24:C24"/>
    <mergeCell ref="D24:E24"/>
    <mergeCell ref="B38:E38"/>
    <mergeCell ref="B39:C39"/>
    <mergeCell ref="D39:E39"/>
    <mergeCell ref="K52:L52"/>
    <mergeCell ref="B23:E23"/>
    <mergeCell ref="B1:O1"/>
    <mergeCell ref="G3:H3"/>
    <mergeCell ref="I3:J3"/>
    <mergeCell ref="K3:L3"/>
    <mergeCell ref="M3:N3"/>
    <mergeCell ref="B4:E4"/>
    <mergeCell ref="B5:C5"/>
    <mergeCell ref="D5:E5"/>
    <mergeCell ref="B6:B20"/>
    <mergeCell ref="C6:C20"/>
    <mergeCell ref="E10:F10"/>
    <mergeCell ref="B45:G45"/>
    <mergeCell ref="K45:O45"/>
    <mergeCell ref="B46:C46"/>
  </mergeCells>
  <pageMargins left="0.7" right="0.7" top="0.75" bottom="0.75" header="0.3" footer="0.3"/>
  <pageSetup orientation="portrait" r:id="rId1"/>
  <legacyDrawing r:id="rId2"/>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B91B-DC8F-44F4-B427-4F31869429AE}">
  <dimension ref="A1:T106"/>
  <sheetViews>
    <sheetView topLeftCell="D9" zoomScale="90" zoomScaleNormal="90" workbookViewId="0">
      <selection activeCell="F22" sqref="F22"/>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267" customWidth="1"/>
    <col min="6" max="6" width="23" style="267"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1" max="21" width="16.109375" customWidth="1"/>
  </cols>
  <sheetData>
    <row r="1" spans="1:20" ht="25.5" customHeight="1">
      <c r="A1" t="str">
        <f ca="1">UPPER(TEXT((1&amp;LEFT(B$1,3))-1,"MMM"))&amp;"-"&amp;UPPER(TEXT((1&amp;RIGHT(LEFT(B$1,7),3))-1,"MMM"))&amp;" "&amp;RIGHT(B$1,4)</f>
        <v>SEP-OCT V 24</v>
      </c>
      <c r="B1" s="730" t="str">
        <f ca="1">MID(CELL("filename",B1),FIND("]",CELL("filename",B1))+1,255)</f>
        <v>OCT-NOV 24</v>
      </c>
      <c r="C1" s="731"/>
      <c r="D1" s="731"/>
      <c r="E1" s="731"/>
      <c r="F1" s="731"/>
      <c r="G1" s="731"/>
      <c r="H1" s="731"/>
      <c r="I1" s="731"/>
      <c r="J1" s="731"/>
      <c r="K1" s="731"/>
      <c r="L1" s="731"/>
      <c r="M1" s="731"/>
      <c r="N1" s="731"/>
      <c r="O1" s="731"/>
      <c r="P1" s="298"/>
      <c r="Q1" s="281"/>
      <c r="R1" s="272"/>
      <c r="S1" s="272"/>
      <c r="T1" s="272"/>
    </row>
    <row r="2" spans="1:20">
      <c r="B2" s="118"/>
      <c r="C2" s="118"/>
      <c r="E2" s="365"/>
      <c r="F2" s="365"/>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ROUND(O5+O40+O25+IF(O41&lt;0,0,O41)+O42+O4,2) &amp; " / " &amp; "£" &amp; E44</f>
        <v>£4809.09 / £6797.39</v>
      </c>
      <c r="E3" s="365"/>
      <c r="F3" s="365"/>
      <c r="G3" s="732">
        <v>45590</v>
      </c>
      <c r="H3" s="732"/>
      <c r="I3" s="732">
        <f>G3+7</f>
        <v>45597</v>
      </c>
      <c r="J3" s="732"/>
      <c r="K3" s="732">
        <f>I3+7</f>
        <v>45604</v>
      </c>
      <c r="L3" s="732"/>
      <c r="M3" s="732">
        <f>K3+7</f>
        <v>45611</v>
      </c>
      <c r="N3" s="732"/>
      <c r="O3" s="308">
        <v>0</v>
      </c>
      <c r="P3" s="325" t="s">
        <v>1224</v>
      </c>
      <c r="Q3" s="282"/>
    </row>
    <row r="4" spans="1:20" ht="15" customHeight="1">
      <c r="B4" s="727" t="str">
        <f>_xlfn.CONCAT("Expenses - 50 - ",G44*0.5," / Actual = ",ROUND(D5,2)," (",ROUND((D5/G44)*100,2),")")</f>
        <v>Expenses - 50 - 3398.695 / Actual = 2941.3 (43.27)</v>
      </c>
      <c r="C4" s="727"/>
      <c r="D4" s="727"/>
      <c r="E4" s="727"/>
      <c r="F4" s="318"/>
      <c r="G4" s="243"/>
      <c r="H4" s="304">
        <f>SUM(H5:H42)</f>
        <v>2028.56</v>
      </c>
      <c r="I4" s="243"/>
      <c r="J4" s="304">
        <f>SUM(J5:J42)</f>
        <v>2858.0299999999993</v>
      </c>
      <c r="K4" s="243"/>
      <c r="L4" s="304">
        <f>SUM(L5:L42)</f>
        <v>0</v>
      </c>
      <c r="M4" s="243"/>
      <c r="N4" s="304">
        <f>SUM(N5:N42)-SUM(N27:N33)</f>
        <v>0</v>
      </c>
      <c r="O4" s="308">
        <f>IF(H43&lt;&gt;"PAID",H4,0)+IF(J43&lt;&gt;"PAID",J4,0)+IF(L43&lt;&gt;"PAID",L4,0)+IF(N43&lt;&gt;"PAID",N4,0)</f>
        <v>4886.5899999999992</v>
      </c>
      <c r="P4" s="309" t="s">
        <v>973</v>
      </c>
      <c r="Q4" s="408">
        <f>O4+402.34</f>
        <v>5288.9299999999994</v>
      </c>
      <c r="R4" s="243">
        <f>2761.15-SUM(O4:O5)</f>
        <v>-2696.5499999999988</v>
      </c>
      <c r="S4" s="243"/>
    </row>
    <row r="5" spans="1:20" ht="15" customHeight="1">
      <c r="B5" s="733" t="str">
        <f>IF(D5&gt;E$44*0.5,ROUND(D5-E$44*0.5,2) &amp; " Over",ROUND(E$44*0.5-D5,2) &amp; " Under")</f>
        <v>457.4 Under</v>
      </c>
      <c r="C5" s="733"/>
      <c r="D5" s="761">
        <f>ROUND(SUM(F6:F22),2)</f>
        <v>2941.3</v>
      </c>
      <c r="E5" s="761"/>
      <c r="F5" s="321"/>
      <c r="G5" s="284"/>
      <c r="H5" s="306"/>
      <c r="I5" s="390"/>
      <c r="J5" s="306"/>
      <c r="K5" s="390"/>
      <c r="L5" s="306"/>
      <c r="M5" s="79"/>
      <c r="N5" s="305"/>
      <c r="O5" s="285">
        <f>SUMIF(O6:O22,"&gt;0")</f>
        <v>571.1099999999999</v>
      </c>
      <c r="P5" s="285" t="s">
        <v>892</v>
      </c>
      <c r="Q5" s="282">
        <f>SUM(Q6:Q20)</f>
        <v>9.25</v>
      </c>
      <c r="R5" s="243"/>
    </row>
    <row r="6" spans="1:20" ht="15" customHeight="1">
      <c r="B6" s="734" t="str">
        <f>"50%: " &amp; E$44*0.5</f>
        <v>50%: 3398.695</v>
      </c>
      <c r="C6" s="734" t="str">
        <f>ROUND((D5/E$44)*100,2) &amp; "%: " &amp;D5</f>
        <v>43.27%: 2941.3</v>
      </c>
      <c r="D6" s="13" t="s">
        <v>805</v>
      </c>
      <c r="E6" s="365">
        <v>0</v>
      </c>
      <c r="F6" s="374">
        <f>150-29.91</f>
        <v>120.09</v>
      </c>
      <c r="H6" s="304">
        <f>30.01+30.02+30.05</f>
        <v>90.08</v>
      </c>
      <c r="J6" s="305">
        <f>30.01</f>
        <v>30.01</v>
      </c>
      <c r="L6" s="305"/>
      <c r="N6" s="305"/>
      <c r="O6" s="274">
        <f>SUM(E6:F6)-SUM(G6:N6)</f>
        <v>0</v>
      </c>
      <c r="P6" s="274" t="str">
        <f t="shared" ref="P6:P22" si="0">D6</f>
        <v>Car Petrol / commuting</v>
      </c>
      <c r="Q6" s="282">
        <f t="shared" ref="Q6:Q20" si="1">IF(O6&lt;0,O6*-1,0)</f>
        <v>0</v>
      </c>
      <c r="R6" s="243"/>
    </row>
    <row r="7" spans="1:20" ht="15" customHeight="1">
      <c r="B7" s="734"/>
      <c r="C7" s="734"/>
      <c r="D7" s="13" t="s">
        <v>169</v>
      </c>
      <c r="E7" s="365">
        <v>0</v>
      </c>
      <c r="F7" s="365">
        <f>400</f>
        <v>400</v>
      </c>
      <c r="H7" s="304">
        <f>33.64+57.39+8+2.15+18.44+59.65+4.72+3.95+9.6+6.15+26.18+59.84+15.67+5</f>
        <v>310.38000000000005</v>
      </c>
      <c r="J7" s="305">
        <f>2.5+10+5.55+10.5+1+28.55</f>
        <v>58.1</v>
      </c>
      <c r="L7" s="305"/>
      <c r="N7" s="305"/>
      <c r="O7" s="274">
        <f>SUM(E7:F7)-SUM(G7:N7)</f>
        <v>31.519999999999925</v>
      </c>
      <c r="P7" s="274" t="str">
        <f t="shared" si="0"/>
        <v>Food</v>
      </c>
      <c r="Q7" s="282">
        <f t="shared" si="1"/>
        <v>0</v>
      </c>
      <c r="R7" s="243"/>
    </row>
    <row r="8" spans="1:20" ht="15" customHeight="1">
      <c r="B8" s="734"/>
      <c r="C8" s="734"/>
      <c r="D8" s="13" t="s">
        <v>153</v>
      </c>
      <c r="E8" s="365">
        <v>0</v>
      </c>
      <c r="F8" s="365">
        <f>100</f>
        <v>100</v>
      </c>
      <c r="H8" s="305">
        <f>30.45</f>
        <v>30.45</v>
      </c>
      <c r="J8" s="305">
        <f>28.6+33.9</f>
        <v>62.5</v>
      </c>
      <c r="L8" s="305"/>
      <c r="N8" s="305"/>
      <c r="O8" s="274">
        <f>SUM(E8:F8)-SUM(G8:N8)</f>
        <v>7.0499999999999972</v>
      </c>
      <c r="P8" s="274" t="str">
        <f t="shared" si="0"/>
        <v>Luna</v>
      </c>
      <c r="Q8" s="282">
        <f t="shared" si="1"/>
        <v>0</v>
      </c>
    </row>
    <row r="9" spans="1:20" ht="15" customHeight="1">
      <c r="B9" s="734"/>
      <c r="C9" s="734"/>
      <c r="D9" s="13" t="s">
        <v>1079</v>
      </c>
      <c r="E9" s="365">
        <v>0</v>
      </c>
      <c r="F9" s="365">
        <f>30</f>
        <v>30</v>
      </c>
      <c r="H9" s="305">
        <f>12+27.25</f>
        <v>39.25</v>
      </c>
      <c r="J9" s="305"/>
      <c r="L9" s="305"/>
      <c r="N9" s="305"/>
      <c r="O9" s="274">
        <f>SUM(E9:F9)-SUM(G9:N9)</f>
        <v>-9.25</v>
      </c>
      <c r="P9" s="274" t="str">
        <f t="shared" si="0"/>
        <v>Creamy</v>
      </c>
      <c r="Q9" s="282">
        <f t="shared" si="1"/>
        <v>9.25</v>
      </c>
      <c r="R9" s="243"/>
    </row>
    <row r="10" spans="1:20" ht="15" customHeight="1">
      <c r="B10" s="734"/>
      <c r="C10" s="734"/>
      <c r="D10" s="13" t="s">
        <v>189</v>
      </c>
      <c r="E10" s="780">
        <f>SUM(F11:F22)</f>
        <v>2291.21</v>
      </c>
      <c r="F10" s="780"/>
      <c r="G10" s="243"/>
      <c r="H10" s="305"/>
      <c r="J10" s="305"/>
      <c r="L10" s="305"/>
      <c r="N10" s="305"/>
      <c r="O10" s="274"/>
      <c r="P10" s="274" t="str">
        <f t="shared" si="0"/>
        <v>Direct debits</v>
      </c>
      <c r="Q10" s="282"/>
      <c r="R10" s="243"/>
    </row>
    <row r="11" spans="1:20" ht="15" customHeight="1" outlineLevel="1">
      <c r="B11" s="734"/>
      <c r="C11" s="734"/>
      <c r="D11" s="201" t="s">
        <v>595</v>
      </c>
      <c r="E11" s="365">
        <v>0</v>
      </c>
      <c r="F11" s="365">
        <v>838</v>
      </c>
      <c r="G11">
        <v>838</v>
      </c>
      <c r="H11" s="304"/>
      <c r="J11" s="305"/>
      <c r="L11" s="305"/>
      <c r="N11" s="305"/>
      <c r="O11" s="274">
        <f t="shared" ref="O11:O16" si="2">SUM(E11:F11)-SUM(G11:N11)</f>
        <v>0</v>
      </c>
      <c r="P11" s="274" t="str">
        <f t="shared" si="0"/>
        <v>Mortgage</v>
      </c>
      <c r="Q11" s="282">
        <f t="shared" si="1"/>
        <v>0</v>
      </c>
      <c r="R11" s="243"/>
      <c r="S11" s="11"/>
    </row>
    <row r="12" spans="1:20" ht="15" customHeight="1" outlineLevel="1">
      <c r="B12" s="734"/>
      <c r="C12" s="734"/>
      <c r="D12" s="201" t="s">
        <v>596</v>
      </c>
      <c r="E12" s="365">
        <v>0</v>
      </c>
      <c r="F12" s="365">
        <v>154</v>
      </c>
      <c r="G12">
        <v>154</v>
      </c>
      <c r="H12" s="305"/>
      <c r="J12" s="305"/>
      <c r="L12" s="305"/>
      <c r="N12" s="305"/>
      <c r="O12" s="274">
        <f t="shared" si="2"/>
        <v>0</v>
      </c>
      <c r="P12" s="274" t="str">
        <f t="shared" si="0"/>
        <v>Council tax</v>
      </c>
      <c r="Q12" s="282">
        <f t="shared" si="1"/>
        <v>0</v>
      </c>
      <c r="S12" s="349"/>
    </row>
    <row r="13" spans="1:20" ht="15" customHeight="1" outlineLevel="1">
      <c r="B13" s="734"/>
      <c r="C13" s="734"/>
      <c r="D13" s="201" t="s">
        <v>1002</v>
      </c>
      <c r="E13" s="365">
        <v>0</v>
      </c>
      <c r="F13" s="365">
        <f>34+111.75</f>
        <v>145.75</v>
      </c>
      <c r="G13">
        <f>34+111.75</f>
        <v>145.75</v>
      </c>
      <c r="H13" s="305"/>
      <c r="J13" s="305"/>
      <c r="L13" s="305"/>
      <c r="N13" s="305"/>
      <c r="O13" s="274">
        <f>SUM(E13:F13)-SUM(G13:N13)</f>
        <v>0</v>
      </c>
      <c r="P13" s="274" t="str">
        <f t="shared" si="0"/>
        <v>Utilities (G,W,E,HTB)</v>
      </c>
      <c r="Q13" s="282">
        <f t="shared" si="1"/>
        <v>0</v>
      </c>
    </row>
    <row r="14" spans="1:20" ht="15" customHeight="1" outlineLevel="1">
      <c r="B14" s="734"/>
      <c r="C14" s="734"/>
      <c r="D14" s="201" t="s">
        <v>996</v>
      </c>
      <c r="E14" s="365">
        <v>0</v>
      </c>
      <c r="F14" s="365">
        <v>22.7</v>
      </c>
      <c r="H14" s="305"/>
      <c r="J14" s="305"/>
      <c r="L14" s="305"/>
      <c r="N14" s="305"/>
      <c r="O14" s="274">
        <f>SUM(E14:F14)-SUM(G14:N14)</f>
        <v>22.7</v>
      </c>
      <c r="P14" s="274" t="str">
        <f t="shared" si="0"/>
        <v>Home Insurance</v>
      </c>
      <c r="Q14" s="282">
        <f t="shared" si="1"/>
        <v>0</v>
      </c>
    </row>
    <row r="15" spans="1:20" ht="15" customHeight="1" outlineLevel="1">
      <c r="B15" s="734"/>
      <c r="C15" s="734"/>
      <c r="D15" s="201" t="s">
        <v>1056</v>
      </c>
      <c r="E15" s="365">
        <v>0</v>
      </c>
      <c r="F15" s="365">
        <f>8+23.99+20.99</f>
        <v>52.98</v>
      </c>
      <c r="G15">
        <f>20.99+23.99+8</f>
        <v>52.98</v>
      </c>
      <c r="H15" s="305"/>
      <c r="J15" s="305"/>
      <c r="L15" s="305"/>
      <c r="N15" s="305"/>
      <c r="O15" s="274">
        <f>SUM(E15:F15)-SUM(G15:N15)</f>
        <v>0</v>
      </c>
      <c r="P15" s="274" t="str">
        <f t="shared" si="0"/>
        <v>Pet Health / Insurance</v>
      </c>
      <c r="Q15" s="282">
        <f t="shared" si="1"/>
        <v>0</v>
      </c>
    </row>
    <row r="16" spans="1:20" ht="15" customHeight="1" outlineLevel="1">
      <c r="B16" s="734"/>
      <c r="C16" s="734"/>
      <c r="D16" s="201" t="s">
        <v>1057</v>
      </c>
      <c r="E16" s="365">
        <v>0</v>
      </c>
      <c r="F16" s="365">
        <f>30.8+62.08</f>
        <v>92.88</v>
      </c>
      <c r="G16">
        <v>92.88</v>
      </c>
      <c r="H16" s="305"/>
      <c r="I16" s="11"/>
      <c r="J16" s="305"/>
      <c r="L16" s="305"/>
      <c r="N16" s="305"/>
      <c r="O16" s="274">
        <f t="shared" si="2"/>
        <v>0</v>
      </c>
      <c r="P16" s="274" t="str">
        <f t="shared" si="0"/>
        <v>Life / Income Insurance</v>
      </c>
      <c r="Q16" s="282">
        <f t="shared" si="1"/>
        <v>0</v>
      </c>
    </row>
    <row r="17" spans="2:20" ht="15" customHeight="1" outlineLevel="1">
      <c r="B17" s="734"/>
      <c r="C17" s="734"/>
      <c r="D17" s="201" t="s">
        <v>602</v>
      </c>
      <c r="E17" s="365">
        <v>0</v>
      </c>
      <c r="F17" s="365">
        <f>34</f>
        <v>34</v>
      </c>
      <c r="G17">
        <v>34</v>
      </c>
      <c r="H17" s="305"/>
      <c r="J17" s="305"/>
      <c r="L17" s="305"/>
      <c r="N17" s="305"/>
      <c r="O17" s="274">
        <f t="shared" ref="O17:O20" si="3">SUM(E17:F17)-SUM(G17:N17)</f>
        <v>0</v>
      </c>
      <c r="P17" s="274" t="str">
        <f t="shared" si="0"/>
        <v>Broadband / TV</v>
      </c>
      <c r="Q17" s="282">
        <f t="shared" si="1"/>
        <v>0</v>
      </c>
    </row>
    <row r="18" spans="2:20" ht="15" customHeight="1" outlineLevel="1">
      <c r="B18" s="734"/>
      <c r="C18" s="734"/>
      <c r="D18" s="201" t="s">
        <v>788</v>
      </c>
      <c r="E18" s="365">
        <v>0</v>
      </c>
      <c r="F18" s="365">
        <v>26</v>
      </c>
      <c r="H18" s="305"/>
      <c r="J18" s="305"/>
      <c r="L18" s="305"/>
      <c r="N18" s="305"/>
      <c r="O18" s="274">
        <f t="shared" si="3"/>
        <v>26</v>
      </c>
      <c r="P18" s="274" t="str">
        <f t="shared" si="0"/>
        <v>Matt Phone</v>
      </c>
      <c r="Q18" s="282">
        <f t="shared" si="1"/>
        <v>0</v>
      </c>
    </row>
    <row r="19" spans="2:20" ht="15" customHeight="1" outlineLevel="1">
      <c r="B19" s="734"/>
      <c r="C19" s="734"/>
      <c r="D19" s="201" t="s">
        <v>690</v>
      </c>
      <c r="E19" s="365">
        <v>0</v>
      </c>
      <c r="F19" s="365">
        <f>11.81+46.69+270+487</f>
        <v>815.5</v>
      </c>
      <c r="G19">
        <f>46.69+14+270.97</f>
        <v>331.66</v>
      </c>
      <c r="H19" s="305"/>
      <c r="J19" s="305"/>
      <c r="L19" s="305"/>
      <c r="N19" s="305"/>
      <c r="O19" s="274">
        <f t="shared" si="3"/>
        <v>483.84</v>
      </c>
      <c r="P19" s="274" t="str">
        <f t="shared" si="0"/>
        <v>Cars</v>
      </c>
      <c r="Q19" s="282">
        <f t="shared" si="1"/>
        <v>0</v>
      </c>
    </row>
    <row r="20" spans="2:20" ht="15" customHeight="1" outlineLevel="1">
      <c r="B20" s="734"/>
      <c r="C20" s="734"/>
      <c r="D20" s="201" t="s">
        <v>944</v>
      </c>
      <c r="E20" s="365">
        <v>0</v>
      </c>
      <c r="F20" s="365">
        <v>15</v>
      </c>
      <c r="G20">
        <v>15</v>
      </c>
      <c r="H20" s="305"/>
      <c r="J20" s="305"/>
      <c r="L20" s="305"/>
      <c r="N20" s="305"/>
      <c r="O20" s="274">
        <f t="shared" si="3"/>
        <v>0</v>
      </c>
      <c r="P20" s="274" t="str">
        <f t="shared" si="0"/>
        <v>Windows</v>
      </c>
      <c r="Q20" s="282">
        <f t="shared" si="1"/>
        <v>0</v>
      </c>
      <c r="R20" s="243"/>
    </row>
    <row r="21" spans="2:20" ht="15" customHeight="1" outlineLevel="1">
      <c r="B21" s="7"/>
      <c r="C21" s="7"/>
      <c r="D21" s="201" t="s">
        <v>2042</v>
      </c>
      <c r="E21" s="365">
        <v>0</v>
      </c>
      <c r="F21" s="365">
        <f>29.95+22.49</f>
        <v>52.44</v>
      </c>
      <c r="G21">
        <v>29.95</v>
      </c>
      <c r="H21" s="305">
        <v>22.49</v>
      </c>
      <c r="J21" s="305"/>
      <c r="L21" s="305"/>
      <c r="N21" s="305"/>
      <c r="O21" s="274"/>
      <c r="P21" s="274" t="str">
        <f t="shared" si="0"/>
        <v>Health + Wellness</v>
      </c>
      <c r="Q21" s="282"/>
      <c r="R21" s="243"/>
    </row>
    <row r="22" spans="2:20" ht="15" customHeight="1" outlineLevel="1">
      <c r="B22" s="7"/>
      <c r="C22" s="7"/>
      <c r="D22" s="201" t="s">
        <v>781</v>
      </c>
      <c r="E22" s="365">
        <v>0</v>
      </c>
      <c r="F22" s="365">
        <f>7.99+13+4.99+0.99+2.99+12</f>
        <v>41.96</v>
      </c>
      <c r="G22" s="11">
        <f>2.99+7.99+12+13+1.49+7.99+4.99</f>
        <v>50.45000000000001</v>
      </c>
      <c r="H22" s="305"/>
      <c r="J22" s="305"/>
      <c r="L22" s="305"/>
      <c r="N22" s="305"/>
      <c r="O22" s="274">
        <f t="shared" ref="O22" si="4">SUM(E22:F22)-SUM(G22:N22)</f>
        <v>-8.4900000000000091</v>
      </c>
      <c r="P22" s="274" t="str">
        <f t="shared" si="0"/>
        <v>Subscriptions</v>
      </c>
      <c r="Q22" s="282"/>
      <c r="R22" s="243"/>
    </row>
    <row r="23" spans="2:20" ht="15" customHeight="1">
      <c r="B23" s="118"/>
      <c r="C23" s="118"/>
      <c r="D23" s="188"/>
      <c r="E23" s="365"/>
      <c r="F23" s="365"/>
      <c r="H23" s="305"/>
      <c r="J23" s="305"/>
      <c r="L23" s="305"/>
      <c r="N23" s="305"/>
      <c r="O23" s="273"/>
      <c r="P23" s="273"/>
      <c r="Q23" s="282"/>
    </row>
    <row r="24" spans="2:20" ht="15" customHeight="1">
      <c r="B24" s="736" t="str">
        <f>_xlfn.CONCAT("Savings - 20 - ",G44*0.2," / Actual = ",D25," (",ROUND((D25/G44)*100,2),")")</f>
        <v>Savings - 20 - 1359.478 / Actual = 2568.67 (37.79)</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2568.67</v>
      </c>
      <c r="E25" s="759"/>
      <c r="F25" s="319"/>
      <c r="H25" s="305"/>
      <c r="J25" s="305"/>
      <c r="L25" s="305"/>
      <c r="N25" s="305"/>
      <c r="O25" s="285">
        <f>O26</f>
        <v>-648.60999999999967</v>
      </c>
      <c r="P25" s="285" t="s">
        <v>895</v>
      </c>
      <c r="Q25" s="282">
        <f>SUM(Q26:Q26)</f>
        <v>0</v>
      </c>
    </row>
    <row r="26" spans="2:20" ht="15" customHeight="1" outlineLevel="1">
      <c r="B26" s="7" t="str">
        <f>"20% : " &amp; E$44*0.2</f>
        <v>20% : 1359.478</v>
      </c>
      <c r="C26" s="7" t="str">
        <f>"20% : " &amp; E$44*0.2</f>
        <v>20% : 1359.478</v>
      </c>
      <c r="D26" s="300" t="s">
        <v>183</v>
      </c>
      <c r="E26" s="365">
        <v>0</v>
      </c>
      <c r="F26" s="365">
        <f>SUM(F27:F37)</f>
        <v>2568.67</v>
      </c>
      <c r="H26" s="305"/>
      <c r="J26" s="305"/>
      <c r="L26" s="305"/>
      <c r="N26" s="305"/>
      <c r="O26" s="274">
        <f>SUM(O27:O37)</f>
        <v>-648.60999999999967</v>
      </c>
      <c r="P26" s="274" t="str">
        <f t="shared" ref="P26:P37" si="5">D26</f>
        <v>Savings</v>
      </c>
      <c r="Q26" s="282">
        <v>0</v>
      </c>
      <c r="R26" s="495"/>
      <c r="S26" s="243"/>
    </row>
    <row r="27" spans="2:20" ht="15" customHeight="1" outlineLevel="1">
      <c r="B27" s="7"/>
      <c r="C27" s="7"/>
      <c r="D27" s="300" t="s">
        <v>1485</v>
      </c>
      <c r="E27" s="365">
        <v>0</v>
      </c>
      <c r="F27" s="523">
        <v>40</v>
      </c>
      <c r="H27" s="305"/>
      <c r="J27" s="305"/>
      <c r="L27" s="362"/>
      <c r="N27" s="315"/>
      <c r="O27" s="274">
        <f>SUM(E27:F27)-SUM(G27:N27)</f>
        <v>40</v>
      </c>
      <c r="P27" s="274" t="str">
        <f t="shared" si="5"/>
        <v>MOT / Service</v>
      </c>
      <c r="Q27" s="282"/>
      <c r="R27" s="243"/>
    </row>
    <row r="28" spans="2:20" ht="15" customHeight="1" outlineLevel="1">
      <c r="B28" s="7"/>
      <c r="C28" s="7"/>
      <c r="D28" s="300" t="s">
        <v>690</v>
      </c>
      <c r="E28" s="365">
        <v>0</v>
      </c>
      <c r="F28" s="523">
        <f>-468.84-232.5</f>
        <v>-701.33999999999992</v>
      </c>
      <c r="H28" s="305"/>
      <c r="J28" s="305"/>
      <c r="L28" s="362"/>
      <c r="N28" s="315"/>
      <c r="O28" s="274">
        <f>SUM(E28:F28)-SUM(G28:N28)</f>
        <v>-701.33999999999992</v>
      </c>
      <c r="P28" s="274" t="str">
        <f t="shared" si="5"/>
        <v>Cars</v>
      </c>
      <c r="Q28" s="282"/>
      <c r="R28" s="243"/>
    </row>
    <row r="29" spans="2:20" ht="15" customHeight="1" outlineLevel="1">
      <c r="B29" s="7"/>
      <c r="C29" s="7"/>
      <c r="D29" s="300" t="s">
        <v>590</v>
      </c>
      <c r="E29" s="365">
        <v>0</v>
      </c>
      <c r="F29" s="523">
        <f>165+10.99+8.99+2.85+29.95+20+10.06+245</f>
        <v>492.84000000000003</v>
      </c>
      <c r="G29" s="305">
        <f>158.5+43.62</f>
        <v>202.12</v>
      </c>
      <c r="J29" s="305">
        <f>17+10.94</f>
        <v>27.939999999999998</v>
      </c>
      <c r="L29" s="362"/>
      <c r="N29" s="315"/>
      <c r="O29" s="274">
        <f>SUM(E29:F29)-SUM(G29:N29)-Q44</f>
        <v>243.28000000000014</v>
      </c>
      <c r="P29" s="274" t="str">
        <f t="shared" si="5"/>
        <v>Contingency</v>
      </c>
      <c r="Q29" s="282"/>
      <c r="T29" s="243"/>
    </row>
    <row r="30" spans="2:20" ht="15" customHeight="1" outlineLevel="1">
      <c r="B30" s="7"/>
      <c r="C30" s="7"/>
      <c r="D30" s="300" t="s">
        <v>1486</v>
      </c>
      <c r="E30" s="365">
        <v>0</v>
      </c>
      <c r="F30" s="523">
        <v>13.67</v>
      </c>
      <c r="H30" s="305"/>
      <c r="J30" s="305"/>
      <c r="L30" s="362"/>
      <c r="N30" s="315"/>
      <c r="O30" s="274">
        <f t="shared" ref="O30:O37" si="6">SUM(E30:F30)-SUM(G30:N30)</f>
        <v>13.67</v>
      </c>
      <c r="P30" s="274" t="str">
        <f t="shared" si="5"/>
        <v>TV</v>
      </c>
      <c r="Q30" s="282"/>
    </row>
    <row r="31" spans="2:20" ht="15" customHeight="1" outlineLevel="1">
      <c r="B31" s="7"/>
      <c r="C31" s="7"/>
      <c r="D31" s="300" t="s">
        <v>1296</v>
      </c>
      <c r="E31" s="365">
        <v>0</v>
      </c>
      <c r="F31" s="523">
        <v>95</v>
      </c>
      <c r="H31" s="305"/>
      <c r="J31" s="305"/>
      <c r="L31" s="362"/>
      <c r="N31" s="315"/>
      <c r="O31" s="274">
        <f t="shared" si="6"/>
        <v>95</v>
      </c>
      <c r="P31" s="274" t="str">
        <f t="shared" si="5"/>
        <v>Offset</v>
      </c>
      <c r="Q31" s="282"/>
    </row>
    <row r="32" spans="2:20" ht="15" customHeight="1" outlineLevel="1">
      <c r="B32" s="7"/>
      <c r="C32" s="7"/>
      <c r="D32" s="300" t="s">
        <v>354</v>
      </c>
      <c r="E32" s="365">
        <v>0</v>
      </c>
      <c r="F32" s="523">
        <f>650+983.94+394.82</f>
        <v>2028.76</v>
      </c>
      <c r="H32">
        <f>261.28+234.43</f>
        <v>495.71</v>
      </c>
      <c r="J32" s="305">
        <v>1301.5999999999999</v>
      </c>
      <c r="L32" s="362"/>
      <c r="N32" s="315"/>
      <c r="O32" s="274">
        <f>SUM(E32:F32)-SUM(H32:N32)</f>
        <v>231.45000000000005</v>
      </c>
      <c r="P32" s="274" t="str">
        <f t="shared" si="5"/>
        <v>Holiday</v>
      </c>
      <c r="Q32" s="282"/>
    </row>
    <row r="33" spans="2:19" ht="15" customHeight="1" outlineLevel="1">
      <c r="B33" s="7"/>
      <c r="C33" s="7"/>
      <c r="D33" s="300" t="s">
        <v>701</v>
      </c>
      <c r="E33" s="365">
        <v>0</v>
      </c>
      <c r="F33" s="523">
        <f>250+35+189.74</f>
        <v>474.74</v>
      </c>
      <c r="H33">
        <f>35+(11.99)</f>
        <v>46.99</v>
      </c>
      <c r="J33" s="305">
        <f>16.99+121.89+61.98+770.99+29.94+61.2+9.76</f>
        <v>1072.75</v>
      </c>
      <c r="L33" s="362"/>
      <c r="N33" s="315"/>
      <c r="O33" s="274">
        <f t="shared" si="6"/>
        <v>-645</v>
      </c>
      <c r="P33" s="274" t="str">
        <f t="shared" si="5"/>
        <v>Gift</v>
      </c>
      <c r="Q33" s="282"/>
    </row>
    <row r="34" spans="2:19" ht="15" customHeight="1" outlineLevel="1">
      <c r="B34" s="7"/>
      <c r="C34" s="7"/>
      <c r="D34" s="300" t="s">
        <v>1297</v>
      </c>
      <c r="E34" s="365">
        <v>0</v>
      </c>
      <c r="F34" s="523">
        <f>50</f>
        <v>50</v>
      </c>
      <c r="H34" s="305"/>
      <c r="J34" s="305"/>
      <c r="L34" s="362"/>
      <c r="N34" s="315"/>
      <c r="O34" s="274">
        <f t="shared" si="6"/>
        <v>50</v>
      </c>
      <c r="P34" s="274" t="str">
        <f t="shared" si="5"/>
        <v>Skin</v>
      </c>
      <c r="Q34" s="282"/>
    </row>
    <row r="35" spans="2:19" ht="15" customHeight="1" outlineLevel="1">
      <c r="B35" s="7"/>
      <c r="C35" s="7"/>
      <c r="D35" s="300" t="s">
        <v>1391</v>
      </c>
      <c r="E35" s="365">
        <v>0</v>
      </c>
      <c r="F35" s="523">
        <v>75</v>
      </c>
      <c r="H35" s="305"/>
      <c r="J35" s="305"/>
      <c r="L35" s="362"/>
      <c r="N35" s="315"/>
      <c r="O35" s="274">
        <f t="shared" si="6"/>
        <v>75</v>
      </c>
      <c r="P35" s="274" t="str">
        <f t="shared" si="5"/>
        <v>Avios</v>
      </c>
      <c r="Q35" s="282"/>
    </row>
    <row r="36" spans="2:19" ht="15" customHeight="1" outlineLevel="1">
      <c r="B36" s="7"/>
      <c r="C36" s="7"/>
      <c r="D36" s="300" t="s">
        <v>1808</v>
      </c>
      <c r="E36" s="365">
        <v>0</v>
      </c>
      <c r="F36" s="365">
        <v>0</v>
      </c>
      <c r="H36" s="305">
        <v>50.67</v>
      </c>
      <c r="J36" s="305"/>
      <c r="L36" s="362"/>
      <c r="N36" s="315"/>
      <c r="O36" s="274">
        <f t="shared" si="6"/>
        <v>-50.67</v>
      </c>
      <c r="P36" s="274" t="str">
        <f t="shared" si="5"/>
        <v>Prime</v>
      </c>
      <c r="Q36" s="282"/>
    </row>
    <row r="37" spans="2:19" ht="15" customHeight="1" outlineLevel="1">
      <c r="B37" s="7"/>
      <c r="C37" s="7"/>
      <c r="D37" s="300" t="s">
        <v>1589</v>
      </c>
      <c r="E37" s="365">
        <v>0</v>
      </c>
      <c r="F37" s="365">
        <v>0</v>
      </c>
      <c r="H37" s="305"/>
      <c r="J37" s="305"/>
      <c r="L37" s="362"/>
      <c r="N37" s="315"/>
      <c r="O37" s="274">
        <f t="shared" si="6"/>
        <v>0</v>
      </c>
      <c r="P37" s="274" t="str">
        <f t="shared" si="5"/>
        <v>Amex</v>
      </c>
      <c r="Q37" s="282"/>
    </row>
    <row r="38" spans="2:19" ht="15" customHeight="1">
      <c r="B38" s="118"/>
      <c r="C38" s="118"/>
      <c r="E38" s="365"/>
      <c r="F38" s="365"/>
      <c r="H38" s="305"/>
      <c r="J38" s="305"/>
      <c r="L38" s="305"/>
      <c r="N38" s="305"/>
      <c r="O38" s="273"/>
      <c r="P38" s="273"/>
      <c r="Q38" s="282"/>
      <c r="R38" s="243"/>
    </row>
    <row r="39" spans="2:19" ht="15" customHeight="1">
      <c r="B39" s="727" t="str">
        <f>_xlfn.CONCAT("Wants - 30 - ",G44*0.3," / Actual = ",D40," (",ROUND((D40/G44)*100,2),")")</f>
        <v>Wants - 30 - 2039.217 / Actual = 1287.42 (18.94)</v>
      </c>
      <c r="C39" s="727"/>
      <c r="D39" s="727"/>
      <c r="E39" s="727"/>
      <c r="F39" s="318"/>
      <c r="H39" s="305"/>
      <c r="J39" s="305"/>
      <c r="L39" s="305"/>
      <c r="N39" s="305"/>
      <c r="O39" s="273"/>
      <c r="P39" s="273"/>
      <c r="Q39" s="282"/>
      <c r="S39" s="243"/>
    </row>
    <row r="40" spans="2:19" ht="15" customHeight="1">
      <c r="B40" s="727" t="str">
        <f>IF(ISNUMBER((SEARCH("Over",B$5))),"Operating under budget","Operating over budget")</f>
        <v>Operating over budget</v>
      </c>
      <c r="C40" s="727"/>
      <c r="D40" s="759">
        <f>(E$44-D5-D25-E43)</f>
        <v>1287.42</v>
      </c>
      <c r="E40" s="727"/>
      <c r="F40" s="319">
        <f>F41</f>
        <v>636.03000000000009</v>
      </c>
      <c r="H40" s="305"/>
      <c r="J40" s="305"/>
      <c r="L40" s="305"/>
      <c r="N40" s="305"/>
      <c r="O40" s="285">
        <f>0</f>
        <v>0</v>
      </c>
      <c r="P40" s="285" t="s">
        <v>899</v>
      </c>
      <c r="Q40" s="282">
        <f>SUM(Q41:Q41)</f>
        <v>10.249999999999886</v>
      </c>
      <c r="S40" s="243"/>
    </row>
    <row r="41" spans="2:19" ht="18" outlineLevel="1">
      <c r="B41" s="7"/>
      <c r="C41" s="284"/>
      <c r="D41" s="13" t="s">
        <v>922</v>
      </c>
      <c r="E41" s="365">
        <v>0</v>
      </c>
      <c r="F41" s="365">
        <f>D40-F42</f>
        <v>636.03000000000009</v>
      </c>
      <c r="G41" s="11">
        <f>20+30</f>
        <v>50</v>
      </c>
      <c r="H41">
        <f>4.2+11.5+11.2+11.2+8.9+8.5+1.1+4.2+17+14+14+6+27.35+190.52+11.98+9.49</f>
        <v>351.14000000000004</v>
      </c>
      <c r="J41" s="305">
        <f>33.9+5.1+4+20.88+1.2-7.79+88.2+5.6+16+4.9+1.65+5+12.7+18+12+8+12+3.7+0.1</f>
        <v>245.14</v>
      </c>
      <c r="N41" s="305"/>
      <c r="O41" s="274">
        <f>SUM(E41:F41)-SUM(G41:N41)</f>
        <v>-10.249999999999886</v>
      </c>
      <c r="P41" s="274" t="str">
        <f t="shared" ref="P41:P42" si="7">D41</f>
        <v>Matt Fun</v>
      </c>
      <c r="Q41" s="282">
        <f>IF(SUM(E41:F41)-SUM(G41:N41)&lt;=0,(SUM(E41:F41)-SUM(G41:N41))*-1,0)</f>
        <v>10.249999999999886</v>
      </c>
    </row>
    <row r="42" spans="2:19" ht="18" outlineLevel="1">
      <c r="B42" s="7"/>
      <c r="C42" s="284"/>
      <c r="D42" s="13" t="s">
        <v>152</v>
      </c>
      <c r="E42" s="365">
        <v>0</v>
      </c>
      <c r="F42" s="365">
        <f>55+104+200+55+20+78+55-66.87+(38+31+22+250)-189.74</f>
        <v>651.39</v>
      </c>
      <c r="G42" s="11"/>
      <c r="H42" s="306">
        <f>68+55+28+8.4+0.99+12.85+33.6+14.99+13+108.98+19.05+4+54.95+78.32+55+5.49+19.79+4.99+6</f>
        <v>591.4</v>
      </c>
      <c r="J42" s="305">
        <f>38+21.99</f>
        <v>59.989999999999995</v>
      </c>
      <c r="L42" s="305"/>
      <c r="N42" s="305"/>
      <c r="O42" s="274">
        <f>SUM(E42:F42)-SUM(G42:N42)</f>
        <v>0</v>
      </c>
      <c r="P42" s="274" t="str">
        <f t="shared" si="7"/>
        <v>Kris</v>
      </c>
      <c r="Q42" s="271">
        <f>IF(F42-SUM(G42:N42)&lt;=0,(F42-SUM(G42:N42))*-1,0)</f>
        <v>0</v>
      </c>
    </row>
    <row r="43" spans="2:19">
      <c r="B43" s="118"/>
      <c r="C43" s="118"/>
      <c r="E43" s="365">
        <f>E26</f>
        <v>0</v>
      </c>
      <c r="F43" s="365"/>
      <c r="G43" s="349"/>
      <c r="J43" s="7"/>
      <c r="L43" s="7"/>
      <c r="N43" s="7"/>
      <c r="O43" s="273"/>
      <c r="P43" s="273"/>
      <c r="Q43" s="282"/>
    </row>
    <row r="44" spans="2:19" ht="18">
      <c r="B44" s="728" t="s">
        <v>817</v>
      </c>
      <c r="C44" s="728"/>
      <c r="D44" s="728"/>
      <c r="E44" s="375">
        <f>G44+I44+K44+M44+N44+E43</f>
        <v>6797.39</v>
      </c>
      <c r="F44" s="379"/>
      <c r="G44" s="271">
        <f>3475.58+960+55+104+983.94+200+55+20+78+55+38+31+22+250+5.05+70+394.82</f>
        <v>6797.39</v>
      </c>
      <c r="H44" s="282"/>
      <c r="I44" s="271"/>
      <c r="J44" s="271"/>
      <c r="K44" s="271"/>
      <c r="L44" s="271"/>
      <c r="M44" s="271"/>
      <c r="N44" s="271"/>
      <c r="O44" s="314">
        <f>ROUND(O5+O40+O25+IF(O41&lt;0,0,O41)+O42+O4,2)</f>
        <v>4809.09</v>
      </c>
      <c r="P44" s="274"/>
      <c r="Q44" s="282">
        <f>SUM(Q40,Q25,Q5)</f>
        <v>19.499999999999886</v>
      </c>
    </row>
    <row r="45" spans="2:19" ht="18">
      <c r="B45" s="118"/>
      <c r="C45" s="7"/>
      <c r="D45" s="13" t="s">
        <v>1451</v>
      </c>
      <c r="E45" s="365"/>
      <c r="F45" s="365"/>
      <c r="G45" s="384"/>
      <c r="H45" s="243"/>
      <c r="L45" s="243"/>
    </row>
    <row r="46" spans="2:19" ht="14.4">
      <c r="B46" s="729"/>
      <c r="C46" s="729"/>
      <c r="D46" s="729"/>
      <c r="E46" s="729"/>
      <c r="F46" s="729"/>
      <c r="G46" s="729"/>
      <c r="H46" s="297"/>
      <c r="K46" s="729"/>
      <c r="L46" s="729"/>
      <c r="M46" s="729"/>
      <c r="N46" s="729"/>
      <c r="O46" s="729"/>
      <c r="P46" s="297"/>
    </row>
    <row r="47" spans="2:19" ht="15" customHeight="1">
      <c r="B47" s="726" t="s">
        <v>955</v>
      </c>
      <c r="C47" s="726"/>
      <c r="E47"/>
      <c r="F47" s="348"/>
      <c r="H47" s="243"/>
      <c r="K47" s="212"/>
      <c r="L47" s="212"/>
      <c r="M47" s="243"/>
      <c r="N47" s="118" t="s">
        <v>2043</v>
      </c>
      <c r="O47" s="316">
        <v>45613</v>
      </c>
      <c r="P47" s="7">
        <f ca="1">DATEDIF(O47,NOW(),"d")</f>
        <v>638</v>
      </c>
      <c r="Q47">
        <v>250</v>
      </c>
      <c r="R47" t="s">
        <v>1342</v>
      </c>
    </row>
    <row r="48" spans="2:19">
      <c r="B48" s="365"/>
      <c r="C48" s="38"/>
      <c r="E48" s="486"/>
      <c r="F48" s="11"/>
      <c r="G48" s="367"/>
      <c r="I48" s="243"/>
      <c r="K48" s="11"/>
      <c r="L48" s="243">
        <f>4830.55-4809.09</f>
        <v>21.460000000000036</v>
      </c>
      <c r="N48" s="483" t="s">
        <v>2044</v>
      </c>
      <c r="O48" s="42">
        <v>45613</v>
      </c>
      <c r="P48" s="7">
        <f ca="1">DATEDIF(O48,NOW(),"d")</f>
        <v>638</v>
      </c>
      <c r="Q48">
        <v>9.49</v>
      </c>
      <c r="R48" t="s">
        <v>1105</v>
      </c>
    </row>
    <row r="49" spans="2:18">
      <c r="F49" s="457"/>
      <c r="H49" s="445"/>
      <c r="I49" s="11"/>
      <c r="J49" s="243"/>
      <c r="L49" s="243"/>
      <c r="N49" s="358" t="s">
        <v>2045</v>
      </c>
      <c r="O49" s="316">
        <v>45613</v>
      </c>
      <c r="P49" s="7">
        <f ca="1">DATEDIF(O49,NOW(),"d")</f>
        <v>638</v>
      </c>
      <c r="Q49">
        <v>30.01</v>
      </c>
      <c r="R49" t="s">
        <v>2046</v>
      </c>
    </row>
    <row r="50" spans="2:18" ht="16.2" customHeight="1">
      <c r="F50" s="457"/>
      <c r="G50" s="458"/>
      <c r="H50" s="243"/>
      <c r="I50" s="243"/>
      <c r="J50" s="213"/>
      <c r="K50" s="213"/>
      <c r="L50" s="243"/>
      <c r="O50" s="316"/>
    </row>
    <row r="51" spans="2:18">
      <c r="B51" s="378"/>
      <c r="E51" s="486"/>
      <c r="F51" s="278"/>
      <c r="G51" s="243"/>
      <c r="H51" s="243"/>
      <c r="J51" s="243"/>
      <c r="L51" s="243"/>
      <c r="P51" s="56"/>
    </row>
    <row r="52" spans="2:18">
      <c r="F52" s="451"/>
      <c r="H52" s="369"/>
      <c r="J52" s="243"/>
      <c r="K52" s="243"/>
      <c r="L52" s="243"/>
      <c r="M52" s="243"/>
      <c r="N52" s="243"/>
      <c r="P52"/>
    </row>
    <row r="53" spans="2:18">
      <c r="E53" s="486"/>
      <c r="F53" s="492"/>
      <c r="G53" s="118"/>
      <c r="H53" s="515"/>
      <c r="K53" s="725"/>
      <c r="L53" s="725"/>
      <c r="M53" s="243"/>
      <c r="P53" s="212"/>
      <c r="Q53" s="212"/>
    </row>
    <row r="54" spans="2:18" ht="15" customHeight="1">
      <c r="E54" s="486"/>
      <c r="F54"/>
      <c r="H54" s="243"/>
      <c r="K54" s="353"/>
      <c r="L54" s="243"/>
      <c r="M54" s="243"/>
      <c r="N54" s="243"/>
      <c r="P54" s="56"/>
      <c r="Q54" s="38"/>
    </row>
    <row r="55" spans="2:18">
      <c r="E55" s="486"/>
      <c r="F55"/>
      <c r="G55" s="243"/>
      <c r="L55" s="243"/>
      <c r="O55"/>
      <c r="P55"/>
    </row>
    <row r="56" spans="2:18" ht="15" customHeight="1">
      <c r="E56" s="486"/>
      <c r="F56"/>
      <c r="G56" s="11"/>
      <c r="H56" s="243"/>
      <c r="L56" s="243"/>
      <c r="O56"/>
      <c r="P56"/>
    </row>
    <row r="57" spans="2:18">
      <c r="E57" s="486"/>
      <c r="F57"/>
      <c r="I57" s="11"/>
      <c r="J57" s="79"/>
      <c r="L57" s="243"/>
      <c r="O57"/>
      <c r="P57"/>
    </row>
    <row r="58" spans="2:18">
      <c r="B58" s="11"/>
      <c r="E58" s="7"/>
      <c r="F58" s="486"/>
      <c r="I58" s="243"/>
      <c r="J58" s="79"/>
      <c r="O58"/>
      <c r="P58"/>
    </row>
    <row r="59" spans="2:18">
      <c r="B59" s="11"/>
      <c r="E59" s="284"/>
      <c r="F59" s="486"/>
      <c r="G59" s="369"/>
      <c r="J59" s="390"/>
      <c r="O59"/>
      <c r="P59"/>
    </row>
    <row r="60" spans="2:18">
      <c r="F60" s="486"/>
      <c r="G60" s="369"/>
      <c r="J60" s="79"/>
      <c r="L60" s="243"/>
      <c r="M60" s="243"/>
      <c r="O60"/>
      <c r="P60"/>
    </row>
    <row r="61" spans="2:18">
      <c r="B61" s="212"/>
      <c r="C61" s="212"/>
      <c r="F61" s="384"/>
      <c r="G61" s="484"/>
      <c r="I61" s="516"/>
      <c r="J61" s="517"/>
      <c r="K61" s="118"/>
      <c r="O61"/>
      <c r="P61"/>
    </row>
    <row r="62" spans="2:18">
      <c r="C62" s="56"/>
      <c r="F62"/>
      <c r="H62" s="516"/>
      <c r="I62" s="494"/>
      <c r="J62" s="79"/>
      <c r="O62"/>
      <c r="P62"/>
    </row>
    <row r="63" spans="2:18" ht="15.75" customHeight="1">
      <c r="C63" s="56"/>
      <c r="F63"/>
      <c r="L63" s="243"/>
      <c r="M63" s="243"/>
      <c r="O63"/>
      <c r="P63"/>
    </row>
    <row r="64" spans="2:18" ht="14.4">
      <c r="C64" s="56"/>
      <c r="E64"/>
      <c r="F64"/>
      <c r="M64" s="243"/>
      <c r="O64"/>
      <c r="P64"/>
    </row>
    <row r="65" spans="2:16" ht="14.4">
      <c r="C65" s="56"/>
      <c r="D65" s="188"/>
      <c r="E65"/>
      <c r="F65" s="79"/>
      <c r="O65"/>
      <c r="P65"/>
    </row>
    <row r="66" spans="2:16">
      <c r="C66" s="56"/>
      <c r="E66"/>
      <c r="K66" s="118"/>
      <c r="M66" s="243"/>
      <c r="O66"/>
      <c r="P66"/>
    </row>
    <row r="67" spans="2:16">
      <c r="C67" s="56"/>
      <c r="E67" s="407"/>
      <c r="O67"/>
      <c r="P67"/>
    </row>
    <row r="68" spans="2:16">
      <c r="C68" s="56"/>
      <c r="E68"/>
      <c r="I68" s="407"/>
      <c r="J68" s="79"/>
      <c r="N68" s="288"/>
      <c r="O68"/>
      <c r="P68"/>
    </row>
    <row r="69" spans="2:16">
      <c r="C69" s="56"/>
      <c r="E69" s="347"/>
      <c r="O69"/>
      <c r="P69"/>
    </row>
    <row r="70" spans="2:16">
      <c r="C70" s="56"/>
      <c r="E70" s="332"/>
      <c r="O70"/>
      <c r="P70"/>
    </row>
    <row r="71" spans="2:16" ht="14.4">
      <c r="C71" s="56"/>
      <c r="E71" s="407"/>
      <c r="F71"/>
      <c r="G71" s="407"/>
      <c r="O71"/>
      <c r="P71"/>
    </row>
    <row r="72" spans="2:16" ht="15.45" customHeight="1">
      <c r="C72" s="56"/>
      <c r="E72" s="407"/>
      <c r="F72"/>
      <c r="G72" s="407"/>
      <c r="O72"/>
      <c r="P72"/>
    </row>
    <row r="73" spans="2:16" ht="14.4">
      <c r="D73" s="459"/>
      <c r="E73" s="243"/>
      <c r="F73" s="459"/>
      <c r="G73" s="243"/>
      <c r="O73"/>
      <c r="P73"/>
    </row>
    <row r="74" spans="2:16" ht="14.4">
      <c r="B74" s="212"/>
      <c r="C74" s="294"/>
      <c r="D74" s="188"/>
      <c r="E74"/>
      <c r="F74" s="188"/>
      <c r="O74"/>
      <c r="P74"/>
    </row>
    <row r="75" spans="2:16" ht="15.45" customHeight="1">
      <c r="C75" s="56"/>
      <c r="E75"/>
      <c r="F75"/>
      <c r="M75" s="243"/>
      <c r="O75"/>
      <c r="P75"/>
    </row>
    <row r="76" spans="2:16">
      <c r="C76" s="56"/>
      <c r="E76" s="484"/>
      <c r="F76"/>
      <c r="G76" s="484"/>
      <c r="O76"/>
      <c r="P76"/>
    </row>
    <row r="77" spans="2:16">
      <c r="C77" s="56"/>
      <c r="L77" s="459"/>
      <c r="M77" s="461"/>
      <c r="O77"/>
      <c r="P77"/>
    </row>
    <row r="78" spans="2:16">
      <c r="C78" s="56"/>
      <c r="D78" s="426"/>
      <c r="E78" s="447"/>
      <c r="L78" s="188"/>
      <c r="M78" s="230"/>
      <c r="O78"/>
      <c r="P78"/>
    </row>
    <row r="79" spans="2:16">
      <c r="C79" s="56"/>
      <c r="D79" s="405"/>
      <c r="E79" s="407"/>
      <c r="L79" s="188"/>
      <c r="M79" s="230"/>
      <c r="O79"/>
      <c r="P79"/>
    </row>
    <row r="80" spans="2:16">
      <c r="C80" s="56"/>
      <c r="D80" s="484"/>
      <c r="E80"/>
      <c r="L80" s="188"/>
      <c r="M80" s="230"/>
      <c r="O80"/>
      <c r="P80"/>
    </row>
    <row r="81" spans="5:16">
      <c r="E81" s="447"/>
      <c r="L81" s="188"/>
      <c r="M81" s="230"/>
      <c r="O81"/>
      <c r="P81"/>
    </row>
    <row r="82" spans="5:16">
      <c r="E82" s="447"/>
      <c r="F82" s="365"/>
      <c r="L82" s="460"/>
      <c r="M82" s="230"/>
      <c r="O82"/>
      <c r="P82"/>
    </row>
    <row r="83" spans="5:16">
      <c r="E83" s="447"/>
      <c r="F83" s="212"/>
      <c r="L83" s="405"/>
      <c r="M83" s="230"/>
      <c r="O83"/>
      <c r="P83"/>
    </row>
    <row r="84" spans="5:16" ht="14.4">
      <c r="E84"/>
      <c r="F84"/>
      <c r="L84" s="405"/>
      <c r="M84" s="462"/>
      <c r="O84"/>
      <c r="P84"/>
    </row>
    <row r="85" spans="5:16" ht="14.4">
      <c r="E85"/>
      <c r="F85"/>
      <c r="O85"/>
      <c r="P85"/>
    </row>
    <row r="86" spans="5:16" ht="14.4">
      <c r="E86"/>
      <c r="F86"/>
      <c r="O86"/>
      <c r="P86"/>
    </row>
    <row r="87" spans="5:16" ht="14.4">
      <c r="E87" s="292"/>
      <c r="F87" s="56"/>
      <c r="O87"/>
      <c r="P87"/>
    </row>
    <row r="88" spans="5:16" ht="14.4">
      <c r="E88" s="42"/>
      <c r="F88" s="56"/>
      <c r="O88"/>
      <c r="P88"/>
    </row>
    <row r="89" spans="5:16" ht="14.4">
      <c r="E89" s="56"/>
      <c r="F89" s="56"/>
      <c r="O89"/>
      <c r="P89"/>
    </row>
    <row r="90" spans="5:16">
      <c r="O90"/>
      <c r="P90"/>
    </row>
    <row r="91" spans="5:16" ht="14.4">
      <c r="E91" s="212"/>
      <c r="F91" s="212"/>
      <c r="O91"/>
      <c r="P91"/>
    </row>
    <row r="92" spans="5:16" ht="14.4">
      <c r="E92"/>
      <c r="F92" s="56"/>
      <c r="O92"/>
      <c r="P92"/>
    </row>
    <row r="93" spans="5:16" ht="14.4">
      <c r="E93" s="56"/>
      <c r="F93" s="56"/>
      <c r="O93"/>
      <c r="P93"/>
    </row>
    <row r="94" spans="5:16" ht="14.4">
      <c r="E94" s="56"/>
      <c r="F94" s="56"/>
      <c r="G94" s="407"/>
      <c r="O94"/>
      <c r="P94"/>
    </row>
    <row r="95" spans="5:16" ht="14.4">
      <c r="E95" s="56"/>
      <c r="F95" s="56"/>
      <c r="G95" s="407"/>
      <c r="O95"/>
      <c r="P95"/>
    </row>
    <row r="96" spans="5:16" ht="14.4">
      <c r="E96" s="56"/>
      <c r="F96" s="56"/>
      <c r="G96" s="407"/>
      <c r="O96"/>
      <c r="P96"/>
    </row>
    <row r="97" spans="5:16" ht="14.4">
      <c r="E97" s="56"/>
      <c r="F97" s="56"/>
      <c r="G97" s="407"/>
      <c r="O97"/>
      <c r="P97"/>
    </row>
    <row r="98" spans="5:16">
      <c r="E98" s="365"/>
      <c r="F98" s="365"/>
      <c r="G98" s="407"/>
      <c r="O98"/>
      <c r="P98"/>
    </row>
    <row r="99" spans="5:16">
      <c r="E99" s="486"/>
      <c r="G99" s="407"/>
      <c r="O99"/>
      <c r="P99"/>
    </row>
    <row r="100" spans="5:16">
      <c r="G100" s="407"/>
      <c r="O100"/>
      <c r="P100"/>
    </row>
    <row r="101" spans="5:16">
      <c r="G101" s="407"/>
      <c r="H101">
        <f>16700</f>
        <v>16700</v>
      </c>
    </row>
    <row r="102" spans="5:16">
      <c r="H102">
        <v>14000</v>
      </c>
    </row>
    <row r="105" spans="5:16">
      <c r="F105" s="384"/>
    </row>
    <row r="106" spans="5:16">
      <c r="F106" s="384"/>
    </row>
  </sheetData>
  <mergeCells count="22">
    <mergeCell ref="B24:E24"/>
    <mergeCell ref="B1:O1"/>
    <mergeCell ref="G3:H3"/>
    <mergeCell ref="I3:J3"/>
    <mergeCell ref="K3:L3"/>
    <mergeCell ref="M3:N3"/>
    <mergeCell ref="B4:E4"/>
    <mergeCell ref="B5:C5"/>
    <mergeCell ref="D5:E5"/>
    <mergeCell ref="B6:B20"/>
    <mergeCell ref="C6:C20"/>
    <mergeCell ref="E10:F10"/>
    <mergeCell ref="B46:G46"/>
    <mergeCell ref="K46:O46"/>
    <mergeCell ref="B47:C47"/>
    <mergeCell ref="K53:L53"/>
    <mergeCell ref="B25:C25"/>
    <mergeCell ref="D25:E25"/>
    <mergeCell ref="B39:E39"/>
    <mergeCell ref="B40:C40"/>
    <mergeCell ref="D40:E40"/>
    <mergeCell ref="B44:D44"/>
  </mergeCells>
  <pageMargins left="0.7" right="0.7" top="0.75" bottom="0.75" header="0.3" footer="0.3"/>
  <pageSetup orientation="portrait" r:id="rId1"/>
  <legacyDrawing r:id="rId2"/>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D2522-2F54-9C48-934A-B3CEDA10F7AB}">
  <dimension ref="A1:T102"/>
  <sheetViews>
    <sheetView topLeftCell="D11" zoomScale="90" zoomScaleNormal="90" workbookViewId="0">
      <selection activeCell="G44" sqref="G4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0" ht="25.5" customHeight="1">
      <c r="A1" t="str">
        <f ca="1">UPPER(TEXT((1&amp;LEFT(B$1,3))-1,"MMM"))&amp;"-"&amp;UPPER(TEXT((1&amp;RIGHT(LEFT(B$1,7),3))-1,"MMM"))&amp;" "&amp;RIGHT(B$1,4)</f>
        <v>OCT-NOV C 24</v>
      </c>
      <c r="B1" s="730" t="str">
        <f ca="1">MID(CELL("filename",B1),FIND("]",CELL("filename",B1))+1,255)</f>
        <v>NOV-DEC 24</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ROUND(O5+O40+O25+IF(O41&lt;0,0,O41)+O42+O4,2) &amp; " / " &amp; "£" &amp; E44</f>
        <v>£3825.55 / £5458.42</v>
      </c>
      <c r="G3" s="732">
        <v>45621</v>
      </c>
      <c r="H3" s="732"/>
      <c r="I3" s="732">
        <f>G3+7</f>
        <v>45628</v>
      </c>
      <c r="J3" s="732"/>
      <c r="K3" s="732">
        <f>I3+7</f>
        <v>45635</v>
      </c>
      <c r="L3" s="732"/>
      <c r="M3" s="732">
        <f>K3+7</f>
        <v>45642</v>
      </c>
      <c r="N3" s="732"/>
      <c r="O3" s="308">
        <v>0</v>
      </c>
      <c r="P3" s="325" t="s">
        <v>1224</v>
      </c>
      <c r="Q3" s="282"/>
    </row>
    <row r="4" spans="1:20" ht="15" customHeight="1">
      <c r="B4" s="727" t="str">
        <f>_xlfn.CONCAT("Expenses - 50 - ",G44*0.5," / Actual = ",ROUND(D5,2)," (",ROUND((D5/G44)*100,2),")")</f>
        <v>Expenses - 50 - 2729.21 / Actual = 2935.47 (53.78)</v>
      </c>
      <c r="C4" s="727"/>
      <c r="D4" s="727"/>
      <c r="E4" s="727"/>
      <c r="F4" s="318"/>
      <c r="G4" s="243"/>
      <c r="H4" s="304">
        <f>SUM(H5:H42)</f>
        <v>1329.69</v>
      </c>
      <c r="I4" s="243"/>
      <c r="J4" s="304">
        <f>SUM(J5:J42)</f>
        <v>2576.9699999999998</v>
      </c>
      <c r="K4" s="243"/>
      <c r="L4" s="304">
        <f>SUM(L5:L42)</f>
        <v>0</v>
      </c>
      <c r="M4" s="243"/>
      <c r="N4" s="304">
        <f>SUM(N5:N42)-SUM(N27:N33)</f>
        <v>0</v>
      </c>
      <c r="O4" s="308">
        <f>IF(H43&lt;&gt;"PAID",H4,0)+IF(J43&lt;&gt;"PAID",J4,0)+IF(L43&lt;&gt;"PAID",L4,0)+IF(N43&lt;&gt;"PAID",N4,0)</f>
        <v>3906.66</v>
      </c>
      <c r="P4" s="309" t="s">
        <v>973</v>
      </c>
      <c r="Q4" s="408">
        <f>O4+402.34</f>
        <v>4309</v>
      </c>
      <c r="R4" s="243">
        <f>2761.15-SUM(O4:O5)</f>
        <v>-2107.9699999999998</v>
      </c>
      <c r="S4" s="243"/>
    </row>
    <row r="5" spans="1:20" ht="15" customHeight="1">
      <c r="B5" s="733" t="str">
        <f>IF(D5&gt;E$44*0.5,ROUND(D5-E$44*0.5,2) &amp; " Over",ROUND(E$44*0.5-D5,2) &amp; " Under")</f>
        <v>206.26 Over</v>
      </c>
      <c r="C5" s="733"/>
      <c r="D5" s="761">
        <f>ROUND(SUM(F6:F22),2)</f>
        <v>2935.47</v>
      </c>
      <c r="E5" s="761"/>
      <c r="F5" s="321"/>
      <c r="G5" s="284"/>
      <c r="H5" s="306"/>
      <c r="I5" s="390"/>
      <c r="J5" s="306"/>
      <c r="K5" s="390"/>
      <c r="L5" s="306"/>
      <c r="M5" s="79"/>
      <c r="N5" s="305"/>
      <c r="O5" s="285">
        <f>SUMIF(O6:O22,"&gt;0")</f>
        <v>962.46</v>
      </c>
      <c r="P5" s="285" t="s">
        <v>892</v>
      </c>
      <c r="Q5" s="282">
        <f>SUM(Q6:Q22)</f>
        <v>16.490000000000009</v>
      </c>
      <c r="R5" s="243"/>
    </row>
    <row r="6" spans="1:20" ht="15" customHeight="1">
      <c r="B6" s="734" t="str">
        <f>"50%: " &amp; E$44*0.5</f>
        <v>50%: 2729.21</v>
      </c>
      <c r="C6" s="734" t="str">
        <f>ROUND((D5/E$44)*100,2) &amp; "%: " &amp;D5</f>
        <v>53.78%: 2935.47</v>
      </c>
      <c r="D6" s="13" t="s">
        <v>805</v>
      </c>
      <c r="E6" s="523">
        <v>0</v>
      </c>
      <c r="F6" s="528">
        <f>150</f>
        <v>150</v>
      </c>
      <c r="H6" s="304"/>
      <c r="J6" s="305">
        <f>30.02+30.04</f>
        <v>60.06</v>
      </c>
      <c r="L6" s="305"/>
      <c r="N6" s="305"/>
      <c r="O6" s="274">
        <f>SUM(E6:F6)-SUM(G6:N6)</f>
        <v>89.94</v>
      </c>
      <c r="P6" s="274" t="str">
        <f t="shared" ref="P6:P22" si="0">D6</f>
        <v>Car Petrol / commuting</v>
      </c>
      <c r="Q6" s="282">
        <f>IF(O6&lt;0,O6*-1,0)</f>
        <v>0</v>
      </c>
      <c r="R6" s="243"/>
    </row>
    <row r="7" spans="1:20" ht="15" customHeight="1">
      <c r="B7" s="734"/>
      <c r="C7" s="734"/>
      <c r="D7" s="13" t="s">
        <v>169</v>
      </c>
      <c r="E7" s="523">
        <v>0</v>
      </c>
      <c r="F7" s="523">
        <f>400-44</f>
        <v>356</v>
      </c>
      <c r="H7" s="304">
        <f>19.35+6.8</f>
        <v>26.150000000000002</v>
      </c>
      <c r="J7" s="305">
        <f>9.4+11.9+27+0.89+4.3+50.18+19.89+9.88+10.7+6.1+2.15+13+2.7+8.65+3+64.29+24.67+21.8</f>
        <v>290.5</v>
      </c>
      <c r="L7" s="305"/>
      <c r="N7" s="305"/>
      <c r="O7" s="274">
        <f>SUM(E7:F7)-SUM(G7:N7)</f>
        <v>39.350000000000023</v>
      </c>
      <c r="P7" s="274" t="str">
        <f t="shared" si="0"/>
        <v>Food</v>
      </c>
      <c r="Q7" s="282">
        <f>IF(O7&lt;0,O7*-1,0)</f>
        <v>0</v>
      </c>
      <c r="R7" s="243"/>
    </row>
    <row r="8" spans="1:20" ht="15" customHeight="1">
      <c r="B8" s="734"/>
      <c r="C8" s="734"/>
      <c r="D8" s="13" t="s">
        <v>153</v>
      </c>
      <c r="E8" s="523">
        <v>0</v>
      </c>
      <c r="F8" s="523">
        <f>100</f>
        <v>100</v>
      </c>
      <c r="H8" s="305"/>
      <c r="J8" s="305">
        <f>7.56+33.55+31.2+3.58+10+4.83</f>
        <v>90.72</v>
      </c>
      <c r="L8" s="305"/>
      <c r="N8" s="305"/>
      <c r="O8" s="274">
        <f>SUM(E8:F8)-SUM(G8:N8)</f>
        <v>9.2800000000000011</v>
      </c>
      <c r="P8" s="274" t="str">
        <f t="shared" si="0"/>
        <v>Luna</v>
      </c>
      <c r="Q8" s="282">
        <f>IF(O8&lt;0,O8*-1,0)</f>
        <v>0</v>
      </c>
    </row>
    <row r="9" spans="1:20" ht="15" customHeight="1">
      <c r="B9" s="734"/>
      <c r="C9" s="734"/>
      <c r="D9" s="13" t="s">
        <v>1079</v>
      </c>
      <c r="E9" s="523">
        <v>0</v>
      </c>
      <c r="F9" s="523">
        <f>30</f>
        <v>30</v>
      </c>
      <c r="H9" s="305"/>
      <c r="J9" s="305">
        <f>5.49+8.99+9.68</f>
        <v>24.16</v>
      </c>
      <c r="L9" s="305"/>
      <c r="N9" s="305"/>
      <c r="O9" s="274">
        <f>SUM(E9:F9)-SUM(G9:N9)</f>
        <v>5.84</v>
      </c>
      <c r="P9" s="274" t="str">
        <f t="shared" si="0"/>
        <v>Creamy</v>
      </c>
      <c r="Q9" s="282">
        <f>IF(O9&lt;0,O9*-1,0)</f>
        <v>0</v>
      </c>
      <c r="R9" s="243"/>
    </row>
    <row r="10" spans="1:20" ht="15" customHeight="1">
      <c r="B10" s="734"/>
      <c r="C10" s="734"/>
      <c r="D10" s="13" t="s">
        <v>189</v>
      </c>
      <c r="E10" s="735">
        <f>SUM(F11:F22)</f>
        <v>2299.4700000000003</v>
      </c>
      <c r="F10" s="735"/>
      <c r="G10" s="243"/>
      <c r="H10" s="305"/>
      <c r="J10" s="305"/>
      <c r="L10" s="305"/>
      <c r="N10" s="305"/>
      <c r="O10" s="274"/>
      <c r="P10" s="274" t="str">
        <f t="shared" si="0"/>
        <v>Direct debits</v>
      </c>
      <c r="Q10" s="282"/>
      <c r="R10" s="243"/>
    </row>
    <row r="11" spans="1:20" ht="15" customHeight="1" outlineLevel="1">
      <c r="B11" s="734"/>
      <c r="C11" s="734"/>
      <c r="D11" s="201" t="s">
        <v>595</v>
      </c>
      <c r="E11" s="523">
        <v>0</v>
      </c>
      <c r="F11" s="523">
        <v>838</v>
      </c>
      <c r="G11">
        <v>838</v>
      </c>
      <c r="H11" s="304"/>
      <c r="J11" s="305"/>
      <c r="L11" s="305"/>
      <c r="N11" s="305"/>
      <c r="O11" s="274">
        <f t="shared" ref="O11:O22" si="1">SUM(E11:F11)-SUM(G11:N11)</f>
        <v>0</v>
      </c>
      <c r="P11" s="274" t="str">
        <f t="shared" si="0"/>
        <v>Mortgage</v>
      </c>
      <c r="Q11" s="282">
        <f t="shared" ref="Q11:Q22" si="2">IF(O11&lt;0,O11*-1,0)</f>
        <v>0</v>
      </c>
      <c r="R11" s="243"/>
      <c r="S11" s="11"/>
    </row>
    <row r="12" spans="1:20" ht="15" customHeight="1" outlineLevel="1">
      <c r="B12" s="734"/>
      <c r="C12" s="734"/>
      <c r="D12" s="201" t="s">
        <v>596</v>
      </c>
      <c r="E12" s="523">
        <v>0</v>
      </c>
      <c r="F12" s="523">
        <v>154</v>
      </c>
      <c r="G12">
        <v>154</v>
      </c>
      <c r="H12" s="305"/>
      <c r="J12" s="305"/>
      <c r="L12" s="305"/>
      <c r="N12" s="305"/>
      <c r="O12" s="274">
        <f t="shared" si="1"/>
        <v>0</v>
      </c>
      <c r="P12" s="274" t="str">
        <f t="shared" si="0"/>
        <v>Council tax</v>
      </c>
      <c r="Q12" s="282">
        <f t="shared" si="2"/>
        <v>0</v>
      </c>
      <c r="S12" s="349"/>
    </row>
    <row r="13" spans="1:20" ht="15" customHeight="1" outlineLevel="1">
      <c r="B13" s="734"/>
      <c r="C13" s="734"/>
      <c r="D13" s="201" t="s">
        <v>1002</v>
      </c>
      <c r="E13" s="523">
        <v>0</v>
      </c>
      <c r="F13" s="523">
        <f>34+111.75</f>
        <v>145.75</v>
      </c>
      <c r="G13">
        <f>34+111.75</f>
        <v>145.75</v>
      </c>
      <c r="H13" s="305"/>
      <c r="J13" s="305"/>
      <c r="L13" s="305"/>
      <c r="N13" s="305"/>
      <c r="O13" s="274">
        <f t="shared" si="1"/>
        <v>0</v>
      </c>
      <c r="P13" s="274" t="str">
        <f t="shared" si="0"/>
        <v>Utilities (G,W,E,HTB)</v>
      </c>
      <c r="Q13" s="282">
        <f t="shared" si="2"/>
        <v>0</v>
      </c>
    </row>
    <row r="14" spans="1:20" ht="15" customHeight="1" outlineLevel="1">
      <c r="B14" s="734"/>
      <c r="C14" s="734"/>
      <c r="D14" s="201" t="s">
        <v>996</v>
      </c>
      <c r="E14" s="523">
        <v>0</v>
      </c>
      <c r="F14" s="523">
        <v>22.7</v>
      </c>
      <c r="G14">
        <v>22.7</v>
      </c>
      <c r="H14" s="305"/>
      <c r="J14" s="305"/>
      <c r="L14" s="305"/>
      <c r="N14" s="305"/>
      <c r="O14" s="274">
        <f t="shared" si="1"/>
        <v>0</v>
      </c>
      <c r="P14" s="274" t="str">
        <f t="shared" si="0"/>
        <v>Home Insurance</v>
      </c>
      <c r="Q14" s="282">
        <f t="shared" si="2"/>
        <v>0</v>
      </c>
    </row>
    <row r="15" spans="1:20" ht="15" customHeight="1" outlineLevel="1">
      <c r="B15" s="734"/>
      <c r="C15" s="734"/>
      <c r="D15" s="201" t="s">
        <v>1056</v>
      </c>
      <c r="E15" s="523">
        <v>0</v>
      </c>
      <c r="F15" s="523">
        <f>9.99+23.99+20.99</f>
        <v>54.97</v>
      </c>
      <c r="G15">
        <f>20.99+23.99</f>
        <v>44.98</v>
      </c>
      <c r="H15" s="305"/>
      <c r="J15" s="305"/>
      <c r="L15" s="305"/>
      <c r="N15" s="305"/>
      <c r="O15" s="274">
        <f t="shared" si="1"/>
        <v>9.990000000000002</v>
      </c>
      <c r="P15" s="274" t="str">
        <f t="shared" si="0"/>
        <v>Pet Health / Insurance</v>
      </c>
      <c r="Q15" s="282">
        <f t="shared" si="2"/>
        <v>0</v>
      </c>
    </row>
    <row r="16" spans="1:20" ht="15" customHeight="1" outlineLevel="1">
      <c r="B16" s="734"/>
      <c r="C16" s="734"/>
      <c r="D16" s="201" t="s">
        <v>1057</v>
      </c>
      <c r="E16" s="523">
        <v>0</v>
      </c>
      <c r="F16" s="523">
        <f>30.8+62.08</f>
        <v>92.88</v>
      </c>
      <c r="G16">
        <v>92.88</v>
      </c>
      <c r="H16" s="305"/>
      <c r="I16" s="11"/>
      <c r="J16" s="305"/>
      <c r="L16" s="305"/>
      <c r="N16" s="305"/>
      <c r="O16" s="274">
        <f t="shared" si="1"/>
        <v>0</v>
      </c>
      <c r="P16" s="274" t="str">
        <f t="shared" si="0"/>
        <v>Life / Income Insurance</v>
      </c>
      <c r="Q16" s="282">
        <f t="shared" si="2"/>
        <v>0</v>
      </c>
    </row>
    <row r="17" spans="2:20" ht="15" customHeight="1" outlineLevel="1">
      <c r="B17" s="734"/>
      <c r="C17" s="734"/>
      <c r="D17" s="201" t="s">
        <v>602</v>
      </c>
      <c r="E17" s="523">
        <v>0</v>
      </c>
      <c r="F17" s="523">
        <f>34</f>
        <v>34</v>
      </c>
      <c r="G17">
        <v>34</v>
      </c>
      <c r="H17" s="305"/>
      <c r="J17" s="305"/>
      <c r="L17" s="305"/>
      <c r="N17" s="305"/>
      <c r="O17" s="274">
        <f t="shared" si="1"/>
        <v>0</v>
      </c>
      <c r="P17" s="274" t="str">
        <f t="shared" si="0"/>
        <v>Broadband / TV</v>
      </c>
      <c r="Q17" s="282">
        <f t="shared" si="2"/>
        <v>0</v>
      </c>
    </row>
    <row r="18" spans="2:20" ht="15" customHeight="1" outlineLevel="1">
      <c r="B18" s="734"/>
      <c r="C18" s="734"/>
      <c r="D18" s="201" t="s">
        <v>788</v>
      </c>
      <c r="E18" s="523">
        <v>0</v>
      </c>
      <c r="F18" s="523">
        <v>26</v>
      </c>
      <c r="H18" s="305"/>
      <c r="J18" s="305"/>
      <c r="L18" s="305"/>
      <c r="N18" s="305"/>
      <c r="O18" s="274">
        <f t="shared" si="1"/>
        <v>26</v>
      </c>
      <c r="P18" s="274" t="str">
        <f t="shared" si="0"/>
        <v>Matt Phone</v>
      </c>
      <c r="Q18" s="282">
        <f t="shared" si="2"/>
        <v>0</v>
      </c>
    </row>
    <row r="19" spans="2:20" ht="15" customHeight="1" outlineLevel="1">
      <c r="B19" s="734"/>
      <c r="C19" s="734"/>
      <c r="D19" s="201" t="s">
        <v>690</v>
      </c>
      <c r="E19" s="523">
        <v>0</v>
      </c>
      <c r="F19" s="523">
        <f>11.81+52.96+270+487</f>
        <v>821.77</v>
      </c>
      <c r="G19">
        <f>48.2+14</f>
        <v>62.2</v>
      </c>
      <c r="H19" s="305"/>
      <c r="J19" s="305"/>
      <c r="L19" s="305"/>
      <c r="N19" s="305"/>
      <c r="O19" s="274">
        <f t="shared" si="1"/>
        <v>759.56999999999994</v>
      </c>
      <c r="P19" s="274" t="str">
        <f t="shared" si="0"/>
        <v>Cars</v>
      </c>
      <c r="Q19" s="282">
        <f t="shared" si="2"/>
        <v>0</v>
      </c>
    </row>
    <row r="20" spans="2:20" ht="15" customHeight="1" outlineLevel="1">
      <c r="B20" s="734"/>
      <c r="C20" s="734"/>
      <c r="D20" s="201" t="s">
        <v>944</v>
      </c>
      <c r="E20" s="523">
        <v>0</v>
      </c>
      <c r="F20" s="523">
        <v>15</v>
      </c>
      <c r="G20">
        <v>15</v>
      </c>
      <c r="H20" s="305"/>
      <c r="J20" s="305"/>
      <c r="L20" s="305"/>
      <c r="N20" s="305"/>
      <c r="O20" s="274">
        <f t="shared" si="1"/>
        <v>0</v>
      </c>
      <c r="P20" s="274" t="str">
        <f t="shared" si="0"/>
        <v>Windows</v>
      </c>
      <c r="Q20" s="282">
        <f t="shared" si="2"/>
        <v>0</v>
      </c>
      <c r="R20" s="243"/>
    </row>
    <row r="21" spans="2:20" ht="15" customHeight="1" outlineLevel="1">
      <c r="B21" s="7"/>
      <c r="C21" s="7"/>
      <c r="D21" s="201" t="s">
        <v>2042</v>
      </c>
      <c r="E21" s="523">
        <v>0</v>
      </c>
      <c r="F21" s="523">
        <f>29.95+22.49</f>
        <v>52.44</v>
      </c>
      <c r="G21">
        <v>29.95</v>
      </c>
      <c r="H21" s="305"/>
      <c r="J21" s="305"/>
      <c r="L21" s="305"/>
      <c r="N21" s="305"/>
      <c r="O21" s="274">
        <f t="shared" si="1"/>
        <v>22.49</v>
      </c>
      <c r="P21" s="274" t="str">
        <f t="shared" si="0"/>
        <v>Health + Wellness</v>
      </c>
      <c r="Q21" s="282">
        <f t="shared" si="2"/>
        <v>0</v>
      </c>
      <c r="R21" s="243"/>
    </row>
    <row r="22" spans="2:20" ht="15" customHeight="1" outlineLevel="1">
      <c r="B22" s="7"/>
      <c r="C22" s="7"/>
      <c r="D22" s="201" t="s">
        <v>781</v>
      </c>
      <c r="E22" s="523">
        <v>0</v>
      </c>
      <c r="F22" s="523">
        <f>7.99+13+4.99+0.99+2.99+12</f>
        <v>41.96</v>
      </c>
      <c r="G22" s="11">
        <f>8.99+9.99+13+12+1.49+7.99+4.99</f>
        <v>58.45000000000001</v>
      </c>
      <c r="H22" s="305"/>
      <c r="J22" s="305"/>
      <c r="L22" s="305"/>
      <c r="N22" s="305"/>
      <c r="O22" s="274">
        <f t="shared" si="1"/>
        <v>-16.490000000000009</v>
      </c>
      <c r="P22" s="274" t="str">
        <f t="shared" si="0"/>
        <v>Subscriptions</v>
      </c>
      <c r="Q22" s="282">
        <f t="shared" si="2"/>
        <v>16.490000000000009</v>
      </c>
      <c r="R22" s="243"/>
    </row>
    <row r="23" spans="2:20" ht="15" customHeight="1">
      <c r="B23" s="118"/>
      <c r="C23" s="118"/>
      <c r="D23" s="188"/>
      <c r="H23" s="305"/>
      <c r="J23" s="305"/>
      <c r="L23" s="305"/>
      <c r="N23" s="305"/>
      <c r="O23" s="273"/>
      <c r="P23" s="273"/>
      <c r="Q23" s="282"/>
    </row>
    <row r="24" spans="2:20" ht="15" customHeight="1">
      <c r="B24" s="736" t="str">
        <f>_xlfn.CONCAT("Savings - 20 - ",G44*0.2," / Actual = ",D25," (",ROUND((D25/G44)*100,2),")")</f>
        <v>Savings - 20 - 1091.684 / Actual = 1360 (24.92)</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1360</v>
      </c>
      <c r="E25" s="759"/>
      <c r="F25" s="319"/>
      <c r="H25" s="305"/>
      <c r="J25" s="305"/>
      <c r="L25" s="305"/>
      <c r="N25" s="305"/>
      <c r="O25" s="285">
        <f>O26</f>
        <v>-1040.54</v>
      </c>
      <c r="P25" s="285" t="s">
        <v>895</v>
      </c>
      <c r="Q25" s="282">
        <f>SUM(Q26:Q26)</f>
        <v>0</v>
      </c>
    </row>
    <row r="26" spans="2:20" ht="15" customHeight="1" outlineLevel="1">
      <c r="B26" s="7" t="str">
        <f>"20% : " &amp; E$44*0.2</f>
        <v>20% : 1091.684</v>
      </c>
      <c r="C26" s="7" t="str">
        <f>"20% : " &amp; E$44*0.2</f>
        <v>20% : 1091.684</v>
      </c>
      <c r="D26" s="300" t="s">
        <v>183</v>
      </c>
      <c r="E26" s="523">
        <v>0</v>
      </c>
      <c r="F26" s="523">
        <f>SUM(F27:F37)</f>
        <v>1360</v>
      </c>
      <c r="H26" s="305"/>
      <c r="J26" s="305"/>
      <c r="L26" s="305"/>
      <c r="N26" s="305"/>
      <c r="O26" s="274">
        <f>SUM(O27:O37)</f>
        <v>-1040.54</v>
      </c>
      <c r="P26" s="274" t="str">
        <f t="shared" ref="P26:P37" si="3">D26</f>
        <v>Savings</v>
      </c>
      <c r="Q26" s="282">
        <v>0</v>
      </c>
      <c r="R26" s="495"/>
      <c r="S26" s="243"/>
    </row>
    <row r="27" spans="2:20" ht="15" customHeight="1" outlineLevel="1">
      <c r="B27" s="7"/>
      <c r="C27" s="7"/>
      <c r="D27" s="300" t="s">
        <v>1485</v>
      </c>
      <c r="E27" s="523">
        <v>0</v>
      </c>
      <c r="F27" s="523">
        <v>40</v>
      </c>
      <c r="H27" s="305"/>
      <c r="J27" s="305"/>
      <c r="L27" s="362"/>
      <c r="N27" s="315"/>
      <c r="O27" s="274">
        <f>SUM(E27:F27)-SUM(G27:N27)</f>
        <v>40</v>
      </c>
      <c r="P27" s="274" t="str">
        <f t="shared" si="3"/>
        <v>MOT / Service</v>
      </c>
      <c r="Q27" s="282"/>
      <c r="R27" s="243"/>
    </row>
    <row r="28" spans="2:20" ht="15" customHeight="1" outlineLevel="1">
      <c r="B28" s="7"/>
      <c r="C28" s="7"/>
      <c r="D28" s="300" t="s">
        <v>690</v>
      </c>
      <c r="E28" s="523">
        <v>0</v>
      </c>
      <c r="F28" s="523">
        <f>-468.84-232.5</f>
        <v>-701.33999999999992</v>
      </c>
      <c r="H28" s="305"/>
      <c r="J28" s="305"/>
      <c r="L28" s="362"/>
      <c r="N28" s="315"/>
      <c r="O28" s="274">
        <f>SUM(E28:F28)-SUM(G28:N28)</f>
        <v>-701.33999999999992</v>
      </c>
      <c r="P28" s="274" t="str">
        <f t="shared" si="3"/>
        <v>Cars</v>
      </c>
      <c r="Q28" s="282"/>
      <c r="R28" s="243"/>
    </row>
    <row r="29" spans="2:20" ht="15" customHeight="1" outlineLevel="1">
      <c r="B29" s="7"/>
      <c r="C29" s="7"/>
      <c r="D29" s="300" t="s">
        <v>590</v>
      </c>
      <c r="E29" s="523">
        <v>0</v>
      </c>
      <c r="F29" s="523">
        <f>165+10.99+8.99+2.85+29.95+20+10.06+245-0.17+35</f>
        <v>527.67000000000007</v>
      </c>
      <c r="G29" s="305">
        <v>100</v>
      </c>
      <c r="J29" s="305"/>
      <c r="L29" s="362"/>
      <c r="N29" s="315"/>
      <c r="O29" s="274">
        <f>SUM(E29:F29)-SUM(G29:N29)-Q44</f>
        <v>411.18000000000006</v>
      </c>
      <c r="P29" s="274" t="str">
        <f t="shared" si="3"/>
        <v>Contingency</v>
      </c>
      <c r="Q29" s="282"/>
      <c r="T29" s="243"/>
    </row>
    <row r="30" spans="2:20" ht="15" customHeight="1" outlineLevel="1">
      <c r="B30" s="7"/>
      <c r="C30" s="7"/>
      <c r="D30" s="300" t="s">
        <v>1486</v>
      </c>
      <c r="E30" s="523">
        <v>0</v>
      </c>
      <c r="F30" s="523">
        <v>13.67</v>
      </c>
      <c r="H30" s="305"/>
      <c r="J30" s="305"/>
      <c r="L30" s="362"/>
      <c r="N30" s="315"/>
      <c r="O30" s="274">
        <f>SUM(E30:F30)-SUM(G30:N30)</f>
        <v>13.67</v>
      </c>
      <c r="P30" s="274" t="str">
        <f t="shared" si="3"/>
        <v>TV</v>
      </c>
      <c r="Q30" s="282"/>
    </row>
    <row r="31" spans="2:20" ht="15" customHeight="1" outlineLevel="1">
      <c r="B31" s="7"/>
      <c r="C31" s="7"/>
      <c r="D31" s="300" t="s">
        <v>1296</v>
      </c>
      <c r="E31" s="523">
        <v>0</v>
      </c>
      <c r="F31" s="523">
        <v>95</v>
      </c>
      <c r="H31" s="305"/>
      <c r="J31" s="305"/>
      <c r="L31" s="362"/>
      <c r="N31" s="315"/>
      <c r="O31" s="274">
        <f>SUM(E31:F31)-SUM(G31:N31)</f>
        <v>95</v>
      </c>
      <c r="P31" s="274" t="str">
        <f t="shared" si="3"/>
        <v>Offset</v>
      </c>
      <c r="Q31" s="282"/>
    </row>
    <row r="32" spans="2:20" ht="15" customHeight="1" outlineLevel="1">
      <c r="B32" s="7"/>
      <c r="C32" s="7"/>
      <c r="D32" s="300" t="s">
        <v>354</v>
      </c>
      <c r="E32" s="523">
        <v>0</v>
      </c>
      <c r="F32" s="523">
        <f>650</f>
        <v>650</v>
      </c>
      <c r="H32">
        <f>1310</f>
        <v>1310</v>
      </c>
      <c r="J32" s="305"/>
      <c r="L32" s="362"/>
      <c r="N32" s="315"/>
      <c r="O32" s="274">
        <f>SUM(E32:F32)-SUM(H32:N32)</f>
        <v>-660</v>
      </c>
      <c r="P32" s="274" t="str">
        <f t="shared" si="3"/>
        <v>Holiday</v>
      </c>
      <c r="Q32" s="282"/>
    </row>
    <row r="33" spans="2:19" ht="15" customHeight="1" outlineLevel="1">
      <c r="B33" s="7"/>
      <c r="C33" s="7"/>
      <c r="D33" s="300" t="s">
        <v>701</v>
      </c>
      <c r="E33" s="523">
        <v>0</v>
      </c>
      <c r="F33" s="523">
        <f>250+35+175</f>
        <v>460</v>
      </c>
      <c r="G33">
        <v>30</v>
      </c>
      <c r="J33" s="305">
        <f>159.5+216.99+19.99</f>
        <v>396.48</v>
      </c>
      <c r="L33" s="362"/>
      <c r="N33" s="315"/>
      <c r="O33" s="274">
        <f>SUM(E33:F33)-SUM(G33:N33)</f>
        <v>33.519999999999982</v>
      </c>
      <c r="P33" s="274" t="str">
        <f t="shared" si="3"/>
        <v>Gift</v>
      </c>
      <c r="Q33" s="282"/>
    </row>
    <row r="34" spans="2:19" ht="15" customHeight="1" outlineLevel="1">
      <c r="B34" s="7"/>
      <c r="C34" s="7"/>
      <c r="D34" s="300" t="s">
        <v>1297</v>
      </c>
      <c r="E34" s="523">
        <v>0</v>
      </c>
      <c r="F34" s="523">
        <f>50+110+40</f>
        <v>200</v>
      </c>
      <c r="H34" s="305"/>
      <c r="J34">
        <v>150</v>
      </c>
      <c r="L34" s="362"/>
      <c r="N34" s="315"/>
      <c r="O34" s="274">
        <f>SUM(E34:F34)-SUM(G34:N34)</f>
        <v>50</v>
      </c>
      <c r="P34" s="274" t="str">
        <f t="shared" si="3"/>
        <v>Skin</v>
      </c>
      <c r="Q34" s="282"/>
    </row>
    <row r="35" spans="2:19" ht="15" customHeight="1" outlineLevel="1">
      <c r="B35" s="7"/>
      <c r="C35" s="7"/>
      <c r="D35" s="300" t="s">
        <v>1391</v>
      </c>
      <c r="E35" s="523">
        <v>0</v>
      </c>
      <c r="F35" s="523">
        <v>75</v>
      </c>
      <c r="H35" s="305"/>
      <c r="J35" s="305">
        <f>34.87+3+65.1+19.49+24.48+10.48+110.98+19.99+74.83+34.91+31.03-31.59</f>
        <v>397.57</v>
      </c>
      <c r="L35" s="362"/>
      <c r="N35" s="315"/>
      <c r="O35" s="274">
        <f>SUM(E35:F35)-SUM(G35:N35)</f>
        <v>-322.57</v>
      </c>
      <c r="P35" s="274" t="str">
        <f t="shared" si="3"/>
        <v>Avios</v>
      </c>
      <c r="Q35" s="282"/>
    </row>
    <row r="36" spans="2:19" ht="15" customHeight="1" outlineLevel="1">
      <c r="B36" s="7"/>
      <c r="C36" s="7"/>
      <c r="D36" s="300" t="s">
        <v>1808</v>
      </c>
      <c r="E36" s="523">
        <v>0</v>
      </c>
      <c r="F36" s="523">
        <v>0</v>
      </c>
      <c r="H36" s="305"/>
      <c r="J36" s="305"/>
      <c r="L36" s="362"/>
      <c r="N36" s="315"/>
      <c r="O36" s="274">
        <f>SUM(E36:F36)-SUM(G36:N36)</f>
        <v>0</v>
      </c>
      <c r="P36" s="274" t="str">
        <f t="shared" si="3"/>
        <v>Prime</v>
      </c>
      <c r="Q36" s="282"/>
    </row>
    <row r="37" spans="2:19" ht="15" customHeight="1" outlineLevel="1">
      <c r="B37" s="7"/>
      <c r="C37" s="7"/>
      <c r="D37" s="300" t="s">
        <v>1589</v>
      </c>
      <c r="E37" s="523">
        <v>0</v>
      </c>
      <c r="F37" s="523">
        <v>0</v>
      </c>
      <c r="H37" s="305"/>
      <c r="J37" s="305"/>
      <c r="L37" s="362"/>
      <c r="N37" s="315"/>
      <c r="O37" s="274">
        <f>SUM(E37:F37)-SUM(G37:N37)</f>
        <v>0</v>
      </c>
      <c r="P37" s="274" t="str">
        <f t="shared" si="3"/>
        <v>Amex</v>
      </c>
      <c r="Q37" s="282"/>
    </row>
    <row r="38" spans="2:19" ht="15" customHeight="1">
      <c r="B38" s="118"/>
      <c r="C38" s="118"/>
      <c r="H38" s="305"/>
      <c r="J38" s="305"/>
      <c r="L38" s="305"/>
      <c r="N38" s="305"/>
      <c r="O38" s="273"/>
      <c r="P38" s="273"/>
      <c r="Q38" s="282"/>
      <c r="R38" s="243"/>
    </row>
    <row r="39" spans="2:19" ht="15" customHeight="1">
      <c r="B39" s="727" t="str">
        <f>_xlfn.CONCAT("Wants - 30 - ",G44*0.3," / Actual = ",D40," (",ROUND((D40/G44)*100,2),")")</f>
        <v>Wants - 30 - 1637.526 / Actual = 1162.95 (21.31)</v>
      </c>
      <c r="C39" s="727"/>
      <c r="D39" s="727"/>
      <c r="E39" s="727"/>
      <c r="F39" s="318"/>
      <c r="H39" s="305"/>
      <c r="J39" s="305"/>
      <c r="L39" s="305"/>
      <c r="N39" s="305"/>
      <c r="O39" s="273"/>
      <c r="P39" s="273"/>
      <c r="Q39" s="282"/>
      <c r="S39" s="243"/>
    </row>
    <row r="40" spans="2:19" ht="15" customHeight="1">
      <c r="B40" s="727" t="str">
        <f>IF(ISNUMBER((SEARCH("Over",B$5))),"Operating under budget","Operating over budget")</f>
        <v>Operating under budget</v>
      </c>
      <c r="C40" s="727"/>
      <c r="D40" s="759">
        <f>(E$44-D5-D25-E43)</f>
        <v>1162.9500000000003</v>
      </c>
      <c r="E40" s="727"/>
      <c r="F40" s="319">
        <f>F41</f>
        <v>553.59000000000026</v>
      </c>
      <c r="H40" s="305"/>
      <c r="J40" s="305"/>
      <c r="L40" s="305"/>
      <c r="N40" s="305"/>
      <c r="O40" s="285">
        <f>0</f>
        <v>0</v>
      </c>
      <c r="P40" s="285" t="s">
        <v>899</v>
      </c>
      <c r="Q40" s="282">
        <f>SUM(Q41:Q41)</f>
        <v>0</v>
      </c>
      <c r="S40" s="243"/>
    </row>
    <row r="41" spans="2:19" ht="18" outlineLevel="1">
      <c r="B41" s="7"/>
      <c r="C41" s="284"/>
      <c r="D41" s="13" t="s">
        <v>922</v>
      </c>
      <c r="E41" s="523">
        <v>0</v>
      </c>
      <c r="F41" s="523">
        <f>D40-F42</f>
        <v>553.59000000000026</v>
      </c>
      <c r="G41" s="11">
        <f>1.1+3.86</f>
        <v>4.96</v>
      </c>
      <c r="H41">
        <v>11</v>
      </c>
      <c r="J41">
        <f>108.3+219+12.8+12.14+2.95+2.25+0.8+(12+9.5+10+6.2+3.95+4.5)+6.99+25+4+0.99+38.35+20.7+22.84</f>
        <v>523.26</v>
      </c>
      <c r="N41" s="305"/>
      <c r="O41" s="274">
        <f>SUM(E41:F41)-SUM(G41:N41)</f>
        <v>14.370000000000232</v>
      </c>
      <c r="P41" s="274" t="str">
        <f>D41</f>
        <v>Matt Fun</v>
      </c>
      <c r="Q41" s="282">
        <f>IF(SUM(E41:F41)-SUM(G41:N41)&lt;=0,(SUM(E41:F41)-SUM(G41:N41))*-1,0)</f>
        <v>0</v>
      </c>
    </row>
    <row r="42" spans="2:19" ht="18" outlineLevel="1">
      <c r="B42" s="7"/>
      <c r="C42" s="284"/>
      <c r="D42" s="13" t="s">
        <v>152</v>
      </c>
      <c r="E42" s="523">
        <v>0</v>
      </c>
      <c r="F42" s="523">
        <f>40+148+77+60+33+90+30+60+44+55+20-47.64</f>
        <v>609.36</v>
      </c>
      <c r="G42" s="11"/>
      <c r="H42" s="306">
        <f>-29.99+-3.95+6.99+9.49</f>
        <v>-17.459999999999994</v>
      </c>
      <c r="J42" s="305">
        <f>84+148.5+77+90+30.33+60+55+16+65.99+17.4</f>
        <v>644.21999999999991</v>
      </c>
      <c r="L42" s="305"/>
      <c r="N42" s="305"/>
      <c r="O42" s="274">
        <f>SUM(E42:F42)-SUM(G42:N42)</f>
        <v>-17.399999999999864</v>
      </c>
      <c r="P42" s="274" t="str">
        <f>D42</f>
        <v>Kris</v>
      </c>
      <c r="Q42" s="271">
        <f>IF(F42-SUM(G42:N42)&lt;=0,(F42-SUM(G42:N42))*-1,0)</f>
        <v>17.399999999999864</v>
      </c>
    </row>
    <row r="43" spans="2:19">
      <c r="B43" s="118"/>
      <c r="C43" s="118"/>
      <c r="E43" s="523">
        <f>E26</f>
        <v>0</v>
      </c>
      <c r="G43" s="349"/>
      <c r="J43" s="7"/>
      <c r="L43" s="7"/>
      <c r="N43" s="7"/>
      <c r="O43" s="273"/>
      <c r="P43" s="273"/>
      <c r="Q43" s="282"/>
    </row>
    <row r="44" spans="2:19" ht="18">
      <c r="B44" s="728" t="s">
        <v>817</v>
      </c>
      <c r="C44" s="728"/>
      <c r="D44" s="728"/>
      <c r="E44" s="529">
        <f>G44+I44+K44+M44+N44+E43</f>
        <v>5458.42</v>
      </c>
      <c r="F44" s="530"/>
      <c r="G44" s="271">
        <f>(3475.58-10.06)+108.3+35+40+148+77+910+60+33+90+30+100+60+75+55+20+41.6+110</f>
        <v>5458.42</v>
      </c>
      <c r="H44" s="282"/>
      <c r="I44" s="271"/>
      <c r="J44" s="271"/>
      <c r="K44" s="271"/>
      <c r="L44" s="271"/>
      <c r="M44" s="271"/>
      <c r="N44" s="271"/>
      <c r="O44" s="314">
        <f>ROUND(O5+O40+O25+IF(O41&lt;0,0,O41)+O42+O4,2)</f>
        <v>3825.55</v>
      </c>
      <c r="P44" s="274"/>
      <c r="Q44" s="282">
        <f>SUM(Q40,Q25,Q5)</f>
        <v>16.490000000000009</v>
      </c>
    </row>
    <row r="45" spans="2:19" ht="18">
      <c r="B45" s="118"/>
      <c r="C45" s="7"/>
      <c r="D45" s="13" t="s">
        <v>1451</v>
      </c>
      <c r="G45" s="523"/>
      <c r="H45" s="243"/>
      <c r="L45" s="243"/>
    </row>
    <row r="46" spans="2:19" ht="14.4">
      <c r="B46" s="729"/>
      <c r="C46" s="729"/>
      <c r="D46" s="729"/>
      <c r="E46" s="729"/>
      <c r="F46" s="729"/>
      <c r="G46" s="729"/>
      <c r="H46" s="297"/>
      <c r="K46" s="729"/>
      <c r="L46" s="729"/>
      <c r="M46" s="729"/>
      <c r="N46" s="729"/>
      <c r="O46" s="729"/>
      <c r="P46" s="297"/>
    </row>
    <row r="47" spans="2:19" ht="15" customHeight="1">
      <c r="B47" s="726" t="s">
        <v>955</v>
      </c>
      <c r="C47" s="726"/>
      <c r="E47"/>
      <c r="F47" s="348"/>
      <c r="H47" s="243"/>
      <c r="K47" s="212"/>
      <c r="L47" s="212"/>
      <c r="M47" s="243"/>
      <c r="N47" s="118" t="s">
        <v>2064</v>
      </c>
      <c r="O47" s="316">
        <v>45641</v>
      </c>
      <c r="P47" s="7">
        <f ca="1">DATEDIF(O47,NOW(),"d")</f>
        <v>610</v>
      </c>
      <c r="Q47">
        <v>110</v>
      </c>
      <c r="R47" t="s">
        <v>1342</v>
      </c>
    </row>
    <row r="48" spans="2:19">
      <c r="B48" s="523"/>
      <c r="C48" s="38"/>
      <c r="F48" s="11"/>
      <c r="G48" s="531"/>
      <c r="I48" s="243"/>
      <c r="K48" s="11"/>
      <c r="L48" s="243"/>
      <c r="N48" s="483" t="s">
        <v>2061</v>
      </c>
      <c r="O48" s="42">
        <v>45641</v>
      </c>
      <c r="P48" s="7">
        <f ca="1">DATEDIF(O48,NOW(),"d")</f>
        <v>610</v>
      </c>
      <c r="Q48">
        <v>9.49</v>
      </c>
      <c r="R48" t="s">
        <v>1317</v>
      </c>
    </row>
    <row r="49" spans="2:18">
      <c r="E49" s="523">
        <v>24000</v>
      </c>
      <c r="G49" s="458"/>
      <c r="H49" s="445"/>
      <c r="I49" s="11"/>
      <c r="J49" s="243"/>
      <c r="L49" s="243"/>
      <c r="N49" s="358" t="s">
        <v>2062</v>
      </c>
      <c r="O49" s="316">
        <v>45641</v>
      </c>
      <c r="P49" s="7">
        <f ca="1">DATEDIF(O49,NOW(),"d")</f>
        <v>610</v>
      </c>
      <c r="Q49">
        <v>4.83</v>
      </c>
      <c r="R49" t="s">
        <v>2063</v>
      </c>
    </row>
    <row r="50" spans="2:18" ht="16.2" customHeight="1">
      <c r="E50" s="523">
        <v>12000</v>
      </c>
      <c r="G50" s="458"/>
      <c r="H50" s="243"/>
      <c r="I50" s="243"/>
      <c r="J50" s="213"/>
      <c r="K50" s="213"/>
      <c r="L50" s="243"/>
      <c r="O50" s="316"/>
    </row>
    <row r="51" spans="2:18">
      <c r="B51" s="532"/>
      <c r="E51" s="523">
        <v>10000</v>
      </c>
      <c r="F51" s="278"/>
      <c r="G51" s="243"/>
      <c r="H51" s="243"/>
      <c r="J51" s="243"/>
      <c r="L51" s="243"/>
      <c r="P51" s="56"/>
    </row>
    <row r="52" spans="2:18">
      <c r="D52" t="s">
        <v>920</v>
      </c>
      <c r="E52" s="523">
        <f>E49-8000</f>
        <v>16000</v>
      </c>
      <c r="F52" s="451"/>
      <c r="H52" s="369"/>
      <c r="J52" s="243"/>
      <c r="K52" s="243"/>
      <c r="L52" s="243"/>
      <c r="M52" s="243"/>
      <c r="N52" s="243"/>
      <c r="P52"/>
    </row>
    <row r="53" spans="2:18">
      <c r="D53" t="s">
        <v>2065</v>
      </c>
      <c r="F53" s="492"/>
      <c r="G53" s="118"/>
      <c r="H53" s="515"/>
      <c r="K53" s="725"/>
      <c r="L53" s="725"/>
      <c r="M53" s="243"/>
      <c r="P53" s="212"/>
      <c r="Q53" s="212"/>
    </row>
    <row r="54" spans="2:18" ht="15" customHeight="1">
      <c r="F54"/>
      <c r="H54" s="243"/>
      <c r="K54" s="353"/>
      <c r="L54" s="243"/>
      <c r="M54" s="243"/>
      <c r="N54" s="243"/>
      <c r="P54" s="56"/>
      <c r="Q54" s="38"/>
    </row>
    <row r="55" spans="2:18">
      <c r="F55"/>
      <c r="G55" s="243"/>
      <c r="H55" s="243"/>
      <c r="L55" s="243"/>
      <c r="O55"/>
      <c r="P55"/>
    </row>
    <row r="56" spans="2:18" ht="15" customHeight="1">
      <c r="F56"/>
      <c r="G56" s="11"/>
      <c r="H56" s="243"/>
      <c r="L56" s="243"/>
      <c r="O56"/>
      <c r="P56"/>
    </row>
    <row r="57" spans="2:18">
      <c r="F57"/>
      <c r="I57" s="11"/>
      <c r="J57" s="79"/>
      <c r="L57" s="243"/>
      <c r="O57"/>
      <c r="P57"/>
    </row>
    <row r="58" spans="2:18">
      <c r="B58" s="11"/>
      <c r="E58" s="7"/>
      <c r="H58" s="243"/>
      <c r="I58" s="243"/>
      <c r="J58" s="79"/>
      <c r="O58"/>
      <c r="P58"/>
    </row>
    <row r="59" spans="2:18">
      <c r="B59" s="11"/>
      <c r="E59" s="284"/>
      <c r="G59" s="369"/>
      <c r="J59" s="390"/>
      <c r="O59"/>
      <c r="P59"/>
    </row>
    <row r="60" spans="2:18">
      <c r="G60" s="369"/>
      <c r="J60" s="79"/>
      <c r="L60" s="243"/>
      <c r="M60" s="243"/>
      <c r="O60"/>
      <c r="P60"/>
    </row>
    <row r="61" spans="2:18">
      <c r="B61" s="212"/>
      <c r="C61" s="212"/>
      <c r="G61" s="532"/>
      <c r="I61" s="516"/>
      <c r="J61" s="517"/>
      <c r="K61" s="118"/>
      <c r="O61"/>
      <c r="P61"/>
    </row>
    <row r="62" spans="2:18">
      <c r="C62" s="56"/>
      <c r="F62"/>
      <c r="I62" s="494"/>
      <c r="J62" s="79"/>
      <c r="O62"/>
      <c r="P62"/>
    </row>
    <row r="63" spans="2:18" ht="15.75" customHeight="1">
      <c r="C63" s="56"/>
      <c r="F63"/>
      <c r="L63" s="243"/>
      <c r="M63" s="243"/>
      <c r="O63"/>
      <c r="P63"/>
    </row>
    <row r="64" spans="2:18" ht="14.4">
      <c r="C64" s="56"/>
      <c r="E64"/>
      <c r="F64"/>
      <c r="M64" s="243"/>
      <c r="O64"/>
      <c r="P64"/>
    </row>
    <row r="65" spans="2:16" ht="14.4">
      <c r="C65" s="56"/>
      <c r="D65" s="188"/>
      <c r="E65"/>
      <c r="F65" s="79"/>
      <c r="O65"/>
      <c r="P65"/>
    </row>
    <row r="66" spans="2:16">
      <c r="C66" s="56"/>
      <c r="E66"/>
      <c r="K66" s="118"/>
      <c r="M66" s="243"/>
      <c r="O66"/>
      <c r="P66"/>
    </row>
    <row r="67" spans="2:16">
      <c r="C67" s="56"/>
      <c r="E67" s="407"/>
      <c r="O67"/>
      <c r="P67"/>
    </row>
    <row r="68" spans="2:16">
      <c r="C68" s="56"/>
      <c r="E68"/>
      <c r="I68" s="407"/>
      <c r="J68" s="79"/>
      <c r="N68" s="288"/>
      <c r="O68"/>
      <c r="P68"/>
    </row>
    <row r="69" spans="2:16">
      <c r="C69" s="56"/>
      <c r="E69" s="347"/>
      <c r="O69"/>
      <c r="P69"/>
    </row>
    <row r="70" spans="2:16">
      <c r="C70" s="56"/>
      <c r="E70" s="332"/>
      <c r="O70"/>
      <c r="P70"/>
    </row>
    <row r="71" spans="2:16" ht="14.4">
      <c r="C71" s="56"/>
      <c r="E71" s="407"/>
      <c r="F71"/>
      <c r="G71" s="407"/>
      <c r="O71"/>
      <c r="P71"/>
    </row>
    <row r="72" spans="2:16" ht="15.45" customHeight="1">
      <c r="C72" s="56"/>
      <c r="E72" s="407"/>
      <c r="F72"/>
      <c r="G72" s="407"/>
      <c r="O72"/>
      <c r="P72"/>
    </row>
    <row r="73" spans="2:16" ht="14.4">
      <c r="D73" s="459"/>
      <c r="E73" s="243"/>
      <c r="F73" s="459"/>
      <c r="G73" s="243"/>
      <c r="O73"/>
      <c r="P73"/>
    </row>
    <row r="74" spans="2:16" ht="14.4">
      <c r="B74" s="212"/>
      <c r="C74" s="294"/>
      <c r="D74" s="188"/>
      <c r="E74"/>
      <c r="F74" s="188"/>
      <c r="O74"/>
      <c r="P74"/>
    </row>
    <row r="75" spans="2:16" ht="15.45" customHeight="1">
      <c r="C75" s="56"/>
      <c r="E75"/>
      <c r="F75"/>
      <c r="M75" s="243"/>
      <c r="O75"/>
      <c r="P75"/>
    </row>
    <row r="76" spans="2:16">
      <c r="C76" s="56"/>
      <c r="E76" s="532"/>
      <c r="F76"/>
      <c r="G76" s="532"/>
      <c r="O76"/>
      <c r="P76"/>
    </row>
    <row r="77" spans="2:16">
      <c r="C77" s="56"/>
      <c r="L77" s="459"/>
      <c r="M77" s="461"/>
      <c r="O77"/>
      <c r="P77"/>
    </row>
    <row r="78" spans="2:16">
      <c r="C78" s="56"/>
      <c r="D78" s="426"/>
      <c r="E78" s="533"/>
      <c r="L78" s="188"/>
      <c r="M78" s="230"/>
      <c r="O78"/>
      <c r="P78"/>
    </row>
    <row r="79" spans="2:16">
      <c r="C79" s="56"/>
      <c r="D79" s="405"/>
      <c r="E79" s="407"/>
      <c r="L79" s="188"/>
      <c r="M79" s="230"/>
      <c r="O79"/>
      <c r="P79"/>
    </row>
    <row r="80" spans="2:16">
      <c r="C80" s="56"/>
      <c r="D80" s="532"/>
      <c r="E80"/>
      <c r="L80" s="188"/>
      <c r="M80" s="230"/>
      <c r="O80"/>
      <c r="P80"/>
    </row>
    <row r="81" spans="5:16">
      <c r="E81" s="533"/>
      <c r="L81" s="188"/>
      <c r="M81" s="230"/>
      <c r="O81"/>
      <c r="P81"/>
    </row>
    <row r="82" spans="5:16">
      <c r="E82" s="533"/>
      <c r="L82" s="532"/>
      <c r="M82" s="230"/>
      <c r="O82"/>
      <c r="P82"/>
    </row>
    <row r="83" spans="5:16">
      <c r="E83" s="533"/>
      <c r="F83" s="212"/>
      <c r="L83" s="405"/>
      <c r="M83" s="230"/>
      <c r="O83"/>
      <c r="P83"/>
    </row>
    <row r="84" spans="5:16" ht="14.4">
      <c r="E84"/>
      <c r="F84"/>
      <c r="L84" s="405"/>
      <c r="M84" s="462"/>
      <c r="O84"/>
      <c r="P84"/>
    </row>
    <row r="85" spans="5:16" ht="14.4">
      <c r="E85"/>
      <c r="F85"/>
      <c r="O85"/>
      <c r="P85"/>
    </row>
    <row r="86" spans="5:16" ht="14.4">
      <c r="E86"/>
      <c r="F86"/>
      <c r="O86"/>
      <c r="P86"/>
    </row>
    <row r="87" spans="5:16" ht="14.4">
      <c r="E87" s="292"/>
      <c r="F87" s="56"/>
      <c r="O87"/>
      <c r="P87"/>
    </row>
    <row r="88" spans="5:16" ht="14.4">
      <c r="E88" s="42"/>
      <c r="F88" s="56"/>
      <c r="O88"/>
      <c r="P88"/>
    </row>
    <row r="89" spans="5:16" ht="14.4">
      <c r="E89" s="56"/>
      <c r="F89" s="56"/>
      <c r="O89"/>
      <c r="P89"/>
    </row>
    <row r="90" spans="5:16">
      <c r="O90"/>
      <c r="P90"/>
    </row>
    <row r="91" spans="5:16" ht="14.4">
      <c r="E91" s="212"/>
      <c r="F91" s="212"/>
      <c r="O91"/>
      <c r="P91"/>
    </row>
    <row r="92" spans="5:16" ht="14.4">
      <c r="E92"/>
      <c r="F92" s="56"/>
      <c r="O92"/>
      <c r="P92"/>
    </row>
    <row r="93" spans="5:16" ht="14.4">
      <c r="E93" s="56"/>
      <c r="F93" s="56"/>
      <c r="O93"/>
      <c r="P93"/>
    </row>
    <row r="94" spans="5:16" ht="14.4">
      <c r="E94" s="56"/>
      <c r="F94" s="56"/>
      <c r="G94" s="407"/>
      <c r="O94"/>
      <c r="P94"/>
    </row>
    <row r="95" spans="5:16" ht="14.4">
      <c r="E95" s="56"/>
      <c r="F95" s="56"/>
      <c r="G95" s="407"/>
      <c r="O95"/>
      <c r="P95"/>
    </row>
    <row r="96" spans="5:16" ht="14.4">
      <c r="E96" s="56"/>
      <c r="F96" s="56"/>
      <c r="G96" s="407"/>
      <c r="O96"/>
      <c r="P96"/>
    </row>
    <row r="97" spans="5:16" ht="14.4">
      <c r="E97" s="56"/>
      <c r="F97" s="56"/>
      <c r="G97" s="407"/>
      <c r="O97"/>
      <c r="P97"/>
    </row>
    <row r="98" spans="5:16">
      <c r="G98" s="407"/>
      <c r="O98"/>
      <c r="P98"/>
    </row>
    <row r="99" spans="5:16">
      <c r="G99" s="407"/>
      <c r="O99"/>
      <c r="P99"/>
    </row>
    <row r="100" spans="5:16">
      <c r="G100" s="407"/>
      <c r="O100"/>
      <c r="P100"/>
    </row>
    <row r="101" spans="5:16">
      <c r="G101" s="407"/>
      <c r="H101">
        <f>16700</f>
        <v>16700</v>
      </c>
    </row>
    <row r="102" spans="5:16">
      <c r="H102">
        <v>14000</v>
      </c>
    </row>
  </sheetData>
  <mergeCells count="22">
    <mergeCell ref="B24:E24"/>
    <mergeCell ref="B1:O1"/>
    <mergeCell ref="G3:H3"/>
    <mergeCell ref="I3:J3"/>
    <mergeCell ref="K3:L3"/>
    <mergeCell ref="M3:N3"/>
    <mergeCell ref="B4:E4"/>
    <mergeCell ref="B5:C5"/>
    <mergeCell ref="D5:E5"/>
    <mergeCell ref="B6:B20"/>
    <mergeCell ref="C6:C20"/>
    <mergeCell ref="E10:F10"/>
    <mergeCell ref="B46:G46"/>
    <mergeCell ref="K46:O46"/>
    <mergeCell ref="B47:C47"/>
    <mergeCell ref="K53:L53"/>
    <mergeCell ref="B25:C25"/>
    <mergeCell ref="D25:E25"/>
    <mergeCell ref="B39:E39"/>
    <mergeCell ref="B40:C40"/>
    <mergeCell ref="D40:E40"/>
    <mergeCell ref="B44:D44"/>
  </mergeCells>
  <pageMargins left="0.7" right="0.7" top="0.75" bottom="0.75" header="0.3" footer="0.3"/>
  <pageSetup orientation="portrait" r:id="rId1"/>
  <legacyDrawing r:id="rId2"/>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E8DC-5B0E-F448-AF75-E57B0B65FC1E}">
  <dimension ref="A1:T102"/>
  <sheetViews>
    <sheetView topLeftCell="H1" zoomScale="90" zoomScaleNormal="90" workbookViewId="0">
      <selection activeCell="J42" sqref="J42"/>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0" ht="25.5" customHeight="1">
      <c r="A1" t="str">
        <f ca="1">UPPER(TEXT((1&amp;LEFT(B$1,3))-1,"MMM"))&amp;"-"&amp;UPPER(TEXT((1&amp;RIGHT(LEFT(B$1,7),3))-1,"MMM"))&amp;" "&amp;RIGHT(B$1,4)</f>
        <v>NOV-DEC N 25</v>
      </c>
      <c r="B1" s="730" t="str">
        <f ca="1">MID(CELL("filename",B1),FIND("]",CELL("filename",B1))+1,255)</f>
        <v>DEC-JAN 25</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ROUND(O5+O40+O25+IF(O41&lt;0,0,O41)+O42+O4,2) &amp; " / " &amp; "£" &amp; E44</f>
        <v>£3092.74 / £5793.13</v>
      </c>
      <c r="G3" s="732">
        <v>45621</v>
      </c>
      <c r="H3" s="732"/>
      <c r="I3" s="732">
        <f>G3+7</f>
        <v>45628</v>
      </c>
      <c r="J3" s="732"/>
      <c r="K3" s="732">
        <f>I3+7</f>
        <v>45635</v>
      </c>
      <c r="L3" s="732"/>
      <c r="M3" s="732">
        <f>K3+7</f>
        <v>45642</v>
      </c>
      <c r="N3" s="732"/>
      <c r="O3" s="308">
        <v>0</v>
      </c>
      <c r="P3" s="325" t="s">
        <v>1224</v>
      </c>
      <c r="Q3" s="282"/>
    </row>
    <row r="4" spans="1:20" ht="15" customHeight="1">
      <c r="B4" s="727" t="str">
        <f>_xlfn.CONCAT("Expenses - 50 - ",G44*0.5," / Actual = ",ROUND(D5,2)," (",ROUND((D5/G44)*100,2),")")</f>
        <v>Expenses - 50 - 2896.565 / Actual = 2997.86 (51.75)</v>
      </c>
      <c r="C4" s="727"/>
      <c r="D4" s="727"/>
      <c r="E4" s="727"/>
      <c r="F4" s="318"/>
      <c r="G4" s="243"/>
      <c r="H4" s="304">
        <f>SUM(H5:H42)</f>
        <v>54.47</v>
      </c>
      <c r="I4" s="243"/>
      <c r="J4" s="304">
        <f>SUM(J5:J42)</f>
        <v>3080.96</v>
      </c>
      <c r="K4" s="243"/>
      <c r="L4" s="304">
        <f>SUM(L5:L42)</f>
        <v>0</v>
      </c>
      <c r="M4" s="243"/>
      <c r="N4" s="304">
        <f>SUM(N5:N42)-SUM(N27:N33)</f>
        <v>0</v>
      </c>
      <c r="O4" s="308">
        <f>IF(H43&lt;&gt;"PAID",H4,0)+IF(J43&lt;&gt;"PAID",J4,0)+IF(L43&lt;&gt;"PAID",L4,0)+IF(N43&lt;&gt;"PAID",N4,0)</f>
        <v>3135.43</v>
      </c>
      <c r="P4" s="309" t="s">
        <v>973</v>
      </c>
      <c r="Q4" s="408">
        <f>O4+402.34</f>
        <v>3537.77</v>
      </c>
      <c r="R4" s="243">
        <f>2761.15-SUM(O4:O5)</f>
        <v>-374.27999999999975</v>
      </c>
      <c r="S4" s="243"/>
    </row>
    <row r="5" spans="1:20" ht="15" customHeight="1">
      <c r="B5" s="733" t="str">
        <f>IF(D5&gt;E$44*0.5,ROUND(D5-E$44*0.5,2) &amp; " Over",ROUND(E$44*0.5-D5,2) &amp; " Under")</f>
        <v>101.3 Over</v>
      </c>
      <c r="C5" s="733"/>
      <c r="D5" s="761">
        <f>ROUND(SUM(F6:F22),2)</f>
        <v>2997.86</v>
      </c>
      <c r="E5" s="761"/>
      <c r="F5" s="321"/>
      <c r="G5" s="284"/>
      <c r="H5" s="306"/>
      <c r="I5" s="390"/>
      <c r="J5" s="306"/>
      <c r="K5" s="390"/>
      <c r="L5" s="306"/>
      <c r="M5" s="79"/>
      <c r="N5" s="305"/>
      <c r="O5" s="285">
        <f>SUMIF(O6:O22,"&gt;0")</f>
        <v>0</v>
      </c>
      <c r="P5" s="285" t="s">
        <v>892</v>
      </c>
      <c r="Q5" s="282">
        <f>SUM(Q6:Q22)</f>
        <v>7.4499999999998998</v>
      </c>
      <c r="R5" s="243"/>
    </row>
    <row r="6" spans="1:20" ht="15" customHeight="1">
      <c r="B6" s="734" t="str">
        <f>"50%: " &amp; E$44*0.5</f>
        <v>50%: 2896.565</v>
      </c>
      <c r="C6" s="734" t="str">
        <f>ROUND((D5/E$44)*100,2) &amp; "%: " &amp;D5</f>
        <v>51.75%: 2997.86</v>
      </c>
      <c r="D6" s="13" t="s">
        <v>805</v>
      </c>
      <c r="E6" s="523">
        <v>0</v>
      </c>
      <c r="F6" s="528">
        <f>150-59.93</f>
        <v>90.07</v>
      </c>
      <c r="H6" s="304"/>
      <c r="J6" s="305">
        <f>30.05+30.01+30.01</f>
        <v>90.070000000000007</v>
      </c>
      <c r="L6" s="305"/>
      <c r="N6" s="305"/>
      <c r="O6" s="274">
        <f>SUM(E6:F6)-SUM(G6:N6)</f>
        <v>0</v>
      </c>
      <c r="P6" s="274" t="str">
        <f t="shared" ref="P6:P22" si="0">D6</f>
        <v>Car Petrol / commuting</v>
      </c>
      <c r="Q6" s="282">
        <f>IF(O6&lt;0,O6*-1,0)</f>
        <v>0</v>
      </c>
      <c r="R6" s="243"/>
    </row>
    <row r="7" spans="1:20" ht="15" customHeight="1">
      <c r="B7" s="734"/>
      <c r="C7" s="734"/>
      <c r="D7" s="13" t="s">
        <v>169</v>
      </c>
      <c r="E7" s="523">
        <v>0</v>
      </c>
      <c r="F7" s="523">
        <f>400+59.93</f>
        <v>459.93</v>
      </c>
      <c r="H7" s="304"/>
      <c r="J7" s="305">
        <f>17.5+8.6+76.5+4.44+46.97+1.4+5.1+1.2+5.6+1.4+2.3+7.76+5.5+86.45+19.62+36.79+8.5+4.4+77.21+37.5+3+2.8</f>
        <v>460.53999999999996</v>
      </c>
      <c r="L7" s="305"/>
      <c r="N7" s="305"/>
      <c r="O7" s="274">
        <f>SUM(E7:F7)-SUM(G7:N7)</f>
        <v>-0.6099999999999568</v>
      </c>
      <c r="P7" s="274" t="str">
        <f t="shared" si="0"/>
        <v>Food</v>
      </c>
      <c r="Q7" s="282">
        <f>IF(O7&lt;0,O7*-1,0)</f>
        <v>0.6099999999999568</v>
      </c>
      <c r="R7" s="243"/>
    </row>
    <row r="8" spans="1:20" ht="15" customHeight="1">
      <c r="B8" s="734"/>
      <c r="C8" s="734"/>
      <c r="D8" s="13" t="s">
        <v>153</v>
      </c>
      <c r="E8" s="523">
        <v>0</v>
      </c>
      <c r="F8" s="523">
        <f>100</f>
        <v>100</v>
      </c>
      <c r="H8" s="305"/>
      <c r="J8" s="305">
        <f>29.22+23.71+50.21</f>
        <v>103.14</v>
      </c>
      <c r="L8" s="305"/>
      <c r="N8" s="305"/>
      <c r="O8" s="274">
        <f>SUM(E8:F8)-SUM(G8:N8)</f>
        <v>-3.1400000000000006</v>
      </c>
      <c r="P8" s="274" t="str">
        <f t="shared" si="0"/>
        <v>Luna</v>
      </c>
      <c r="Q8" s="282">
        <f>IF(O8&lt;0,O8*-1,0)</f>
        <v>3.1400000000000006</v>
      </c>
    </row>
    <row r="9" spans="1:20" ht="15" customHeight="1">
      <c r="B9" s="734"/>
      <c r="C9" s="734"/>
      <c r="D9" s="13" t="s">
        <v>1079</v>
      </c>
      <c r="E9" s="523">
        <v>0</v>
      </c>
      <c r="F9" s="523">
        <f>30</f>
        <v>30</v>
      </c>
      <c r="H9" s="305"/>
      <c r="J9" s="305">
        <f>30.68</f>
        <v>30.68</v>
      </c>
      <c r="L9" s="305"/>
      <c r="N9" s="305"/>
      <c r="O9" s="274">
        <f>SUM(E9:F9)-SUM(G9:N9)</f>
        <v>-0.67999999999999972</v>
      </c>
      <c r="P9" s="274" t="str">
        <f t="shared" si="0"/>
        <v>Creamy</v>
      </c>
      <c r="Q9" s="282">
        <f>IF(O9&lt;0,O9*-1,0)</f>
        <v>0.67999999999999972</v>
      </c>
      <c r="R9" s="243"/>
    </row>
    <row r="10" spans="1:20" ht="15" customHeight="1">
      <c r="B10" s="734"/>
      <c r="C10" s="734"/>
      <c r="D10" s="13" t="s">
        <v>189</v>
      </c>
      <c r="E10" s="735">
        <f>SUM(F11:F22)</f>
        <v>2317.86</v>
      </c>
      <c r="F10" s="735"/>
      <c r="G10" s="243"/>
      <c r="H10" s="305"/>
      <c r="J10" s="305"/>
      <c r="L10" s="305"/>
      <c r="N10" s="305"/>
      <c r="O10" s="274"/>
      <c r="P10" s="274" t="str">
        <f t="shared" si="0"/>
        <v>Direct debits</v>
      </c>
      <c r="Q10" s="282"/>
      <c r="R10" s="243"/>
    </row>
    <row r="11" spans="1:20" ht="15" customHeight="1" outlineLevel="1">
      <c r="B11" s="734"/>
      <c r="C11" s="734"/>
      <c r="D11" s="201" t="s">
        <v>595</v>
      </c>
      <c r="E11" s="523">
        <v>0</v>
      </c>
      <c r="F11" s="523">
        <v>838</v>
      </c>
      <c r="G11">
        <v>838</v>
      </c>
      <c r="H11" s="304"/>
      <c r="J11" s="305"/>
      <c r="L11" s="305"/>
      <c r="N11" s="305"/>
      <c r="O11" s="274">
        <f t="shared" ref="O11:O22" si="1">SUM(E11:F11)-SUM(G11:N11)</f>
        <v>0</v>
      </c>
      <c r="P11" s="274" t="str">
        <f t="shared" si="0"/>
        <v>Mortgage</v>
      </c>
      <c r="Q11" s="282">
        <f t="shared" ref="Q11:Q22" si="2">IF(O11&lt;0,O11*-1,0)</f>
        <v>0</v>
      </c>
      <c r="R11" s="243"/>
      <c r="S11" s="11"/>
    </row>
    <row r="12" spans="1:20" ht="15" customHeight="1" outlineLevel="1">
      <c r="B12" s="734"/>
      <c r="C12" s="734"/>
      <c r="D12" s="201" t="s">
        <v>596</v>
      </c>
      <c r="E12" s="523">
        <v>0</v>
      </c>
      <c r="F12" s="523">
        <v>154</v>
      </c>
      <c r="G12">
        <v>154</v>
      </c>
      <c r="H12" s="305"/>
      <c r="J12" s="305"/>
      <c r="L12" s="305"/>
      <c r="N12" s="305"/>
      <c r="O12" s="274">
        <f t="shared" si="1"/>
        <v>0</v>
      </c>
      <c r="P12" s="274" t="str">
        <f t="shared" si="0"/>
        <v>Council tax</v>
      </c>
      <c r="Q12" s="282">
        <f t="shared" si="2"/>
        <v>0</v>
      </c>
      <c r="S12" s="349"/>
    </row>
    <row r="13" spans="1:20" ht="15" customHeight="1" outlineLevel="1">
      <c r="B13" s="734"/>
      <c r="C13" s="734"/>
      <c r="D13" s="201" t="s">
        <v>1002</v>
      </c>
      <c r="E13" s="523">
        <v>0</v>
      </c>
      <c r="F13" s="523">
        <f>34+111.75</f>
        <v>145.75</v>
      </c>
      <c r="G13">
        <f>34+111.75</f>
        <v>145.75</v>
      </c>
      <c r="H13" s="305"/>
      <c r="J13" s="305"/>
      <c r="L13" s="305"/>
      <c r="N13" s="305"/>
      <c r="O13" s="274">
        <f t="shared" si="1"/>
        <v>0</v>
      </c>
      <c r="P13" s="274" t="str">
        <f t="shared" si="0"/>
        <v>Utilities (G,W,E,HTB)</v>
      </c>
      <c r="Q13" s="282">
        <f t="shared" si="2"/>
        <v>0</v>
      </c>
    </row>
    <row r="14" spans="1:20" ht="15" customHeight="1" outlineLevel="1">
      <c r="B14" s="734"/>
      <c r="C14" s="734"/>
      <c r="D14" s="201" t="s">
        <v>996</v>
      </c>
      <c r="E14" s="523">
        <v>0</v>
      </c>
      <c r="F14" s="523">
        <v>22.7</v>
      </c>
      <c r="G14">
        <v>22.7</v>
      </c>
      <c r="H14" s="305"/>
      <c r="J14" s="305"/>
      <c r="L14" s="305"/>
      <c r="N14" s="305"/>
      <c r="O14" s="274">
        <f t="shared" si="1"/>
        <v>0</v>
      </c>
      <c r="P14" s="274" t="str">
        <f t="shared" si="0"/>
        <v>Home Insurance</v>
      </c>
      <c r="Q14" s="282">
        <f t="shared" si="2"/>
        <v>0</v>
      </c>
    </row>
    <row r="15" spans="1:20" ht="15" customHeight="1" outlineLevel="1">
      <c r="B15" s="734"/>
      <c r="C15" s="734"/>
      <c r="D15" s="201" t="s">
        <v>1056</v>
      </c>
      <c r="E15" s="523">
        <v>0</v>
      </c>
      <c r="F15" s="523">
        <f>9.99+23.99+20.99</f>
        <v>54.97</v>
      </c>
      <c r="G15">
        <f>20.99+23.99+9.99</f>
        <v>54.97</v>
      </c>
      <c r="H15" s="305"/>
      <c r="J15" s="305"/>
      <c r="L15" s="305"/>
      <c r="N15" s="305"/>
      <c r="O15" s="274">
        <f t="shared" si="1"/>
        <v>0</v>
      </c>
      <c r="P15" s="274" t="str">
        <f t="shared" si="0"/>
        <v>Pet Health / Insurance</v>
      </c>
      <c r="Q15" s="282">
        <f t="shared" si="2"/>
        <v>0</v>
      </c>
    </row>
    <row r="16" spans="1:20" ht="15" customHeight="1" outlineLevel="1">
      <c r="B16" s="734"/>
      <c r="C16" s="734"/>
      <c r="D16" s="201" t="s">
        <v>1057</v>
      </c>
      <c r="E16" s="523">
        <v>0</v>
      </c>
      <c r="F16" s="523">
        <f>30.8+62.08</f>
        <v>92.88</v>
      </c>
      <c r="G16">
        <f>92.88</f>
        <v>92.88</v>
      </c>
      <c r="H16" s="305"/>
      <c r="I16" s="11"/>
      <c r="J16" s="305"/>
      <c r="L16" s="305"/>
      <c r="N16" s="305"/>
      <c r="O16" s="274">
        <f t="shared" si="1"/>
        <v>0</v>
      </c>
      <c r="P16" s="274" t="str">
        <f t="shared" si="0"/>
        <v>Life / Income Insurance</v>
      </c>
      <c r="Q16" s="282">
        <f t="shared" si="2"/>
        <v>0</v>
      </c>
    </row>
    <row r="17" spans="2:20" ht="15" customHeight="1" outlineLevel="1">
      <c r="B17" s="734"/>
      <c r="C17" s="734"/>
      <c r="D17" s="201" t="s">
        <v>602</v>
      </c>
      <c r="E17" s="523">
        <v>0</v>
      </c>
      <c r="F17" s="523">
        <f>34</f>
        <v>34</v>
      </c>
      <c r="G17">
        <f>34</f>
        <v>34</v>
      </c>
      <c r="H17" s="305"/>
      <c r="J17" s="305"/>
      <c r="L17" s="305"/>
      <c r="N17" s="305"/>
      <c r="O17" s="274">
        <f t="shared" si="1"/>
        <v>0</v>
      </c>
      <c r="P17" s="274" t="str">
        <f t="shared" si="0"/>
        <v>Broadband / TV</v>
      </c>
      <c r="Q17" s="282">
        <f t="shared" si="2"/>
        <v>0</v>
      </c>
    </row>
    <row r="18" spans="2:20" ht="15" customHeight="1" outlineLevel="1">
      <c r="B18" s="734"/>
      <c r="C18" s="734"/>
      <c r="D18" s="201" t="s">
        <v>788</v>
      </c>
      <c r="E18" s="523">
        <v>0</v>
      </c>
      <c r="F18" s="523">
        <v>26</v>
      </c>
      <c r="G18">
        <v>27.2</v>
      </c>
      <c r="H18" s="305"/>
      <c r="J18" s="305"/>
      <c r="L18" s="305"/>
      <c r="N18" s="305"/>
      <c r="O18" s="274">
        <f t="shared" si="1"/>
        <v>-1.1999999999999993</v>
      </c>
      <c r="P18" s="274" t="str">
        <f t="shared" si="0"/>
        <v>Matt Phone</v>
      </c>
      <c r="Q18" s="282">
        <f t="shared" si="2"/>
        <v>1.1999999999999993</v>
      </c>
    </row>
    <row r="19" spans="2:20" ht="15" customHeight="1" outlineLevel="1">
      <c r="B19" s="734"/>
      <c r="C19" s="734"/>
      <c r="D19" s="201" t="s">
        <v>690</v>
      </c>
      <c r="E19" s="523">
        <v>0</v>
      </c>
      <c r="F19" s="523">
        <f>14+48.17+270+487</f>
        <v>819.17000000000007</v>
      </c>
      <c r="G19">
        <f>48.17+14+270.97+487.35</f>
        <v>820.49</v>
      </c>
      <c r="H19" s="305"/>
      <c r="J19" s="305"/>
      <c r="L19" s="305"/>
      <c r="N19" s="305"/>
      <c r="O19" s="274">
        <f t="shared" si="1"/>
        <v>-1.3199999999999363</v>
      </c>
      <c r="P19" s="274" t="str">
        <f t="shared" si="0"/>
        <v>Cars</v>
      </c>
      <c r="Q19" s="282">
        <f t="shared" si="2"/>
        <v>1.3199999999999363</v>
      </c>
    </row>
    <row r="20" spans="2:20" ht="15" customHeight="1" outlineLevel="1">
      <c r="B20" s="734"/>
      <c r="C20" s="734"/>
      <c r="D20" s="201" t="s">
        <v>944</v>
      </c>
      <c r="E20" s="523">
        <v>0</v>
      </c>
      <c r="F20" s="523">
        <v>15</v>
      </c>
      <c r="G20">
        <v>15</v>
      </c>
      <c r="H20" s="305"/>
      <c r="J20" s="305"/>
      <c r="L20" s="305"/>
      <c r="N20" s="305"/>
      <c r="O20" s="274">
        <f t="shared" si="1"/>
        <v>0</v>
      </c>
      <c r="P20" s="274" t="str">
        <f t="shared" si="0"/>
        <v>Windows</v>
      </c>
      <c r="Q20" s="282">
        <f t="shared" si="2"/>
        <v>0</v>
      </c>
      <c r="R20" s="243"/>
    </row>
    <row r="21" spans="2:20" ht="15" customHeight="1" outlineLevel="1">
      <c r="B21" s="7"/>
      <c r="C21" s="7"/>
      <c r="D21" s="201" t="s">
        <v>2042</v>
      </c>
      <c r="E21" s="523">
        <v>0</v>
      </c>
      <c r="F21" s="523">
        <f>29.95+22.49</f>
        <v>52.44</v>
      </c>
      <c r="G21">
        <v>29.95</v>
      </c>
      <c r="H21" s="305">
        <v>22.49</v>
      </c>
      <c r="J21" s="305"/>
      <c r="L21" s="305"/>
      <c r="N21" s="305"/>
      <c r="O21" s="274">
        <f t="shared" si="1"/>
        <v>0</v>
      </c>
      <c r="P21" s="274" t="str">
        <f t="shared" si="0"/>
        <v>Health + Wellness</v>
      </c>
      <c r="Q21" s="282">
        <f t="shared" si="2"/>
        <v>0</v>
      </c>
      <c r="R21" s="243"/>
    </row>
    <row r="22" spans="2:20" ht="15" customHeight="1" outlineLevel="1">
      <c r="B22" s="7"/>
      <c r="C22" s="7"/>
      <c r="D22" s="201" t="s">
        <v>781</v>
      </c>
      <c r="E22" s="523">
        <v>0</v>
      </c>
      <c r="F22" s="523">
        <f>7.99+18+4.99+0.99+9.99+12+8.99</f>
        <v>62.95</v>
      </c>
      <c r="G22" s="11">
        <f>8.99+9.99+12+18+1.49+7.99+4.99</f>
        <v>63.45000000000001</v>
      </c>
      <c r="H22" s="305"/>
      <c r="J22" s="305"/>
      <c r="L22" s="305"/>
      <c r="N22" s="305"/>
      <c r="O22" s="274">
        <f t="shared" si="1"/>
        <v>-0.50000000000000711</v>
      </c>
      <c r="P22" s="274" t="str">
        <f t="shared" si="0"/>
        <v>Subscriptions</v>
      </c>
      <c r="Q22" s="282">
        <f t="shared" si="2"/>
        <v>0.50000000000000711</v>
      </c>
      <c r="R22" s="243"/>
    </row>
    <row r="23" spans="2:20" ht="15" customHeight="1">
      <c r="B23" s="118"/>
      <c r="C23" s="118"/>
      <c r="D23" s="188"/>
      <c r="H23" s="305"/>
      <c r="J23" s="305"/>
      <c r="L23" s="305"/>
      <c r="N23" s="305"/>
      <c r="O23" s="273"/>
      <c r="P23" s="273"/>
      <c r="Q23" s="282"/>
    </row>
    <row r="24" spans="2:20" ht="15" customHeight="1">
      <c r="B24" s="736" t="str">
        <f>_xlfn.CONCAT("Savings - 20 - ",G44*0.2," / Actual = ",D25," (",ROUND((D25/G44)*100,2),")")</f>
        <v>Savings - 20 - 1158.626 / Actual = 1415 (24.43)</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1415</v>
      </c>
      <c r="E25" s="759"/>
      <c r="F25" s="319"/>
      <c r="H25" s="305"/>
      <c r="J25" s="305"/>
      <c r="L25" s="305"/>
      <c r="N25" s="305"/>
      <c r="O25" s="285">
        <f>O26</f>
        <v>363.91000000000031</v>
      </c>
      <c r="P25" s="285" t="s">
        <v>895</v>
      </c>
      <c r="Q25" s="282">
        <f>SUM(Q26:Q26)</f>
        <v>0</v>
      </c>
    </row>
    <row r="26" spans="2:20" ht="15" customHeight="1" outlineLevel="1">
      <c r="B26" s="7" t="str">
        <f>"20% : " &amp; E$44*0.2</f>
        <v>20% : 1158.626</v>
      </c>
      <c r="C26" s="7" t="str">
        <f>"20% : " &amp; E$44*0.2</f>
        <v>20% : 1158.626</v>
      </c>
      <c r="D26" s="300" t="s">
        <v>183</v>
      </c>
      <c r="E26" s="523">
        <v>0</v>
      </c>
      <c r="F26" s="523">
        <f>SUM(F27:F37)</f>
        <v>1415</v>
      </c>
      <c r="H26" s="305"/>
      <c r="J26" s="305"/>
      <c r="L26" s="305"/>
      <c r="N26" s="305"/>
      <c r="O26" s="274">
        <f>SUM(O27:O37)</f>
        <v>363.91000000000031</v>
      </c>
      <c r="P26" s="274" t="str">
        <f t="shared" ref="P26:P37" si="3">D26</f>
        <v>Savings</v>
      </c>
      <c r="Q26" s="282">
        <v>0</v>
      </c>
      <c r="R26" s="495"/>
      <c r="S26" s="243"/>
    </row>
    <row r="27" spans="2:20" ht="15" customHeight="1" outlineLevel="1">
      <c r="B27" s="7"/>
      <c r="C27" s="7"/>
      <c r="D27" s="300" t="s">
        <v>1485</v>
      </c>
      <c r="E27" s="523">
        <v>0</v>
      </c>
      <c r="F27" s="523">
        <v>40</v>
      </c>
      <c r="H27" s="305"/>
      <c r="J27" s="305"/>
      <c r="L27" s="362"/>
      <c r="N27" s="315"/>
      <c r="O27" s="274">
        <f>SUM(E27:F27)-SUM(G27:N27)</f>
        <v>40</v>
      </c>
      <c r="P27" s="274" t="str">
        <f t="shared" si="3"/>
        <v>MOT / Service</v>
      </c>
      <c r="Q27" s="282"/>
      <c r="R27" s="243"/>
    </row>
    <row r="28" spans="2:20" ht="15" customHeight="1" outlineLevel="1">
      <c r="B28" s="7"/>
      <c r="C28" s="7"/>
      <c r="D28" s="300" t="s">
        <v>690</v>
      </c>
      <c r="E28" s="523">
        <v>0</v>
      </c>
      <c r="F28" s="523">
        <f>-468.84-232.5</f>
        <v>-701.33999999999992</v>
      </c>
      <c r="H28" s="305"/>
      <c r="J28" s="305"/>
      <c r="L28" s="362"/>
      <c r="N28" s="315"/>
      <c r="O28" s="274">
        <f>SUM(E28:F28)-SUM(G28:N28)</f>
        <v>-701.33999999999992</v>
      </c>
      <c r="P28" s="274" t="str">
        <f t="shared" si="3"/>
        <v>Cars</v>
      </c>
      <c r="Q28" s="282"/>
      <c r="R28" s="243"/>
    </row>
    <row r="29" spans="2:20" ht="15" customHeight="1" outlineLevel="1">
      <c r="B29" s="7"/>
      <c r="C29" s="7"/>
      <c r="D29" s="300" t="s">
        <v>590</v>
      </c>
      <c r="E29" s="523">
        <v>0</v>
      </c>
      <c r="F29" s="523">
        <f>165+10.99+8.99+2.85+29.95+20+10.06+245-0.17+35</f>
        <v>527.67000000000007</v>
      </c>
      <c r="G29" s="305"/>
      <c r="J29" s="305">
        <f>15</f>
        <v>15</v>
      </c>
      <c r="L29" s="362"/>
      <c r="N29" s="315"/>
      <c r="O29" s="274">
        <f>SUM(E29:F29)-SUM(G29:N29)-Q44</f>
        <v>505.2200000000002</v>
      </c>
      <c r="P29" s="274" t="str">
        <f t="shared" si="3"/>
        <v>Contingency</v>
      </c>
      <c r="Q29" s="282"/>
      <c r="T29" s="243"/>
    </row>
    <row r="30" spans="2:20" ht="15" customHeight="1" outlineLevel="1">
      <c r="B30" s="7"/>
      <c r="C30" s="7"/>
      <c r="D30" s="300" t="s">
        <v>1486</v>
      </c>
      <c r="E30" s="523">
        <v>0</v>
      </c>
      <c r="F30" s="523">
        <v>13.67</v>
      </c>
      <c r="H30" s="305"/>
      <c r="J30" s="305"/>
      <c r="L30" s="362"/>
      <c r="N30" s="315"/>
      <c r="O30" s="274">
        <f>SUM(E30:F30)-SUM(G30:N30)</f>
        <v>13.67</v>
      </c>
      <c r="P30" s="274" t="str">
        <f t="shared" si="3"/>
        <v>TV</v>
      </c>
      <c r="Q30" s="282"/>
    </row>
    <row r="31" spans="2:20" ht="15" customHeight="1" outlineLevel="1">
      <c r="B31" s="7"/>
      <c r="C31" s="7"/>
      <c r="D31" s="300" t="s">
        <v>1296</v>
      </c>
      <c r="E31" s="523">
        <v>0</v>
      </c>
      <c r="F31" s="523">
        <v>95</v>
      </c>
      <c r="H31" s="305"/>
      <c r="J31" s="305"/>
      <c r="L31" s="362"/>
      <c r="N31" s="315"/>
      <c r="O31" s="274">
        <f>SUM(E31:F31)-SUM(G31:N31)</f>
        <v>95</v>
      </c>
      <c r="P31" s="274" t="str">
        <f t="shared" si="3"/>
        <v>Offset</v>
      </c>
      <c r="Q31" s="282"/>
    </row>
    <row r="32" spans="2:20" ht="15" customHeight="1" outlineLevel="1">
      <c r="B32" s="7"/>
      <c r="C32" s="7"/>
      <c r="D32" s="300" t="s">
        <v>354</v>
      </c>
      <c r="E32" s="523">
        <v>0</v>
      </c>
      <c r="F32" s="523">
        <f>650+55</f>
        <v>705</v>
      </c>
      <c r="J32" s="305">
        <f>298.96+205</f>
        <v>503.96</v>
      </c>
      <c r="L32" s="362"/>
      <c r="N32" s="315"/>
      <c r="O32" s="274">
        <f>SUM(E32:F32)-SUM(H32:N32)</f>
        <v>201.04000000000002</v>
      </c>
      <c r="P32" s="274" t="str">
        <f t="shared" si="3"/>
        <v>Holiday</v>
      </c>
      <c r="Q32" s="282"/>
    </row>
    <row r="33" spans="2:19" ht="15" customHeight="1" outlineLevel="1">
      <c r="B33" s="7"/>
      <c r="C33" s="7"/>
      <c r="D33" s="300" t="s">
        <v>701</v>
      </c>
      <c r="E33" s="523">
        <v>0</v>
      </c>
      <c r="F33" s="523">
        <f>250+35+175</f>
        <v>460</v>
      </c>
      <c r="G33">
        <v>150</v>
      </c>
      <c r="J33" s="305">
        <f>100+12.68</f>
        <v>112.68</v>
      </c>
      <c r="L33" s="362"/>
      <c r="N33" s="315"/>
      <c r="O33" s="274">
        <f>SUM(E33:F33)-SUM(G33:N33)</f>
        <v>197.32</v>
      </c>
      <c r="P33" s="274" t="str">
        <f t="shared" si="3"/>
        <v>Gift</v>
      </c>
      <c r="Q33" s="282"/>
    </row>
    <row r="34" spans="2:19" ht="15" customHeight="1" outlineLevel="1">
      <c r="B34" s="7"/>
      <c r="C34" s="7"/>
      <c r="D34" s="300" t="s">
        <v>1297</v>
      </c>
      <c r="E34" s="523">
        <v>0</v>
      </c>
      <c r="F34" s="523">
        <f>50+110+40</f>
        <v>200</v>
      </c>
      <c r="H34" s="305"/>
      <c r="J34">
        <v>262</v>
      </c>
      <c r="L34" s="362"/>
      <c r="N34" s="315"/>
      <c r="O34" s="274">
        <f>SUM(E34:F34)-SUM(G34:N34)</f>
        <v>-62</v>
      </c>
      <c r="P34" s="274" t="str">
        <f t="shared" si="3"/>
        <v>Skin</v>
      </c>
      <c r="Q34" s="282"/>
    </row>
    <row r="35" spans="2:19" ht="15" customHeight="1" outlineLevel="1">
      <c r="B35" s="7"/>
      <c r="C35" s="7"/>
      <c r="D35" s="300" t="s">
        <v>1391</v>
      </c>
      <c r="E35" s="523">
        <v>0</v>
      </c>
      <c r="F35" s="523">
        <v>75</v>
      </c>
      <c r="H35" s="305"/>
      <c r="J35" s="305"/>
      <c r="L35" s="362"/>
      <c r="N35" s="315"/>
      <c r="O35" s="274">
        <f>SUM(E35:F35)-SUM(G35:N35)</f>
        <v>75</v>
      </c>
      <c r="P35" s="274" t="str">
        <f t="shared" si="3"/>
        <v>Avios</v>
      </c>
      <c r="Q35" s="282"/>
    </row>
    <row r="36" spans="2:19" ht="15" customHeight="1" outlineLevel="1">
      <c r="B36" s="7"/>
      <c r="C36" s="7"/>
      <c r="D36" s="300" t="s">
        <v>1808</v>
      </c>
      <c r="E36" s="523">
        <v>0</v>
      </c>
      <c r="F36" s="523">
        <v>0</v>
      </c>
      <c r="H36" s="305"/>
      <c r="J36" s="305"/>
      <c r="L36" s="362"/>
      <c r="N36" s="315"/>
      <c r="O36" s="274">
        <f>SUM(E36:F36)-SUM(G36:N36)</f>
        <v>0</v>
      </c>
      <c r="P36" s="274" t="str">
        <f t="shared" si="3"/>
        <v>Prime</v>
      </c>
      <c r="Q36" s="282"/>
    </row>
    <row r="37" spans="2:19" ht="15" customHeight="1" outlineLevel="1">
      <c r="B37" s="7"/>
      <c r="C37" s="7"/>
      <c r="D37" s="300" t="s">
        <v>1589</v>
      </c>
      <c r="E37" s="523">
        <v>0</v>
      </c>
      <c r="F37" s="523">
        <v>0</v>
      </c>
      <c r="H37" s="305"/>
      <c r="J37" s="305"/>
      <c r="L37" s="362"/>
      <c r="N37" s="315"/>
      <c r="O37" s="274">
        <f>SUM(E37:F37)-SUM(G37:N37)</f>
        <v>0</v>
      </c>
      <c r="P37" s="274" t="str">
        <f t="shared" si="3"/>
        <v>Amex</v>
      </c>
      <c r="Q37" s="282"/>
    </row>
    <row r="38" spans="2:19" ht="15" customHeight="1">
      <c r="B38" s="118"/>
      <c r="C38" s="118"/>
      <c r="H38" s="305"/>
      <c r="J38" s="305"/>
      <c r="L38" s="305"/>
      <c r="N38" s="305"/>
      <c r="O38" s="273"/>
      <c r="P38" s="273"/>
      <c r="Q38" s="282"/>
      <c r="R38" s="243"/>
    </row>
    <row r="39" spans="2:19" ht="15" customHeight="1">
      <c r="B39" s="727" t="str">
        <f>_xlfn.CONCAT("Wants - 30 - ",G44*0.3," / Actual = ",D40," (",ROUND((D40/G44)*100,2),")")</f>
        <v>Wants - 30 - 1737.939 / Actual = 1380.27 (23.83)</v>
      </c>
      <c r="C39" s="727"/>
      <c r="D39" s="727"/>
      <c r="E39" s="727"/>
      <c r="F39" s="318"/>
      <c r="H39" s="305"/>
      <c r="J39" s="305"/>
      <c r="L39" s="305"/>
      <c r="N39" s="305"/>
      <c r="O39" s="273"/>
      <c r="P39" s="273"/>
      <c r="Q39" s="282"/>
      <c r="S39" s="243"/>
    </row>
    <row r="40" spans="2:19" ht="15" customHeight="1">
      <c r="B40" s="727" t="str">
        <f>IF(ISNUMBER((SEARCH("Over",B$5))),"Operating under budget","Operating over budget")</f>
        <v>Operating under budget</v>
      </c>
      <c r="C40" s="727"/>
      <c r="D40" s="759">
        <f>(E$44-D5-D25-E43)</f>
        <v>1380.27</v>
      </c>
      <c r="E40" s="727"/>
      <c r="F40" s="319">
        <f>F41</f>
        <v>567.68000000000006</v>
      </c>
      <c r="H40" s="305"/>
      <c r="J40" s="305"/>
      <c r="L40" s="305"/>
      <c r="N40" s="305"/>
      <c r="O40" s="285">
        <f>0</f>
        <v>0</v>
      </c>
      <c r="P40" s="285" t="s">
        <v>899</v>
      </c>
      <c r="Q40" s="282">
        <f>SUM(Q41:Q41)</f>
        <v>0</v>
      </c>
      <c r="S40" s="243"/>
    </row>
    <row r="41" spans="2:19" ht="18" outlineLevel="1">
      <c r="B41" s="7"/>
      <c r="C41" s="284"/>
      <c r="D41" s="13" t="s">
        <v>922</v>
      </c>
      <c r="E41" s="523">
        <v>0</v>
      </c>
      <c r="F41" s="523">
        <f>D40-F42</f>
        <v>567.68000000000006</v>
      </c>
      <c r="G41" s="11">
        <f>0.4+40</f>
        <v>40.4</v>
      </c>
      <c r="H41">
        <f>9.49+13-3.51</f>
        <v>18.980000000000004</v>
      </c>
      <c r="J41">
        <f>1.99+51.4+17+5.52+4+21+4.99+17.5+5.99+7.99+94.99+17.99+5.9+24+14+82.51+34+1.4+2.55+3+19.2+18.48+15.62+24-34+9.46+7.98+1.5+6</f>
        <v>485.96</v>
      </c>
      <c r="N41" s="305"/>
      <c r="O41" s="274">
        <f>SUM(E41:F41)-SUM(G41:N41)</f>
        <v>22.340000000000032</v>
      </c>
      <c r="P41" s="274" t="str">
        <f>D41</f>
        <v>Matt Fun</v>
      </c>
      <c r="Q41" s="282">
        <f>IF(SUM(E41:F41)-SUM(G41:N41)&lt;=0,(SUM(E41:F41)-SUM(G41:N41))*-1,0)</f>
        <v>0</v>
      </c>
    </row>
    <row r="42" spans="2:19" ht="18" outlineLevel="1">
      <c r="B42" s="7"/>
      <c r="C42" s="284"/>
      <c r="D42" s="13" t="s">
        <v>152</v>
      </c>
      <c r="E42" s="523">
        <v>0</v>
      </c>
      <c r="F42" s="523">
        <f>40+55+72.33+61.26+40+38+40+40+55+41+170+160</f>
        <v>812.58999999999992</v>
      </c>
      <c r="G42" s="11">
        <f>41.6+170</f>
        <v>211.6</v>
      </c>
      <c r="H42" s="306">
        <v>13</v>
      </c>
      <c r="J42" s="305">
        <f>55+161+76.91+19.63+41.63+72.33+38+39.99+55+85.99+239+42.99-29.5-35.99+40.95-34.5+148.5</f>
        <v>1016.9300000000001</v>
      </c>
      <c r="L42" s="305"/>
      <c r="N42" s="305"/>
      <c r="O42" s="274">
        <f>SUM(E42:F42)-SUM(G42:N42)</f>
        <v>-428.94000000000005</v>
      </c>
      <c r="P42" s="274" t="str">
        <f>D42</f>
        <v>Kris</v>
      </c>
      <c r="Q42" s="271">
        <f>IF(F42-SUM(G42:N42)&lt;=0,(F42-SUM(G42:N42))*-1,0)</f>
        <v>428.94000000000005</v>
      </c>
    </row>
    <row r="43" spans="2:19">
      <c r="B43" s="118"/>
      <c r="C43" s="118"/>
      <c r="E43" s="523">
        <f>E26</f>
        <v>0</v>
      </c>
      <c r="G43" s="349"/>
      <c r="J43" s="7"/>
      <c r="L43" s="7"/>
      <c r="N43" s="7"/>
      <c r="O43" s="273"/>
      <c r="P43" s="273"/>
      <c r="Q43" s="282"/>
    </row>
    <row r="44" spans="2:19" ht="18">
      <c r="B44" s="728" t="s">
        <v>817</v>
      </c>
      <c r="C44" s="728"/>
      <c r="D44" s="728"/>
      <c r="E44" s="529">
        <f>G44+I44+K44+M44+N44+E43</f>
        <v>5793.13</v>
      </c>
      <c r="F44" s="530"/>
      <c r="G44" s="271">
        <f>3475.67+40+910+55+100+65+250+49.87+50+25+72.33+61.26+40+38+40+40+55+160+41+170+55</f>
        <v>5793.13</v>
      </c>
      <c r="H44" s="282"/>
      <c r="I44" s="271"/>
      <c r="J44" s="271"/>
      <c r="K44" s="271"/>
      <c r="L44" s="271"/>
      <c r="M44" s="271"/>
      <c r="N44" s="271"/>
      <c r="O44" s="314">
        <f>ROUND(O5+O40+O25+IF(O41&lt;0,0,O41)+O42+O4,2)</f>
        <v>3092.74</v>
      </c>
      <c r="P44" s="274"/>
      <c r="Q44" s="282">
        <f>SUM(Q40,Q25,Q5)</f>
        <v>7.4499999999998998</v>
      </c>
    </row>
    <row r="45" spans="2:19" ht="18">
      <c r="B45" s="118"/>
      <c r="C45" s="7"/>
      <c r="D45" s="13" t="s">
        <v>1451</v>
      </c>
      <c r="G45" s="523"/>
      <c r="H45" s="243"/>
      <c r="L45" s="243"/>
    </row>
    <row r="46" spans="2:19" ht="14.4">
      <c r="B46" s="729"/>
      <c r="C46" s="729"/>
      <c r="D46" s="729"/>
      <c r="E46" s="729"/>
      <c r="F46" s="729"/>
      <c r="G46" s="729"/>
      <c r="H46" s="297"/>
      <c r="K46" s="729"/>
      <c r="L46" s="729"/>
      <c r="M46" s="729"/>
      <c r="N46" s="729"/>
      <c r="O46" s="729"/>
      <c r="P46" s="297"/>
    </row>
    <row r="47" spans="2:19" ht="15" customHeight="1">
      <c r="B47" s="726" t="s">
        <v>955</v>
      </c>
      <c r="C47" s="726"/>
      <c r="E47"/>
      <c r="F47" s="348"/>
      <c r="H47" s="243"/>
      <c r="K47" s="212"/>
      <c r="L47" s="212"/>
      <c r="M47" s="243"/>
      <c r="N47" s="118" t="s">
        <v>2102</v>
      </c>
      <c r="O47" s="316">
        <v>45683</v>
      </c>
      <c r="P47" s="7">
        <f ca="1">DATEDIF(O47,NOW(),"d")</f>
        <v>568</v>
      </c>
      <c r="Q47">
        <v>40</v>
      </c>
      <c r="R47" t="s">
        <v>1342</v>
      </c>
    </row>
    <row r="48" spans="2:19">
      <c r="B48" s="523"/>
      <c r="C48" s="38"/>
      <c r="E48" s="534"/>
      <c r="F48" s="11"/>
      <c r="G48" s="531"/>
      <c r="I48" s="243"/>
      <c r="K48" s="11"/>
      <c r="L48" s="243">
        <f>3060.44-O44</f>
        <v>-32.299999999999727</v>
      </c>
      <c r="N48" s="483" t="s">
        <v>2103</v>
      </c>
      <c r="O48" s="42">
        <v>45683</v>
      </c>
      <c r="P48" s="7">
        <f ca="1">DATEDIF(O48,NOW(),"d")</f>
        <v>568</v>
      </c>
      <c r="Q48">
        <v>13</v>
      </c>
      <c r="R48" t="s">
        <v>1317</v>
      </c>
    </row>
    <row r="49" spans="2:18">
      <c r="E49" s="534"/>
      <c r="G49" s="458"/>
      <c r="H49" s="445"/>
      <c r="I49" s="11"/>
      <c r="J49" s="243"/>
      <c r="L49" s="243"/>
      <c r="N49" s="358" t="s">
        <v>2098</v>
      </c>
      <c r="O49" s="316">
        <v>45669</v>
      </c>
      <c r="P49" s="7">
        <f ca="1">DATEDIF(O49,NOW(),"d")</f>
        <v>582</v>
      </c>
      <c r="Q49">
        <v>82.51</v>
      </c>
      <c r="R49" t="s">
        <v>1317</v>
      </c>
    </row>
    <row r="50" spans="2:18" ht="16.2" customHeight="1">
      <c r="E50" s="534"/>
      <c r="G50" s="458"/>
      <c r="H50" s="243"/>
      <c r="I50" s="243"/>
      <c r="J50" s="213"/>
      <c r="K50" s="213"/>
      <c r="L50" s="243"/>
      <c r="O50" s="316"/>
    </row>
    <row r="51" spans="2:18">
      <c r="B51" s="532"/>
      <c r="D51" s="243" t="s">
        <v>2083</v>
      </c>
      <c r="E51" t="s">
        <v>2092</v>
      </c>
      <c r="F51" t="s">
        <v>2084</v>
      </c>
      <c r="G51" t="s">
        <v>2085</v>
      </c>
      <c r="H51" t="s">
        <v>2086</v>
      </c>
      <c r="I51" t="s">
        <v>2087</v>
      </c>
      <c r="J51" t="s">
        <v>2088</v>
      </c>
      <c r="K51" t="s">
        <v>2089</v>
      </c>
      <c r="L51" t="s">
        <v>2080</v>
      </c>
      <c r="M51" s="243" t="s">
        <v>2082</v>
      </c>
      <c r="N51" t="s">
        <v>2090</v>
      </c>
      <c r="O51" s="7" t="s">
        <v>2093</v>
      </c>
      <c r="P51" t="s">
        <v>2091</v>
      </c>
      <c r="Q51" t="s">
        <v>2081</v>
      </c>
      <c r="R51" t="s">
        <v>1266</v>
      </c>
    </row>
    <row r="52" spans="2:18" ht="14.4">
      <c r="D52">
        <v>158000</v>
      </c>
      <c r="E52" s="11">
        <f>230000</f>
        <v>230000</v>
      </c>
      <c r="F52" s="390">
        <f>E52-D52</f>
        <v>72000</v>
      </c>
      <c r="G52">
        <v>418000</v>
      </c>
      <c r="H52" s="243">
        <v>0</v>
      </c>
      <c r="I52">
        <f>5000+5000</f>
        <v>10000</v>
      </c>
      <c r="J52" s="243">
        <f>G52-F52+H52+I52</f>
        <v>356000</v>
      </c>
      <c r="K52">
        <f>ROUND((J52/G52) * 100, 2)</f>
        <v>85.17</v>
      </c>
      <c r="L52">
        <v>4.5</v>
      </c>
      <c r="M52" s="243">
        <v>28</v>
      </c>
      <c r="N52">
        <v>838</v>
      </c>
      <c r="O52" s="7">
        <v>0</v>
      </c>
      <c r="P52">
        <f>ROUND(((L52 / 100 / 12) * J52) / (1 - ((1 + (L52 / 100 / 12)) ^ ((M52 * -1) * 12))), 2)</f>
        <v>1865.37</v>
      </c>
      <c r="Q52" s="243">
        <f>P52-N52-O52</f>
        <v>1027.3699999999999</v>
      </c>
      <c r="R52">
        <f>ROUND((Q52/P52) * 100, 2)</f>
        <v>55.08</v>
      </c>
    </row>
    <row r="53" spans="2:18">
      <c r="E53" s="534"/>
      <c r="F53" s="492"/>
      <c r="G53" s="118"/>
      <c r="H53" s="515"/>
      <c r="K53" s="725"/>
      <c r="L53" s="725"/>
      <c r="M53" s="243"/>
      <c r="P53" s="292"/>
      <c r="Q53" s="212"/>
    </row>
    <row r="54" spans="2:18" ht="15" customHeight="1">
      <c r="F54"/>
      <c r="H54" s="243"/>
      <c r="K54" s="353"/>
      <c r="L54" s="243"/>
      <c r="M54" s="243"/>
      <c r="N54" s="243"/>
      <c r="P54" s="56"/>
      <c r="Q54" s="38"/>
    </row>
    <row r="55" spans="2:18">
      <c r="F55"/>
      <c r="G55" s="243"/>
      <c r="H55" s="243"/>
      <c r="L55" s="243"/>
      <c r="O55"/>
      <c r="P55"/>
    </row>
    <row r="56" spans="2:18" ht="15" customHeight="1">
      <c r="F56" t="s">
        <v>183</v>
      </c>
      <c r="G56" s="11"/>
    </row>
    <row r="57" spans="2:18" ht="16.2" customHeight="1">
      <c r="E57" s="781" t="s">
        <v>606</v>
      </c>
      <c r="F57">
        <v>2274.5300000000002</v>
      </c>
    </row>
    <row r="58" spans="2:18">
      <c r="B58" s="11"/>
      <c r="E58" s="781"/>
      <c r="F58" s="523">
        <v>5000</v>
      </c>
      <c r="H58" s="243"/>
      <c r="I58" s="243"/>
      <c r="J58" s="79"/>
      <c r="O58"/>
      <c r="P58"/>
    </row>
    <row r="59" spans="2:18">
      <c r="B59" s="11"/>
      <c r="E59" s="284" t="s">
        <v>166</v>
      </c>
      <c r="F59" s="523">
        <v>1415</v>
      </c>
      <c r="G59" s="369"/>
      <c r="I59" s="248"/>
      <c r="J59" s="390"/>
      <c r="O59"/>
      <c r="P59"/>
    </row>
    <row r="60" spans="2:18">
      <c r="E60" s="534" t="s">
        <v>19</v>
      </c>
      <c r="F60" s="523">
        <v>200</v>
      </c>
      <c r="G60" s="369"/>
      <c r="J60" s="79"/>
      <c r="L60" s="243"/>
      <c r="M60" s="243"/>
      <c r="O60"/>
      <c r="P60"/>
    </row>
    <row r="61" spans="2:18">
      <c r="B61" s="212"/>
      <c r="C61" s="212"/>
      <c r="G61" s="532"/>
      <c r="I61" s="516"/>
      <c r="J61" s="517"/>
      <c r="K61" s="118"/>
      <c r="O61"/>
      <c r="P61"/>
    </row>
    <row r="62" spans="2:18">
      <c r="C62" s="56"/>
      <c r="F62"/>
      <c r="I62" s="494"/>
      <c r="J62" s="79"/>
      <c r="O62"/>
      <c r="P62"/>
    </row>
    <row r="63" spans="2:18" ht="15.75" customHeight="1">
      <c r="C63" s="56"/>
      <c r="D63" t="s">
        <v>2066</v>
      </c>
      <c r="F63"/>
      <c r="L63" s="243"/>
      <c r="M63" s="243"/>
      <c r="O63"/>
      <c r="P63"/>
    </row>
    <row r="64" spans="2:18" ht="14.4">
      <c r="C64" s="56"/>
      <c r="D64" t="s">
        <v>2067</v>
      </c>
      <c r="E64"/>
      <c r="F64"/>
      <c r="M64" s="243"/>
      <c r="O64"/>
      <c r="P64"/>
    </row>
    <row r="65" spans="2:16" ht="14.4">
      <c r="C65" s="56"/>
      <c r="D65" s="188" t="s">
        <v>2068</v>
      </c>
      <c r="E65">
        <v>90</v>
      </c>
      <c r="F65" s="79"/>
      <c r="O65"/>
      <c r="P65"/>
    </row>
    <row r="66" spans="2:16">
      <c r="C66" s="56"/>
      <c r="D66" t="s">
        <v>2069</v>
      </c>
      <c r="E66"/>
      <c r="O66"/>
      <c r="P66"/>
    </row>
    <row r="67" spans="2:16">
      <c r="C67" s="56"/>
      <c r="E67" s="407"/>
      <c r="O67"/>
      <c r="P67"/>
    </row>
    <row r="68" spans="2:16">
      <c r="C68" s="56"/>
      <c r="E68"/>
      <c r="G68">
        <v>2000</v>
      </c>
      <c r="I68" s="407">
        <v>2500</v>
      </c>
      <c r="J68" s="79">
        <v>500</v>
      </c>
      <c r="K68">
        <v>2500</v>
      </c>
      <c r="L68">
        <v>500</v>
      </c>
      <c r="N68" s="288"/>
      <c r="O68"/>
      <c r="P68"/>
    </row>
    <row r="69" spans="2:16">
      <c r="C69" s="56"/>
      <c r="E69" s="347"/>
      <c r="F69" s="523">
        <v>1500</v>
      </c>
      <c r="G69">
        <v>1500</v>
      </c>
      <c r="H69">
        <v>1500</v>
      </c>
      <c r="I69">
        <v>1500</v>
      </c>
      <c r="J69">
        <v>1500</v>
      </c>
      <c r="K69">
        <v>1500</v>
      </c>
      <c r="L69">
        <v>1500</v>
      </c>
      <c r="M69">
        <v>1500</v>
      </c>
      <c r="O69"/>
      <c r="P69"/>
    </row>
    <row r="70" spans="2:16" ht="14.4">
      <c r="C70" s="56"/>
      <c r="D70" t="s">
        <v>2100</v>
      </c>
      <c r="E70" t="s">
        <v>280</v>
      </c>
      <c r="F70" t="s">
        <v>281</v>
      </c>
      <c r="G70" t="s">
        <v>282</v>
      </c>
      <c r="H70" t="s">
        <v>284</v>
      </c>
      <c r="I70" t="s">
        <v>285</v>
      </c>
      <c r="J70" s="118" t="s">
        <v>286</v>
      </c>
      <c r="K70" t="s">
        <v>287</v>
      </c>
      <c r="L70" s="243" t="s">
        <v>288</v>
      </c>
      <c r="M70" t="s">
        <v>289</v>
      </c>
      <c r="O70"/>
      <c r="P70"/>
    </row>
    <row r="71" spans="2:16" ht="14.4">
      <c r="C71" s="56"/>
      <c r="D71" t="s">
        <v>1363</v>
      </c>
      <c r="E71" s="407">
        <v>15000</v>
      </c>
      <c r="F71"/>
      <c r="G71" s="407"/>
      <c r="H71" s="407">
        <f>E71+H69-1000</f>
        <v>15500</v>
      </c>
      <c r="I71" s="407">
        <f>H71+SUM(I68:I69)</f>
        <v>19500</v>
      </c>
      <c r="J71" s="407">
        <f>I71+SUM(J69+J68)</f>
        <v>21500</v>
      </c>
      <c r="K71" s="242"/>
      <c r="O71"/>
      <c r="P71"/>
    </row>
    <row r="72" spans="2:16" ht="15.45" customHeight="1">
      <c r="C72" s="56"/>
      <c r="D72" t="s">
        <v>1589</v>
      </c>
      <c r="E72" s="407"/>
      <c r="F72" s="11">
        <f>F69</f>
        <v>1500</v>
      </c>
      <c r="G72" s="407">
        <f>F72+SUM(G68, G69)</f>
        <v>5000</v>
      </c>
      <c r="H72" s="536">
        <f>G72+H69-500</f>
        <v>6000</v>
      </c>
      <c r="K72" s="407">
        <f>H72+SUM(K68,K69)</f>
        <v>10000</v>
      </c>
      <c r="L72" s="407">
        <f>K72+SUM(L68:L69)</f>
        <v>12000</v>
      </c>
      <c r="M72" s="536">
        <f>L72+M69</f>
        <v>13500</v>
      </c>
      <c r="O72"/>
      <c r="P72"/>
    </row>
    <row r="73" spans="2:16" ht="14.4">
      <c r="D73" s="459"/>
      <c r="E73" s="243"/>
      <c r="F73" s="459"/>
      <c r="G73" s="243"/>
      <c r="O73"/>
      <c r="P73"/>
    </row>
    <row r="74" spans="2:16" ht="14.4">
      <c r="B74" s="212"/>
      <c r="C74" s="294"/>
      <c r="D74" s="188"/>
      <c r="E74"/>
      <c r="F74" s="188"/>
      <c r="O74"/>
      <c r="P74"/>
    </row>
    <row r="75" spans="2:16" ht="15.45" customHeight="1">
      <c r="C75" s="56"/>
      <c r="E75"/>
      <c r="F75"/>
      <c r="M75" s="243"/>
      <c r="O75"/>
      <c r="P75"/>
    </row>
    <row r="76" spans="2:16">
      <c r="C76" s="56"/>
      <c r="E76" s="532"/>
      <c r="F76"/>
      <c r="G76" s="532"/>
      <c r="O76"/>
      <c r="P76"/>
    </row>
    <row r="77" spans="2:16">
      <c r="C77" s="56"/>
      <c r="L77" s="459"/>
      <c r="M77" s="461"/>
      <c r="O77"/>
      <c r="P77"/>
    </row>
    <row r="78" spans="2:16">
      <c r="C78" s="56"/>
      <c r="D78" s="426"/>
      <c r="E78" s="533"/>
      <c r="L78" s="188"/>
      <c r="M78" s="230"/>
      <c r="O78"/>
      <c r="P78"/>
    </row>
    <row r="79" spans="2:16">
      <c r="C79" s="56"/>
      <c r="D79" s="405"/>
      <c r="E79" s="407"/>
      <c r="L79" s="188"/>
      <c r="M79" s="230"/>
      <c r="O79"/>
      <c r="P79"/>
    </row>
    <row r="80" spans="2:16">
      <c r="C80" s="56"/>
      <c r="D80" s="532"/>
      <c r="E80">
        <v>13000</v>
      </c>
      <c r="L80" s="188"/>
      <c r="M80" s="230"/>
      <c r="O80"/>
      <c r="P80"/>
    </row>
    <row r="81" spans="5:16">
      <c r="E81" s="533">
        <v>15000</v>
      </c>
      <c r="L81" s="188"/>
      <c r="M81" s="230"/>
      <c r="O81"/>
      <c r="P81"/>
    </row>
    <row r="82" spans="5:16">
      <c r="E82" s="533">
        <v>5000</v>
      </c>
      <c r="L82" s="532"/>
      <c r="M82" s="230"/>
      <c r="O82"/>
      <c r="P82"/>
    </row>
    <row r="83" spans="5:16">
      <c r="E83" s="533"/>
      <c r="F83" s="212"/>
      <c r="L83" s="405"/>
      <c r="M83" s="230"/>
      <c r="O83"/>
      <c r="P83"/>
    </row>
    <row r="84" spans="5:16" ht="14.4">
      <c r="E84"/>
      <c r="F84"/>
      <c r="L84" s="405"/>
      <c r="M84" s="462"/>
      <c r="O84"/>
      <c r="P84"/>
    </row>
    <row r="85" spans="5:16" ht="14.4">
      <c r="E85"/>
      <c r="F85"/>
      <c r="O85"/>
      <c r="P85"/>
    </row>
    <row r="86" spans="5:16" ht="14.4">
      <c r="E86"/>
      <c r="F86"/>
      <c r="O86"/>
      <c r="P86"/>
    </row>
    <row r="87" spans="5:16" ht="14.4">
      <c r="E87" s="292"/>
      <c r="F87" s="56"/>
      <c r="O87"/>
      <c r="P87"/>
    </row>
    <row r="88" spans="5:16" ht="14.4">
      <c r="E88" s="42"/>
      <c r="F88" s="56"/>
      <c r="O88"/>
      <c r="P88"/>
    </row>
    <row r="89" spans="5:16" ht="14.4">
      <c r="E89" s="56"/>
      <c r="F89" s="56"/>
      <c r="O89"/>
      <c r="P89"/>
    </row>
    <row r="90" spans="5:16">
      <c r="O90"/>
      <c r="P90"/>
    </row>
    <row r="91" spans="5:16" ht="14.4">
      <c r="E91" s="212"/>
      <c r="F91" s="212"/>
      <c r="O91"/>
      <c r="P91"/>
    </row>
    <row r="92" spans="5:16" ht="14.4">
      <c r="E92"/>
      <c r="F92" s="56"/>
      <c r="O92"/>
      <c r="P92"/>
    </row>
    <row r="93" spans="5:16" ht="14.4">
      <c r="E93" s="56"/>
      <c r="F93" s="56"/>
      <c r="O93"/>
      <c r="P93"/>
    </row>
    <row r="94" spans="5:16" ht="14.4">
      <c r="E94" s="56"/>
      <c r="F94" s="56"/>
      <c r="G94" s="407"/>
      <c r="O94"/>
      <c r="P94"/>
    </row>
    <row r="95" spans="5:16" ht="14.4">
      <c r="E95" s="56"/>
      <c r="F95" s="56"/>
      <c r="G95" s="407"/>
      <c r="O95"/>
      <c r="P95"/>
    </row>
    <row r="96" spans="5:16" ht="14.4">
      <c r="E96" s="56"/>
      <c r="F96" s="56"/>
      <c r="G96" s="407"/>
      <c r="O96"/>
      <c r="P96"/>
    </row>
    <row r="97" spans="5:16" ht="14.4">
      <c r="E97" s="56"/>
      <c r="F97" s="56"/>
      <c r="G97" s="407"/>
      <c r="O97"/>
      <c r="P97"/>
    </row>
    <row r="98" spans="5:16">
      <c r="G98" s="407"/>
      <c r="O98"/>
      <c r="P98"/>
    </row>
    <row r="99" spans="5:16">
      <c r="G99" s="407"/>
      <c r="O99"/>
      <c r="P99"/>
    </row>
    <row r="100" spans="5:16">
      <c r="G100" s="407"/>
      <c r="O100"/>
      <c r="P100"/>
    </row>
    <row r="101" spans="5:16">
      <c r="G101" s="407"/>
      <c r="H101">
        <f>16700</f>
        <v>16700</v>
      </c>
    </row>
    <row r="102" spans="5:16">
      <c r="H102">
        <v>14000</v>
      </c>
    </row>
  </sheetData>
  <mergeCells count="23">
    <mergeCell ref="B46:G46"/>
    <mergeCell ref="K46:O46"/>
    <mergeCell ref="B47:C47"/>
    <mergeCell ref="K53:L53"/>
    <mergeCell ref="E57:E58"/>
    <mergeCell ref="B44:D44"/>
    <mergeCell ref="B5:C5"/>
    <mergeCell ref="D5:E5"/>
    <mergeCell ref="B6:B20"/>
    <mergeCell ref="C6:C20"/>
    <mergeCell ref="E10:F10"/>
    <mergeCell ref="B24:E24"/>
    <mergeCell ref="B25:C25"/>
    <mergeCell ref="D25:E25"/>
    <mergeCell ref="B39:E39"/>
    <mergeCell ref="B40:C40"/>
    <mergeCell ref="D40:E40"/>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4F20-440C-480D-A223-BB86212AB633}">
  <dimension ref="A1:T102"/>
  <sheetViews>
    <sheetView topLeftCell="D35" zoomScale="90" zoomScaleNormal="90" workbookViewId="0">
      <selection activeCell="J36" sqref="J36"/>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0" ht="25.5" customHeight="1">
      <c r="A1" t="str">
        <f ca="1">UPPER(TEXT((1&amp;LEFT(B$1,3))-1,"MMM"))&amp;"-"&amp;UPPER(TEXT((1&amp;RIGHT(LEFT(B$1,7),3))-1,"MMM"))&amp;" "&amp;RIGHT(B$1,4)</f>
        <v>DEC-JAN B 25</v>
      </c>
      <c r="B1" s="730" t="str">
        <f ca="1">MID(CELL("filename",B1),FIND("]",CELL("filename",B1))+1,255)</f>
        <v>JAN-FEB 25</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ROUND(O5+O40+O25+IF(O41&lt;0,0,O41)+O42+O4,2) &amp; " / " &amp; "£" &amp; E44</f>
        <v>£1056.62 / £7381.06</v>
      </c>
      <c r="G3" s="732">
        <v>45682</v>
      </c>
      <c r="H3" s="732"/>
      <c r="I3" s="732">
        <f>G3+7</f>
        <v>45689</v>
      </c>
      <c r="J3" s="732"/>
      <c r="K3" s="732">
        <f>I3+7</f>
        <v>45696</v>
      </c>
      <c r="L3" s="732"/>
      <c r="M3" s="732">
        <f>K3+7</f>
        <v>45703</v>
      </c>
      <c r="N3" s="732"/>
      <c r="O3" s="308">
        <v>0</v>
      </c>
      <c r="P3" s="325" t="s">
        <v>1224</v>
      </c>
      <c r="Q3" s="282"/>
    </row>
    <row r="4" spans="1:20" ht="15" customHeight="1">
      <c r="B4" s="727" t="str">
        <f>_xlfn.CONCAT("Expenses - 50 - ",G44*0.5," / Actual = ",ROUND(D5,2)," (",ROUND((D5/G44)*100,2),")")</f>
        <v>Expenses - 50 - 3690.53 / Actual = 3077.04 (41.69)</v>
      </c>
      <c r="C4" s="727"/>
      <c r="D4" s="727"/>
      <c r="E4" s="727"/>
      <c r="F4" s="318"/>
      <c r="G4" s="243"/>
      <c r="H4" s="304">
        <f>SUM(H5:H42)</f>
        <v>482.82</v>
      </c>
      <c r="I4" s="243"/>
      <c r="J4" s="304">
        <f>SUM(J5:J42)</f>
        <v>642.34999999999991</v>
      </c>
      <c r="K4" s="243"/>
      <c r="L4" s="304">
        <f>SUM(L5:L42)</f>
        <v>3130.9900000000002</v>
      </c>
      <c r="M4" s="243"/>
      <c r="N4" s="304">
        <f>SUM(N5:N42)-SUM(N27:N33)</f>
        <v>0</v>
      </c>
      <c r="O4" s="308">
        <f>IF(H43&lt;&gt;"PAID",H4,0)+IF(J43&lt;&gt;"PAID",J4,0)+IF(L43&lt;&gt;"PAID",L4,0)+IF(N43&lt;&gt;"PAID",N4,0)</f>
        <v>3613.8100000000004</v>
      </c>
      <c r="P4" s="309" t="s">
        <v>973</v>
      </c>
      <c r="Q4" s="408"/>
      <c r="R4" s="243"/>
      <c r="S4" s="243"/>
    </row>
    <row r="5" spans="1:20" ht="15" customHeight="1">
      <c r="B5" s="733" t="str">
        <f>IF(D5&gt;E$44*0.5,ROUND(D5-E$44*0.5,2) &amp; " Over",ROUND(E$44*0.5-D5,2) &amp; " Under")</f>
        <v>613.49 Under</v>
      </c>
      <c r="C5" s="733"/>
      <c r="D5" s="761">
        <f>ROUND(SUM(F6:F22),2)</f>
        <v>3077.04</v>
      </c>
      <c r="E5" s="761"/>
      <c r="F5" s="321"/>
      <c r="G5" s="284"/>
      <c r="H5" s="306"/>
      <c r="I5" s="390"/>
      <c r="J5" s="306"/>
      <c r="K5" s="390"/>
      <c r="L5" s="306"/>
      <c r="M5" s="79"/>
      <c r="N5" s="305"/>
      <c r="O5" s="285">
        <f>SUMIF(O6:O22,"&gt;0")</f>
        <v>103.08</v>
      </c>
      <c r="P5" s="285" t="s">
        <v>892</v>
      </c>
      <c r="Q5" s="282">
        <f>SUM(Q6:Q22)</f>
        <v>151.0300000000002</v>
      </c>
      <c r="R5" s="243"/>
    </row>
    <row r="6" spans="1:20" ht="15" customHeight="1">
      <c r="B6" s="734" t="str">
        <f>"50%: " &amp; E$44*0.5</f>
        <v>50%: 3690.53</v>
      </c>
      <c r="C6" s="734" t="str">
        <f>ROUND((D5/E$44)*100,2) &amp; "%: " &amp;D5</f>
        <v>41.69%: 3077.04</v>
      </c>
      <c r="D6" s="13" t="s">
        <v>805</v>
      </c>
      <c r="E6" s="523">
        <v>0</v>
      </c>
      <c r="F6" s="528">
        <f>150</f>
        <v>150</v>
      </c>
      <c r="H6" s="304">
        <v>28</v>
      </c>
      <c r="J6" s="305">
        <f>30.01+15.01</f>
        <v>45.02</v>
      </c>
      <c r="L6" s="305">
        <f>20.01+42.93+32.35</f>
        <v>95.289999999999992</v>
      </c>
      <c r="N6" s="305"/>
      <c r="O6" s="274">
        <f>SUM(E6:F6)-SUM(G6:N6)</f>
        <v>-18.310000000000002</v>
      </c>
      <c r="P6" s="274" t="str">
        <f t="shared" ref="P6:P22" si="0">D6</f>
        <v>Car Petrol / commuting</v>
      </c>
      <c r="Q6" s="282">
        <f>IF(O6&lt;0,O6*-1,0)</f>
        <v>18.310000000000002</v>
      </c>
      <c r="R6" s="243"/>
    </row>
    <row r="7" spans="1:20" ht="15" customHeight="1">
      <c r="B7" s="734"/>
      <c r="C7" s="734"/>
      <c r="D7" s="13" t="s">
        <v>169</v>
      </c>
      <c r="E7" s="523">
        <v>0</v>
      </c>
      <c r="F7" s="523">
        <f>400+25</f>
        <v>425</v>
      </c>
      <c r="H7" s="304">
        <f>6.35+62.54+59.38</f>
        <v>128.27000000000001</v>
      </c>
      <c r="J7" s="305">
        <f>30.26+9.2+7.9+5.8+11.6</f>
        <v>64.759999999999991</v>
      </c>
      <c r="L7" s="305">
        <f>43.38+83.39+5.18+5.75+9.68+8.75+4.75+3.5+7.6+15.5+10.07+24.37+2.09+11.65+11.5+20.37+4.3+4+66.72+6.07+13.05</f>
        <v>361.67000000000007</v>
      </c>
      <c r="N7" s="305"/>
      <c r="O7" s="274">
        <f>SUM(E7:F7)-SUM(G7:N7)</f>
        <v>-129.70000000000005</v>
      </c>
      <c r="P7" s="274" t="str">
        <f t="shared" si="0"/>
        <v>Food</v>
      </c>
      <c r="Q7" s="282">
        <f>IF(O7&lt;0,O7*-1,0)</f>
        <v>129.70000000000005</v>
      </c>
      <c r="R7" s="243"/>
    </row>
    <row r="8" spans="1:20" ht="15" customHeight="1">
      <c r="B8" s="734"/>
      <c r="C8" s="734"/>
      <c r="D8" s="13" t="s">
        <v>153</v>
      </c>
      <c r="E8" s="523">
        <v>0</v>
      </c>
      <c r="F8" s="523">
        <f>100</f>
        <v>100</v>
      </c>
      <c r="H8" s="305"/>
      <c r="J8" s="305"/>
      <c r="L8" s="305">
        <f>33.19+28+38.53</f>
        <v>99.72</v>
      </c>
      <c r="N8" s="305"/>
      <c r="O8" s="274">
        <f>SUM(E8:F8)-SUM(G8:N8)</f>
        <v>0.28000000000000114</v>
      </c>
      <c r="P8" s="274" t="str">
        <f t="shared" si="0"/>
        <v>Luna</v>
      </c>
      <c r="Q8" s="282">
        <f>IF(O8&lt;0,O8*-1,0)</f>
        <v>0</v>
      </c>
    </row>
    <row r="9" spans="1:20" ht="15" customHeight="1">
      <c r="B9" s="734"/>
      <c r="C9" s="734"/>
      <c r="D9" s="13" t="s">
        <v>1079</v>
      </c>
      <c r="E9" s="523">
        <v>0</v>
      </c>
      <c r="F9" s="523">
        <f>30</f>
        <v>30</v>
      </c>
      <c r="H9" s="305"/>
      <c r="J9" s="305"/>
      <c r="L9" s="305">
        <f>5.56+12.34</f>
        <v>17.899999999999999</v>
      </c>
      <c r="N9" s="305"/>
      <c r="O9" s="274">
        <f>SUM(E9:F9)-SUM(G9:N9)</f>
        <v>12.100000000000001</v>
      </c>
      <c r="P9" s="274" t="str">
        <f t="shared" si="0"/>
        <v>Creamy</v>
      </c>
      <c r="Q9" s="282">
        <f>IF(O9&lt;0,O9*-1,0)</f>
        <v>0</v>
      </c>
      <c r="R9" s="243"/>
    </row>
    <row r="10" spans="1:20" ht="15" customHeight="1">
      <c r="B10" s="734"/>
      <c r="C10" s="734"/>
      <c r="D10" s="13" t="s">
        <v>189</v>
      </c>
      <c r="E10" s="735">
        <f>SUM(F11:F22)</f>
        <v>2372.04</v>
      </c>
      <c r="F10" s="735"/>
      <c r="G10" s="243"/>
      <c r="H10" s="305"/>
      <c r="J10" s="305"/>
      <c r="L10" s="305"/>
      <c r="N10" s="305"/>
      <c r="O10" s="274"/>
      <c r="P10" s="274" t="str">
        <f t="shared" si="0"/>
        <v>Direct debits</v>
      </c>
      <c r="Q10" s="282"/>
      <c r="R10" s="243"/>
    </row>
    <row r="11" spans="1:20" ht="15" customHeight="1" outlineLevel="1">
      <c r="B11" s="734"/>
      <c r="C11" s="734"/>
      <c r="D11" s="201" t="s">
        <v>595</v>
      </c>
      <c r="E11" s="523">
        <v>0</v>
      </c>
      <c r="F11" s="523">
        <v>838</v>
      </c>
      <c r="G11">
        <v>838</v>
      </c>
      <c r="H11" s="304"/>
      <c r="J11" s="305"/>
      <c r="L11" s="305"/>
      <c r="N11" s="305"/>
      <c r="O11" s="274">
        <f t="shared" ref="O11:O22" si="1">SUM(E11:F11)-SUM(G11:N11)</f>
        <v>0</v>
      </c>
      <c r="P11" s="274" t="str">
        <f t="shared" si="0"/>
        <v>Mortgage</v>
      </c>
      <c r="Q11" s="282">
        <f t="shared" ref="Q11:Q22" si="2">IF(O11&lt;0,O11*-1,0)</f>
        <v>0</v>
      </c>
      <c r="R11" s="243"/>
      <c r="S11" s="11"/>
    </row>
    <row r="12" spans="1:20" ht="15" customHeight="1" outlineLevel="1">
      <c r="B12" s="734"/>
      <c r="C12" s="734"/>
      <c r="D12" s="201" t="s">
        <v>596</v>
      </c>
      <c r="E12" s="523">
        <v>0</v>
      </c>
      <c r="F12" s="523">
        <v>154</v>
      </c>
      <c r="G12">
        <v>154</v>
      </c>
      <c r="H12" s="305"/>
      <c r="J12" s="305"/>
      <c r="L12" s="305"/>
      <c r="N12" s="305"/>
      <c r="O12" s="274">
        <f t="shared" si="1"/>
        <v>0</v>
      </c>
      <c r="P12" s="274" t="str">
        <f t="shared" si="0"/>
        <v>Council tax</v>
      </c>
      <c r="Q12" s="282">
        <f t="shared" si="2"/>
        <v>0</v>
      </c>
      <c r="S12" s="349"/>
    </row>
    <row r="13" spans="1:20" ht="15" customHeight="1" outlineLevel="1">
      <c r="B13" s="734"/>
      <c r="C13" s="734"/>
      <c r="D13" s="201" t="s">
        <v>1002</v>
      </c>
      <c r="E13" s="523">
        <v>0</v>
      </c>
      <c r="F13" s="523">
        <f>34+111.75</f>
        <v>145.75</v>
      </c>
      <c r="G13">
        <f>111.75</f>
        <v>111.75</v>
      </c>
      <c r="H13" s="305"/>
      <c r="J13" s="305"/>
      <c r="L13" s="305"/>
      <c r="N13" s="305"/>
      <c r="O13" s="274">
        <f t="shared" si="1"/>
        <v>34</v>
      </c>
      <c r="P13" s="274" t="str">
        <f t="shared" si="0"/>
        <v>Utilities (G,W,E,HTB)</v>
      </c>
      <c r="Q13" s="282">
        <f t="shared" si="2"/>
        <v>0</v>
      </c>
    </row>
    <row r="14" spans="1:20" ht="15" customHeight="1" outlineLevel="1">
      <c r="B14" s="734"/>
      <c r="C14" s="734"/>
      <c r="D14" s="201" t="s">
        <v>996</v>
      </c>
      <c r="E14" s="523">
        <v>0</v>
      </c>
      <c r="F14" s="523">
        <v>22.7</v>
      </c>
      <c r="H14" s="305"/>
      <c r="J14" s="305"/>
      <c r="L14" s="305"/>
      <c r="N14" s="305"/>
      <c r="O14" s="274">
        <f t="shared" si="1"/>
        <v>22.7</v>
      </c>
      <c r="P14" s="274" t="str">
        <f t="shared" si="0"/>
        <v>Home Insurance</v>
      </c>
      <c r="Q14" s="282">
        <f t="shared" si="2"/>
        <v>0</v>
      </c>
    </row>
    <row r="15" spans="1:20" ht="15" customHeight="1" outlineLevel="1">
      <c r="B15" s="734"/>
      <c r="C15" s="734"/>
      <c r="D15" s="201" t="s">
        <v>1056</v>
      </c>
      <c r="E15" s="523">
        <v>0</v>
      </c>
      <c r="F15" s="523">
        <f>9.99+23.99+20.99</f>
        <v>54.97</v>
      </c>
      <c r="G15">
        <f>20.99+23.99+9.99</f>
        <v>54.97</v>
      </c>
      <c r="H15" s="305"/>
      <c r="J15" s="305"/>
      <c r="L15" s="305"/>
      <c r="N15" s="305"/>
      <c r="O15" s="274">
        <f t="shared" si="1"/>
        <v>0</v>
      </c>
      <c r="P15" s="274" t="str">
        <f t="shared" si="0"/>
        <v>Pet Health / Insurance</v>
      </c>
      <c r="Q15" s="282">
        <f t="shared" si="2"/>
        <v>0</v>
      </c>
    </row>
    <row r="16" spans="1:20" ht="15" customHeight="1" outlineLevel="1">
      <c r="B16" s="734"/>
      <c r="C16" s="734"/>
      <c r="D16" s="201" t="s">
        <v>1057</v>
      </c>
      <c r="E16" s="523">
        <v>0</v>
      </c>
      <c r="F16" s="523">
        <f>30.8+62.08</f>
        <v>92.88</v>
      </c>
      <c r="G16">
        <v>92.88</v>
      </c>
      <c r="H16" s="305"/>
      <c r="I16" s="11"/>
      <c r="J16" s="305"/>
      <c r="L16" s="305"/>
      <c r="N16" s="305"/>
      <c r="O16" s="274">
        <f t="shared" si="1"/>
        <v>0</v>
      </c>
      <c r="P16" s="274" t="str">
        <f t="shared" si="0"/>
        <v>Life / Income Insurance</v>
      </c>
      <c r="Q16" s="282">
        <f t="shared" si="2"/>
        <v>0</v>
      </c>
    </row>
    <row r="17" spans="2:20" ht="15" customHeight="1" outlineLevel="1">
      <c r="B17" s="734"/>
      <c r="C17" s="734"/>
      <c r="D17" s="201" t="s">
        <v>602</v>
      </c>
      <c r="E17" s="523">
        <v>0</v>
      </c>
      <c r="F17" s="523">
        <f>34</f>
        <v>34</v>
      </c>
      <c r="H17" s="305"/>
      <c r="J17" s="305"/>
      <c r="L17" s="305"/>
      <c r="N17" s="305"/>
      <c r="O17" s="274">
        <f t="shared" si="1"/>
        <v>34</v>
      </c>
      <c r="P17" s="274" t="str">
        <f t="shared" si="0"/>
        <v>Broadband / TV</v>
      </c>
      <c r="Q17" s="282">
        <f t="shared" si="2"/>
        <v>0</v>
      </c>
    </row>
    <row r="18" spans="2:20" ht="15" customHeight="1" outlineLevel="1">
      <c r="B18" s="734"/>
      <c r="C18" s="734"/>
      <c r="D18" s="201" t="s">
        <v>788</v>
      </c>
      <c r="E18" s="523">
        <v>0</v>
      </c>
      <c r="F18" s="523">
        <v>26</v>
      </c>
      <c r="G18">
        <v>27.2</v>
      </c>
      <c r="H18" s="305"/>
      <c r="J18" s="305"/>
      <c r="L18" s="305"/>
      <c r="N18" s="305"/>
      <c r="O18" s="274">
        <f t="shared" si="1"/>
        <v>-1.1999999999999993</v>
      </c>
      <c r="P18" s="274" t="str">
        <f t="shared" si="0"/>
        <v>Matt Phone</v>
      </c>
      <c r="Q18" s="282">
        <f t="shared" si="2"/>
        <v>1.1999999999999993</v>
      </c>
    </row>
    <row r="19" spans="2:20" ht="15" customHeight="1" outlineLevel="1">
      <c r="B19" s="734"/>
      <c r="C19" s="734"/>
      <c r="D19" s="201" t="s">
        <v>690</v>
      </c>
      <c r="E19" s="523">
        <v>0</v>
      </c>
      <c r="F19" s="523">
        <f>14+48.17+270+487+73.32+33.3</f>
        <v>925.79</v>
      </c>
      <c r="G19">
        <f>48.17+73.32+14+33.3+270.97+487.35</f>
        <v>927.11000000000013</v>
      </c>
      <c r="H19" s="305"/>
      <c r="J19" s="305"/>
      <c r="L19" s="305"/>
      <c r="N19" s="305"/>
      <c r="O19" s="274">
        <f t="shared" si="1"/>
        <v>-1.3200000000001637</v>
      </c>
      <c r="P19" s="274" t="str">
        <f t="shared" si="0"/>
        <v>Cars</v>
      </c>
      <c r="Q19" s="282">
        <f t="shared" si="2"/>
        <v>1.3200000000001637</v>
      </c>
    </row>
    <row r="20" spans="2:20" ht="15" customHeight="1" outlineLevel="1">
      <c r="B20" s="734"/>
      <c r="C20" s="734"/>
      <c r="D20" s="201" t="s">
        <v>944</v>
      </c>
      <c r="E20" s="523">
        <v>0</v>
      </c>
      <c r="F20" s="523">
        <v>15</v>
      </c>
      <c r="G20">
        <v>15</v>
      </c>
      <c r="H20" s="305"/>
      <c r="J20" s="305"/>
      <c r="L20" s="305"/>
      <c r="N20" s="305"/>
      <c r="O20" s="274">
        <f t="shared" si="1"/>
        <v>0</v>
      </c>
      <c r="P20" s="274" t="str">
        <f t="shared" si="0"/>
        <v>Windows</v>
      </c>
      <c r="Q20" s="282">
        <f t="shared" si="2"/>
        <v>0</v>
      </c>
      <c r="R20" s="243"/>
    </row>
    <row r="21" spans="2:20" ht="15" customHeight="1" outlineLevel="1">
      <c r="B21" s="7"/>
      <c r="C21" s="7"/>
      <c r="D21" s="201" t="s">
        <v>2042</v>
      </c>
      <c r="E21" s="523">
        <v>0</v>
      </c>
      <c r="F21" s="523">
        <v>0</v>
      </c>
      <c r="H21" s="305"/>
      <c r="J21" s="305"/>
      <c r="L21" s="305"/>
      <c r="N21" s="305"/>
      <c r="O21" s="274">
        <f t="shared" si="1"/>
        <v>0</v>
      </c>
      <c r="P21" s="274" t="str">
        <f t="shared" si="0"/>
        <v>Health + Wellness</v>
      </c>
      <c r="Q21" s="282">
        <f t="shared" si="2"/>
        <v>0</v>
      </c>
      <c r="R21" s="243"/>
    </row>
    <row r="22" spans="2:20" ht="15" customHeight="1" outlineLevel="1">
      <c r="B22" s="7"/>
      <c r="C22" s="7"/>
      <c r="D22" s="201" t="s">
        <v>781</v>
      </c>
      <c r="E22" s="523">
        <v>0</v>
      </c>
      <c r="F22" s="523">
        <f>7.99+18+4.99+0.99+9.99+12+8.99</f>
        <v>62.95</v>
      </c>
      <c r="G22" s="11">
        <f>12+9.99+8.99+18+1.49+7.99+4.99</f>
        <v>63.45000000000001</v>
      </c>
      <c r="H22" s="305"/>
      <c r="J22" s="305"/>
      <c r="L22" s="305"/>
      <c r="N22" s="305"/>
      <c r="O22" s="274">
        <f t="shared" si="1"/>
        <v>-0.50000000000000711</v>
      </c>
      <c r="P22" s="274" t="str">
        <f t="shared" si="0"/>
        <v>Subscriptions</v>
      </c>
      <c r="Q22" s="282">
        <f t="shared" si="2"/>
        <v>0.50000000000000711</v>
      </c>
      <c r="R22" s="243"/>
    </row>
    <row r="23" spans="2:20" ht="15" customHeight="1">
      <c r="B23" s="118"/>
      <c r="C23" s="118"/>
      <c r="D23" s="188"/>
      <c r="H23" s="305"/>
      <c r="J23" s="305"/>
      <c r="L23" s="305"/>
      <c r="N23" s="305"/>
      <c r="O23" s="273"/>
      <c r="P23" s="273"/>
      <c r="Q23" s="282"/>
    </row>
    <row r="24" spans="2:20" ht="15" customHeight="1">
      <c r="B24" s="736" t="str">
        <f>_xlfn.CONCAT("Savings - 20 - ",G44*0.2," / Actual = ",D25," (",ROUND((D25/G44)*100,2),")")</f>
        <v>Savings - 20 - 1476.212 / Actual = 3545.22 (48.03)</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3545.2200000000007</v>
      </c>
      <c r="E25" s="759"/>
      <c r="F25" s="319"/>
      <c r="H25" s="305"/>
      <c r="J25" s="305"/>
      <c r="L25" s="305"/>
      <c r="N25" s="305"/>
      <c r="O25" s="285">
        <f>O26</f>
        <v>-2172.3199999999997</v>
      </c>
      <c r="P25" s="285" t="s">
        <v>895</v>
      </c>
      <c r="Q25" s="282">
        <f>SUM(Q26:Q26)</f>
        <v>0</v>
      </c>
    </row>
    <row r="26" spans="2:20" ht="15" customHeight="1" outlineLevel="1">
      <c r="B26" s="7" t="str">
        <f>"20% : " &amp; E$44*0.2</f>
        <v>20% : 1476.212</v>
      </c>
      <c r="C26" s="7" t="str">
        <f>"20% : " &amp; E$44*0.2</f>
        <v>20% : 1476.212</v>
      </c>
      <c r="D26" s="300" t="s">
        <v>183</v>
      </c>
      <c r="E26" s="523">
        <v>0</v>
      </c>
      <c r="F26" s="523">
        <f>SUM(F27:F37)</f>
        <v>3545.2200000000007</v>
      </c>
      <c r="H26" s="305"/>
      <c r="J26" s="305"/>
      <c r="L26" s="305"/>
      <c r="N26" s="305"/>
      <c r="O26" s="274">
        <f>SUM(O27:O37)</f>
        <v>-2172.3199999999997</v>
      </c>
      <c r="P26" s="274" t="str">
        <f t="shared" ref="P26:P37" si="3">D26</f>
        <v>Savings</v>
      </c>
      <c r="Q26" s="282">
        <v>0</v>
      </c>
      <c r="R26" s="495"/>
      <c r="S26" s="243"/>
    </row>
    <row r="27" spans="2:20" ht="15" customHeight="1" outlineLevel="1">
      <c r="B27" s="7"/>
      <c r="C27" s="7"/>
      <c r="D27" s="300" t="s">
        <v>1485</v>
      </c>
      <c r="E27" s="523">
        <v>0</v>
      </c>
      <c r="F27" s="523">
        <v>40</v>
      </c>
      <c r="G27">
        <v>43.62</v>
      </c>
      <c r="H27" s="305"/>
      <c r="J27" s="305"/>
      <c r="L27" s="362"/>
      <c r="N27" s="315"/>
      <c r="O27" s="274">
        <f>SUM(E27:F27)-SUM(G27:N27)</f>
        <v>-3.6199999999999974</v>
      </c>
      <c r="P27" s="274" t="str">
        <f t="shared" si="3"/>
        <v>MOT / Service</v>
      </c>
      <c r="Q27" s="282"/>
      <c r="R27" s="243"/>
    </row>
    <row r="28" spans="2:20" ht="15" customHeight="1" outlineLevel="1">
      <c r="B28" s="7"/>
      <c r="C28" s="7"/>
      <c r="D28" s="300" t="s">
        <v>690</v>
      </c>
      <c r="E28" s="523">
        <v>0</v>
      </c>
      <c r="F28" s="523">
        <f>-468.84-232.5</f>
        <v>-701.33999999999992</v>
      </c>
      <c r="H28" s="305"/>
      <c r="J28" s="305"/>
      <c r="L28" s="362"/>
      <c r="N28" s="315"/>
      <c r="O28" s="274">
        <f>SUM(E28:F28)-SUM(G28:N28)</f>
        <v>-701.33999999999992</v>
      </c>
      <c r="P28" s="274" t="str">
        <f t="shared" si="3"/>
        <v>Cars</v>
      </c>
      <c r="Q28" s="282"/>
      <c r="R28" s="243"/>
    </row>
    <row r="29" spans="2:20" ht="15" customHeight="1" outlineLevel="1">
      <c r="B29" s="7"/>
      <c r="C29" s="7"/>
      <c r="D29" s="300" t="s">
        <v>590</v>
      </c>
      <c r="E29" s="523">
        <v>0</v>
      </c>
      <c r="F29" s="523">
        <f>165+10.99+8.99+2.85+29.95+20+10.06+74.83+2274.53</f>
        <v>2597.2000000000003</v>
      </c>
      <c r="G29" s="305">
        <v>3108.32</v>
      </c>
      <c r="J29" s="305"/>
      <c r="L29" s="362">
        <v>275.95</v>
      </c>
      <c r="N29" s="315"/>
      <c r="O29" s="274">
        <f>SUM(E29:F29)-SUM(G29:N29)-Q44</f>
        <v>-1026.1699999999992</v>
      </c>
      <c r="P29" s="274" t="str">
        <f t="shared" si="3"/>
        <v>Contingency</v>
      </c>
      <c r="Q29" s="282"/>
      <c r="T29" s="243"/>
    </row>
    <row r="30" spans="2:20" ht="15" customHeight="1" outlineLevel="1">
      <c r="B30" s="7"/>
      <c r="C30" s="7"/>
      <c r="D30" s="300" t="s">
        <v>1486</v>
      </c>
      <c r="E30" s="523">
        <v>0</v>
      </c>
      <c r="F30" s="523">
        <v>13.67</v>
      </c>
      <c r="G30">
        <v>68</v>
      </c>
      <c r="H30" s="305"/>
      <c r="J30" s="305"/>
      <c r="L30" s="362"/>
      <c r="N30" s="315"/>
      <c r="O30" s="274">
        <f>SUM(E30:F30)-SUM(G30:N30)</f>
        <v>-54.33</v>
      </c>
      <c r="P30" s="274" t="str">
        <f t="shared" si="3"/>
        <v>TV</v>
      </c>
      <c r="Q30" s="282"/>
    </row>
    <row r="31" spans="2:20" ht="15" customHeight="1" outlineLevel="1">
      <c r="B31" s="7"/>
      <c r="C31" s="7"/>
      <c r="D31" s="300" t="s">
        <v>1296</v>
      </c>
      <c r="E31" s="523">
        <v>0</v>
      </c>
      <c r="F31" s="523">
        <v>95</v>
      </c>
      <c r="H31" s="305"/>
      <c r="J31" s="305"/>
      <c r="L31" s="362"/>
      <c r="N31" s="315"/>
      <c r="O31" s="274">
        <f>SUM(E31:F31)-SUM(G31:N31)</f>
        <v>95</v>
      </c>
      <c r="P31" s="274" t="str">
        <f t="shared" si="3"/>
        <v>Offset</v>
      </c>
      <c r="Q31" s="282"/>
    </row>
    <row r="32" spans="2:20" ht="15" customHeight="1" outlineLevel="1">
      <c r="B32" s="7"/>
      <c r="C32" s="7"/>
      <c r="D32" s="300" t="s">
        <v>354</v>
      </c>
      <c r="E32" s="523">
        <v>0</v>
      </c>
      <c r="F32" s="523">
        <f>650+55+80+148</f>
        <v>933</v>
      </c>
      <c r="J32" s="305"/>
      <c r="L32" s="362">
        <f>1407.72</f>
        <v>1407.72</v>
      </c>
      <c r="N32" s="315"/>
      <c r="O32" s="274">
        <f>SUM(E32:F32)-SUM(H32:N32)</f>
        <v>-474.72</v>
      </c>
      <c r="P32" s="274" t="str">
        <f t="shared" si="3"/>
        <v>Holiday</v>
      </c>
      <c r="Q32" s="282"/>
    </row>
    <row r="33" spans="2:19" ht="15" customHeight="1" outlineLevel="1">
      <c r="B33" s="7"/>
      <c r="C33" s="7"/>
      <c r="D33" s="300" t="s">
        <v>701</v>
      </c>
      <c r="E33" s="523">
        <v>0</v>
      </c>
      <c r="F33" s="523">
        <f>250</f>
        <v>250</v>
      </c>
      <c r="J33" s="305"/>
      <c r="L33" s="362">
        <v>8.19</v>
      </c>
      <c r="N33" s="315"/>
      <c r="O33" s="274">
        <f>SUM(E33:F33)-SUM(G33:N33)</f>
        <v>241.81</v>
      </c>
      <c r="P33" s="274" t="str">
        <f t="shared" si="3"/>
        <v>Gift</v>
      </c>
      <c r="Q33" s="282"/>
    </row>
    <row r="34" spans="2:19" ht="15" customHeight="1" outlineLevel="1">
      <c r="B34" s="7"/>
      <c r="C34" s="7"/>
      <c r="D34" s="300" t="s">
        <v>1297</v>
      </c>
      <c r="E34" s="523">
        <v>0</v>
      </c>
      <c r="F34" s="523">
        <f>50+110+40</f>
        <v>200</v>
      </c>
      <c r="G34">
        <v>80</v>
      </c>
      <c r="H34" s="305">
        <f>6.42+77.5</f>
        <v>83.92</v>
      </c>
      <c r="L34" s="362"/>
      <c r="N34" s="315"/>
      <c r="O34" s="274">
        <f>SUM(E34:F34)-SUM(G34:N34)</f>
        <v>36.079999999999984</v>
      </c>
      <c r="P34" s="274" t="str">
        <f t="shared" si="3"/>
        <v>Skin</v>
      </c>
      <c r="Q34" s="282"/>
    </row>
    <row r="35" spans="2:19" ht="15" customHeight="1" outlineLevel="1">
      <c r="B35" s="7"/>
      <c r="C35" s="7"/>
      <c r="D35" s="300" t="s">
        <v>1391</v>
      </c>
      <c r="E35" s="523">
        <v>0</v>
      </c>
      <c r="F35" s="523">
        <v>75</v>
      </c>
      <c r="H35" s="305"/>
      <c r="J35" s="305">
        <v>76</v>
      </c>
      <c r="L35" s="362"/>
      <c r="N35" s="315"/>
      <c r="O35" s="274">
        <f>SUM(E35:F35)-SUM(G35:N35)</f>
        <v>-1</v>
      </c>
      <c r="P35" s="274" t="str">
        <f t="shared" si="3"/>
        <v>Avios</v>
      </c>
      <c r="Q35" s="282"/>
    </row>
    <row r="36" spans="2:19" ht="15" customHeight="1" outlineLevel="1">
      <c r="B36" s="7"/>
      <c r="C36" s="7"/>
      <c r="D36" s="300" t="s">
        <v>772</v>
      </c>
      <c r="E36" s="523">
        <v>0</v>
      </c>
      <c r="F36" s="523">
        <v>0</v>
      </c>
      <c r="H36" s="305"/>
      <c r="J36" s="305">
        <v>284.02999999999997</v>
      </c>
      <c r="L36" s="362"/>
      <c r="N36" s="315"/>
      <c r="O36" s="274">
        <f>SUM(E36:F36)-SUM(G36:N36)</f>
        <v>-284.02999999999997</v>
      </c>
      <c r="P36" s="274" t="str">
        <f t="shared" si="3"/>
        <v>Home</v>
      </c>
      <c r="Q36" s="282"/>
    </row>
    <row r="37" spans="2:19" ht="15" customHeight="1" outlineLevel="1">
      <c r="B37" s="7"/>
      <c r="C37" s="7"/>
      <c r="D37" s="300" t="s">
        <v>1589</v>
      </c>
      <c r="E37" s="523">
        <v>0</v>
      </c>
      <c r="F37" s="523">
        <v>42.69</v>
      </c>
      <c r="G37">
        <v>42.69</v>
      </c>
      <c r="H37" s="305"/>
      <c r="J37" s="305"/>
      <c r="L37" s="362"/>
      <c r="N37" s="315"/>
      <c r="O37" s="274">
        <f>SUM(E37:F37)-SUM(G37:N37)</f>
        <v>0</v>
      </c>
      <c r="P37" s="274" t="str">
        <f t="shared" si="3"/>
        <v>Amex</v>
      </c>
      <c r="Q37" s="282"/>
    </row>
    <row r="38" spans="2:19" ht="15" customHeight="1">
      <c r="B38" s="118"/>
      <c r="C38" s="118"/>
      <c r="H38" s="305"/>
      <c r="J38" s="305"/>
      <c r="L38" s="305"/>
      <c r="N38" s="305"/>
      <c r="O38" s="273"/>
      <c r="P38" s="273"/>
      <c r="Q38" s="282"/>
      <c r="R38" s="243"/>
    </row>
    <row r="39" spans="2:19" ht="15" customHeight="1">
      <c r="B39" s="727" t="str">
        <f>_xlfn.CONCAT("Wants - 30 - ",G44*0.3," / Actual = ",D40," (",ROUND((D40/G44)*100,2),")")</f>
        <v>Wants - 30 - 2214.318 / Actual = 758.800000000001 (10.28)</v>
      </c>
      <c r="C39" s="727"/>
      <c r="D39" s="727"/>
      <c r="E39" s="727"/>
      <c r="F39" s="318"/>
      <c r="H39" s="305"/>
      <c r="J39" s="305"/>
      <c r="L39" s="305"/>
      <c r="N39" s="305"/>
      <c r="O39" s="273"/>
      <c r="P39" s="273"/>
      <c r="Q39" s="282"/>
      <c r="S39" s="243"/>
    </row>
    <row r="40" spans="2:19" ht="15" customHeight="1">
      <c r="B40" s="727" t="str">
        <f>IF(ISNUMBER((SEARCH("Over",B$5))),"Operating under budget","Operating over budget")</f>
        <v>Operating over budget</v>
      </c>
      <c r="C40" s="727"/>
      <c r="D40" s="759">
        <f>(E$44-D5-D25-E43)</f>
        <v>758.80000000000064</v>
      </c>
      <c r="E40" s="727"/>
      <c r="F40" s="319">
        <f>F41</f>
        <v>255.80000000000064</v>
      </c>
      <c r="H40" s="305"/>
      <c r="J40" s="305"/>
      <c r="L40" s="305"/>
      <c r="N40" s="305"/>
      <c r="O40" s="285">
        <f>0</f>
        <v>0</v>
      </c>
      <c r="P40" s="285" t="s">
        <v>899</v>
      </c>
      <c r="Q40" s="282">
        <f>SUM(Q41:Q41)</f>
        <v>88.069999999999368</v>
      </c>
      <c r="S40" s="243"/>
    </row>
    <row r="41" spans="2:19" ht="18" outlineLevel="1">
      <c r="B41" s="7"/>
      <c r="C41" s="284"/>
      <c r="D41" s="13" t="s">
        <v>922</v>
      </c>
      <c r="E41" s="523">
        <v>0</v>
      </c>
      <c r="F41" s="523">
        <f>D40-F42</f>
        <v>255.80000000000064</v>
      </c>
      <c r="G41" s="11">
        <f>12.9+1.1+1.1+40</f>
        <v>55.1</v>
      </c>
      <c r="H41">
        <f>6.94+27.94+10.99+9.49+24.32+2</f>
        <v>81.680000000000007</v>
      </c>
      <c r="J41">
        <f>90.78+14.6+8+4.07+0.09</f>
        <v>117.53999999999999</v>
      </c>
      <c r="L41">
        <f>-17.99+0.79+2.45+7.8+11.49+9.25+15+6.49+13.25+10.09-14.87+7+17+5+4.8+3+9</f>
        <v>89.55</v>
      </c>
      <c r="N41" s="305"/>
      <c r="O41" s="274">
        <f>SUM(E41:F41)-SUM(G41:N41)</f>
        <v>-88.069999999999368</v>
      </c>
      <c r="P41" s="274" t="str">
        <f>D41</f>
        <v>Matt Fun</v>
      </c>
      <c r="Q41" s="282">
        <f>IF(SUM(E41:F41)-SUM(G41:N41)&lt;=0,(SUM(E41:F41)-SUM(G41:N41))*-1,0)</f>
        <v>88.069999999999368</v>
      </c>
    </row>
    <row r="42" spans="2:19" ht="18" outlineLevel="1">
      <c r="B42" s="7"/>
      <c r="C42" s="284"/>
      <c r="D42" s="13" t="s">
        <v>152</v>
      </c>
      <c r="E42" s="523">
        <v>0</v>
      </c>
      <c r="F42" s="523">
        <f>35+25+30+186+100+55+72</f>
        <v>503</v>
      </c>
      <c r="G42" s="11"/>
      <c r="H42" s="306">
        <f>15.98+9.49+125.99+9.49</f>
        <v>160.94999999999999</v>
      </c>
      <c r="J42" s="305">
        <v>55</v>
      </c>
      <c r="L42" s="305">
        <f>35+136+61.04+49.99+114.99+(110.14+7.1+6.75+5.4+15+33.39+18)+55+55.2+72</f>
        <v>775</v>
      </c>
      <c r="N42" s="305"/>
      <c r="O42" s="274">
        <f>SUM(E42:F42)-SUM(G42:N42)</f>
        <v>-487.95000000000005</v>
      </c>
      <c r="P42" s="274" t="str">
        <f>D42</f>
        <v>Kris</v>
      </c>
      <c r="Q42" s="271">
        <f>IF(F42-SUM(G42:N42)&lt;=0,(F42-SUM(G42:N42))*-1,0)</f>
        <v>487.95000000000005</v>
      </c>
    </row>
    <row r="43" spans="2:19">
      <c r="B43" s="118"/>
      <c r="C43" s="118"/>
      <c r="E43" s="523">
        <f>E26</f>
        <v>0</v>
      </c>
      <c r="G43" s="349"/>
      <c r="J43" s="7" t="s">
        <v>986</v>
      </c>
      <c r="L43" s="7"/>
      <c r="N43" s="7"/>
      <c r="O43" s="273"/>
      <c r="P43" s="273"/>
      <c r="Q43" s="282"/>
    </row>
    <row r="44" spans="2:19" ht="18">
      <c r="B44" s="728" t="s">
        <v>817</v>
      </c>
      <c r="C44" s="728"/>
      <c r="D44" s="728"/>
      <c r="E44" s="529">
        <f>G44+I44+K44+M44+N44+E43</f>
        <v>7381.0600000000013</v>
      </c>
      <c r="F44" s="530"/>
      <c r="G44" s="271">
        <f>3465.53+910+148+80+35+2274.53+25+30+186+100+55+72</f>
        <v>7381.0600000000013</v>
      </c>
      <c r="H44" s="282"/>
      <c r="I44" s="271"/>
      <c r="J44" s="271"/>
      <c r="K44" s="271"/>
      <c r="L44" s="271"/>
      <c r="M44" s="271"/>
      <c r="N44" s="271"/>
      <c r="O44" s="314">
        <f>ROUND(O5+O40+O25+IF(O41&lt;0,0,O41)+O42+O4,2)</f>
        <v>1056.6199999999999</v>
      </c>
      <c r="P44" s="274"/>
      <c r="Q44" s="282">
        <f>SUM(Q40,Q25,Q5)</f>
        <v>239.09999999999957</v>
      </c>
    </row>
    <row r="45" spans="2:19" ht="18">
      <c r="B45" s="118"/>
      <c r="C45" s="7"/>
      <c r="D45" s="13" t="s">
        <v>1451</v>
      </c>
      <c r="G45" s="523"/>
      <c r="H45" s="243"/>
      <c r="L45" s="243"/>
    </row>
    <row r="46" spans="2:19" ht="14.4">
      <c r="B46" s="729"/>
      <c r="C46" s="729"/>
      <c r="D46" s="729"/>
      <c r="E46" s="729"/>
      <c r="F46" s="729"/>
      <c r="G46" s="729"/>
      <c r="H46" s="297"/>
      <c r="K46" s="729"/>
      <c r="L46" s="729"/>
      <c r="M46" s="729"/>
      <c r="N46" s="729"/>
      <c r="O46" s="729"/>
      <c r="P46" s="297"/>
    </row>
    <row r="47" spans="2:19" ht="15" customHeight="1">
      <c r="B47" s="726" t="s">
        <v>955</v>
      </c>
      <c r="C47" s="726"/>
      <c r="E47"/>
      <c r="F47" s="348"/>
      <c r="H47" s="243"/>
      <c r="K47" s="212"/>
      <c r="L47" s="212"/>
      <c r="M47" s="243"/>
      <c r="N47" s="118" t="s">
        <v>2133</v>
      </c>
      <c r="O47" s="316">
        <v>45710</v>
      </c>
      <c r="P47" s="7">
        <f ca="1">DATEDIF(O47,NOW(),"d")</f>
        <v>541</v>
      </c>
      <c r="Q47">
        <v>72</v>
      </c>
      <c r="R47" t="s">
        <v>1342</v>
      </c>
    </row>
    <row r="48" spans="2:19">
      <c r="B48" s="523"/>
      <c r="C48" s="38"/>
      <c r="D48" t="s">
        <v>19</v>
      </c>
      <c r="E48">
        <v>210</v>
      </c>
      <c r="F48" s="11"/>
      <c r="G48" s="243">
        <f>O41+O4+O5</f>
        <v>3628.8200000000011</v>
      </c>
      <c r="I48" s="243"/>
      <c r="K48" s="11"/>
      <c r="L48" s="243">
        <f>3360.65-3286.08</f>
        <v>74.570000000000164</v>
      </c>
      <c r="N48" s="483" t="s">
        <v>2132</v>
      </c>
      <c r="O48" s="42">
        <v>45710</v>
      </c>
      <c r="P48" s="7">
        <f ca="1">DATEDIF(O48,NOW(),"d")</f>
        <v>541</v>
      </c>
      <c r="Q48">
        <v>59</v>
      </c>
      <c r="R48" t="s">
        <v>1105</v>
      </c>
    </row>
    <row r="49" spans="2:18">
      <c r="D49" t="s">
        <v>1843</v>
      </c>
      <c r="E49" s="534">
        <v>185</v>
      </c>
      <c r="G49" s="243">
        <f>G48-O44</f>
        <v>2572.2000000000012</v>
      </c>
      <c r="H49" s="445"/>
      <c r="I49" s="11"/>
      <c r="J49" s="243"/>
      <c r="L49" s="243">
        <f>L48-8.99-12.9-9.99</f>
        <v>42.690000000000168</v>
      </c>
      <c r="N49" s="358" t="s">
        <v>2130</v>
      </c>
      <c r="O49" s="316">
        <v>45710</v>
      </c>
      <c r="P49" s="7">
        <f ca="1">DATEDIF(O49,NOW(),"d")</f>
        <v>541</v>
      </c>
      <c r="Q49">
        <v>9</v>
      </c>
      <c r="R49" t="s">
        <v>2131</v>
      </c>
    </row>
    <row r="50" spans="2:18" ht="16.2" customHeight="1">
      <c r="D50" t="s">
        <v>2104</v>
      </c>
      <c r="E50" s="534">
        <v>160</v>
      </c>
      <c r="G50" s="458">
        <f>G49-E49</f>
        <v>2387.2000000000012</v>
      </c>
      <c r="H50" s="243"/>
      <c r="I50" s="243"/>
      <c r="J50" s="213"/>
      <c r="K50" s="213"/>
      <c r="L50" s="243"/>
      <c r="O50" s="316"/>
    </row>
    <row r="51" spans="2:18">
      <c r="B51" s="532"/>
      <c r="D51" s="243" t="s">
        <v>2126</v>
      </c>
      <c r="E51">
        <v>94</v>
      </c>
      <c r="F51"/>
      <c r="G51" s="539">
        <f>G50-E48</f>
        <v>2177.2000000000012</v>
      </c>
      <c r="I51" t="s">
        <v>2121</v>
      </c>
      <c r="J51" s="243">
        <f>SUM(O4:O5)</f>
        <v>3716.8900000000003</v>
      </c>
      <c r="M51" s="243"/>
      <c r="P51"/>
    </row>
    <row r="52" spans="2:18" ht="14.4">
      <c r="D52" t="s">
        <v>2127</v>
      </c>
      <c r="E52" s="11">
        <v>90</v>
      </c>
      <c r="F52" s="390"/>
      <c r="G52" s="539">
        <f>G51-160</f>
        <v>2017.2000000000012</v>
      </c>
      <c r="H52" s="243"/>
      <c r="I52" t="s">
        <v>2122</v>
      </c>
      <c r="J52" s="243">
        <f>O44</f>
        <v>1056.6199999999999</v>
      </c>
      <c r="M52" s="243">
        <f>O44-1484.17</f>
        <v>-427.55000000000018</v>
      </c>
      <c r="P52"/>
      <c r="Q52" s="243"/>
    </row>
    <row r="53" spans="2:18">
      <c r="D53" t="s">
        <v>2128</v>
      </c>
      <c r="E53" s="534">
        <v>30</v>
      </c>
      <c r="F53" s="492"/>
      <c r="G53" s="515"/>
      <c r="H53" s="515"/>
      <c r="I53" t="s">
        <v>2124</v>
      </c>
      <c r="J53">
        <v>210</v>
      </c>
      <c r="K53" s="725"/>
      <c r="L53" s="725"/>
      <c r="M53" s="243"/>
      <c r="P53" s="292"/>
      <c r="Q53" s="212"/>
    </row>
    <row r="54" spans="2:18" ht="15" customHeight="1">
      <c r="F54"/>
      <c r="G54" s="243"/>
      <c r="H54" s="243"/>
      <c r="I54" t="s">
        <v>2125</v>
      </c>
      <c r="J54">
        <v>185</v>
      </c>
      <c r="K54" s="353"/>
      <c r="L54" s="243">
        <f>110.14+7.1+6.75+5.4+15+33.39+18</f>
        <v>195.77999999999997</v>
      </c>
      <c r="M54" s="243"/>
      <c r="N54" s="243"/>
      <c r="P54" s="56"/>
      <c r="Q54" s="38"/>
    </row>
    <row r="55" spans="2:18">
      <c r="F55"/>
      <c r="G55" s="243"/>
      <c r="H55" s="243"/>
      <c r="I55" t="s">
        <v>152</v>
      </c>
      <c r="J55">
        <v>160</v>
      </c>
      <c r="L55" s="243"/>
      <c r="O55"/>
      <c r="P55"/>
    </row>
    <row r="56" spans="2:18" ht="15" customHeight="1">
      <c r="F56"/>
      <c r="G56" s="11"/>
      <c r="I56" t="s">
        <v>2129</v>
      </c>
      <c r="J56">
        <v>94</v>
      </c>
    </row>
    <row r="57" spans="2:18" ht="16.2" customHeight="1">
      <c r="E57" s="781"/>
      <c r="F57"/>
      <c r="I57" t="s">
        <v>2127</v>
      </c>
      <c r="J57">
        <v>90</v>
      </c>
    </row>
    <row r="58" spans="2:18">
      <c r="B58" s="11"/>
      <c r="E58" s="781"/>
      <c r="H58" s="243"/>
      <c r="I58" t="s">
        <v>2128</v>
      </c>
      <c r="J58">
        <v>30</v>
      </c>
      <c r="O58"/>
      <c r="P58"/>
    </row>
    <row r="59" spans="2:18">
      <c r="B59" s="11"/>
      <c r="E59" s="284"/>
      <c r="G59" s="369"/>
      <c r="O59"/>
      <c r="P59"/>
    </row>
    <row r="60" spans="2:18">
      <c r="E60" s="534"/>
      <c r="G60" s="369"/>
      <c r="J60" s="79"/>
      <c r="M60" s="243"/>
      <c r="O60"/>
      <c r="P60"/>
    </row>
    <row r="61" spans="2:18">
      <c r="B61" s="212"/>
      <c r="C61" s="212"/>
      <c r="G61" s="532"/>
      <c r="I61" t="s">
        <v>2123</v>
      </c>
      <c r="J61" s="243">
        <f>J51-SUM(J52:J58)</f>
        <v>1891.2700000000004</v>
      </c>
      <c r="K61" s="118"/>
      <c r="O61"/>
      <c r="P61"/>
    </row>
    <row r="62" spans="2:18">
      <c r="C62" s="56"/>
      <c r="F62"/>
      <c r="I62" s="248"/>
      <c r="J62" s="390">
        <f>J61-L32</f>
        <v>483.55000000000041</v>
      </c>
      <c r="L62" s="243"/>
      <c r="O62"/>
      <c r="P62"/>
    </row>
    <row r="63" spans="2:18" ht="15.75" customHeight="1">
      <c r="C63" s="56"/>
      <c r="D63" t="s">
        <v>2066</v>
      </c>
      <c r="F63"/>
      <c r="L63" s="243"/>
      <c r="M63" s="243"/>
      <c r="O63"/>
      <c r="P63"/>
    </row>
    <row r="64" spans="2:18" ht="14.4">
      <c r="C64" s="56"/>
      <c r="D64" t="s">
        <v>2067</v>
      </c>
      <c r="E64"/>
      <c r="F64"/>
      <c r="M64" s="243"/>
      <c r="O64"/>
      <c r="P64"/>
    </row>
    <row r="65" spans="2:16" ht="14.4">
      <c r="C65" s="56"/>
      <c r="D65" s="188" t="s">
        <v>2068</v>
      </c>
      <c r="E65">
        <v>90</v>
      </c>
      <c r="F65" s="79"/>
      <c r="O65"/>
      <c r="P65"/>
    </row>
    <row r="66" spans="2:16">
      <c r="C66" s="56"/>
      <c r="D66" t="s">
        <v>2069</v>
      </c>
      <c r="E66"/>
      <c r="O66"/>
      <c r="P66"/>
    </row>
    <row r="67" spans="2:16">
      <c r="C67" s="56"/>
      <c r="E67" s="407"/>
      <c r="O67"/>
      <c r="P67"/>
    </row>
    <row r="68" spans="2:16">
      <c r="C68" s="56"/>
      <c r="E68"/>
      <c r="G68">
        <v>2000</v>
      </c>
      <c r="I68" s="407">
        <v>2500</v>
      </c>
      <c r="J68" s="79">
        <v>500</v>
      </c>
      <c r="K68">
        <v>2500</v>
      </c>
      <c r="L68">
        <v>500</v>
      </c>
      <c r="N68" s="288"/>
      <c r="O68"/>
      <c r="P68"/>
    </row>
    <row r="69" spans="2:16">
      <c r="C69" s="56"/>
      <c r="E69" s="347"/>
      <c r="F69" s="523">
        <v>1500</v>
      </c>
      <c r="G69">
        <v>1500</v>
      </c>
      <c r="H69">
        <v>1500</v>
      </c>
      <c r="I69">
        <v>1500</v>
      </c>
      <c r="J69">
        <v>1500</v>
      </c>
      <c r="K69">
        <v>1500</v>
      </c>
      <c r="L69">
        <v>1500</v>
      </c>
      <c r="M69">
        <v>1500</v>
      </c>
      <c r="O69"/>
      <c r="P69"/>
    </row>
    <row r="70" spans="2:16" ht="14.4">
      <c r="C70" s="56"/>
      <c r="D70" t="s">
        <v>2100</v>
      </c>
      <c r="E70" t="s">
        <v>280</v>
      </c>
      <c r="F70" t="s">
        <v>281</v>
      </c>
      <c r="G70" t="s">
        <v>282</v>
      </c>
      <c r="H70" t="s">
        <v>284</v>
      </c>
      <c r="I70" t="s">
        <v>285</v>
      </c>
      <c r="J70" s="118" t="s">
        <v>286</v>
      </c>
      <c r="K70" t="s">
        <v>287</v>
      </c>
      <c r="L70" s="243" t="s">
        <v>288</v>
      </c>
      <c r="M70" t="s">
        <v>289</v>
      </c>
      <c r="O70"/>
      <c r="P70"/>
    </row>
    <row r="71" spans="2:16" ht="14.4">
      <c r="C71" s="56"/>
      <c r="D71" t="s">
        <v>1363</v>
      </c>
      <c r="E71" s="407">
        <v>18500</v>
      </c>
      <c r="F71"/>
      <c r="G71" s="407"/>
      <c r="H71" s="407">
        <f>E71+H69-1000</f>
        <v>19000</v>
      </c>
      <c r="I71" s="407">
        <f>H71+I69</f>
        <v>20500</v>
      </c>
      <c r="J71" s="407"/>
      <c r="K71" s="242"/>
      <c r="O71"/>
      <c r="P71"/>
    </row>
    <row r="72" spans="2:16" ht="15.45" customHeight="1">
      <c r="C72" s="56"/>
      <c r="D72" t="s">
        <v>1589</v>
      </c>
      <c r="E72" s="407"/>
      <c r="F72" s="11">
        <f>F69</f>
        <v>1500</v>
      </c>
      <c r="G72" s="407">
        <f>F72+SUM(G68, G69)</f>
        <v>5000</v>
      </c>
      <c r="H72" s="536">
        <f>G72+H69-500</f>
        <v>6000</v>
      </c>
      <c r="I72" s="407">
        <f>H72+I68</f>
        <v>8500</v>
      </c>
      <c r="J72" s="407">
        <f>I72+J69</f>
        <v>10000</v>
      </c>
      <c r="K72" s="407">
        <f>J72+SUM(K68,K69)</f>
        <v>14000</v>
      </c>
      <c r="L72" s="407">
        <f>K72+SUM(L68:L69)</f>
        <v>16000</v>
      </c>
      <c r="M72" s="536">
        <f>L72+M69</f>
        <v>17500</v>
      </c>
      <c r="O72"/>
      <c r="P72"/>
    </row>
    <row r="73" spans="2:16" ht="14.4">
      <c r="D73" s="459"/>
      <c r="E73" s="243"/>
      <c r="F73" s="459"/>
      <c r="G73" s="243"/>
      <c r="O73"/>
      <c r="P73"/>
    </row>
    <row r="74" spans="2:16" ht="14.4">
      <c r="B74" s="212"/>
      <c r="C74" s="294"/>
      <c r="D74" s="188"/>
      <c r="E74"/>
      <c r="F74" s="188"/>
      <c r="O74"/>
      <c r="P74"/>
    </row>
    <row r="75" spans="2:16" ht="15.45" customHeight="1">
      <c r="C75" s="56"/>
      <c r="E75"/>
      <c r="F75"/>
      <c r="M75" s="243"/>
      <c r="O75"/>
      <c r="P75"/>
    </row>
    <row r="76" spans="2:16">
      <c r="C76" s="56"/>
      <c r="E76" s="532"/>
      <c r="F76"/>
      <c r="G76" s="532"/>
      <c r="O76"/>
      <c r="P76"/>
    </row>
    <row r="77" spans="2:16">
      <c r="C77" s="56"/>
      <c r="L77" s="459"/>
      <c r="M77" s="461"/>
      <c r="O77"/>
      <c r="P77"/>
    </row>
    <row r="78" spans="2:16">
      <c r="C78" s="56"/>
      <c r="D78" s="426"/>
      <c r="E78" s="533"/>
      <c r="L78" s="188"/>
      <c r="M78" s="230"/>
      <c r="O78"/>
      <c r="P78"/>
    </row>
    <row r="79" spans="2:16">
      <c r="C79" s="56"/>
      <c r="D79" s="405"/>
      <c r="E79" s="407"/>
      <c r="L79" s="188"/>
      <c r="M79" s="230"/>
      <c r="O79"/>
      <c r="P79"/>
    </row>
    <row r="80" spans="2:16">
      <c r="C80" s="56"/>
      <c r="D80" s="532"/>
      <c r="E80"/>
      <c r="L80" s="188"/>
      <c r="M80" s="230"/>
      <c r="O80"/>
      <c r="P80"/>
    </row>
    <row r="81" spans="5:16">
      <c r="E81" s="533"/>
      <c r="L81" s="188"/>
      <c r="M81" s="230"/>
      <c r="O81"/>
      <c r="P81"/>
    </row>
    <row r="82" spans="5:16">
      <c r="E82" s="533"/>
      <c r="L82" s="532"/>
      <c r="M82" s="230"/>
      <c r="O82"/>
      <c r="P82"/>
    </row>
    <row r="83" spans="5:16">
      <c r="E83" s="533"/>
      <c r="F83" s="212"/>
      <c r="L83" s="405"/>
      <c r="M83" s="230"/>
      <c r="O83"/>
      <c r="P83"/>
    </row>
    <row r="84" spans="5:16" ht="14.4">
      <c r="E84"/>
      <c r="F84"/>
      <c r="L84" s="405"/>
      <c r="M84" s="462"/>
      <c r="O84"/>
      <c r="P84"/>
    </row>
    <row r="85" spans="5:16" ht="14.4">
      <c r="E85"/>
      <c r="F85"/>
      <c r="O85"/>
      <c r="P85"/>
    </row>
    <row r="86" spans="5:16" ht="14.4">
      <c r="E86"/>
      <c r="F86"/>
      <c r="O86"/>
      <c r="P86"/>
    </row>
    <row r="87" spans="5:16" ht="14.4">
      <c r="E87" s="292"/>
      <c r="F87" s="56"/>
      <c r="O87"/>
      <c r="P87"/>
    </row>
    <row r="88" spans="5:16" ht="14.4">
      <c r="E88" s="42"/>
      <c r="F88" s="56"/>
      <c r="O88"/>
      <c r="P88"/>
    </row>
    <row r="89" spans="5:16" ht="14.4">
      <c r="E89" s="56"/>
      <c r="F89" s="56"/>
      <c r="O89"/>
      <c r="P89"/>
    </row>
    <row r="90" spans="5:16">
      <c r="O90"/>
      <c r="P90"/>
    </row>
    <row r="91" spans="5:16" ht="14.4">
      <c r="E91" s="212"/>
      <c r="F91" s="212"/>
      <c r="O91"/>
      <c r="P91"/>
    </row>
    <row r="92" spans="5:16" ht="14.4">
      <c r="E92"/>
      <c r="F92" s="56"/>
      <c r="O92"/>
      <c r="P92"/>
    </row>
    <row r="93" spans="5:16" ht="14.4">
      <c r="E93" s="56"/>
      <c r="F93" s="56"/>
      <c r="O93"/>
      <c r="P93"/>
    </row>
    <row r="94" spans="5:16" ht="14.4">
      <c r="E94" s="56"/>
      <c r="F94" s="56"/>
      <c r="G94" s="407"/>
      <c r="O94"/>
      <c r="P94"/>
    </row>
    <row r="95" spans="5:16" ht="14.4">
      <c r="E95" s="56"/>
      <c r="F95" s="56"/>
      <c r="G95" s="407"/>
      <c r="O95"/>
      <c r="P95"/>
    </row>
    <row r="96" spans="5:16" ht="14.4">
      <c r="E96" s="56"/>
      <c r="F96" s="56"/>
      <c r="G96" s="407"/>
      <c r="O96"/>
      <c r="P96"/>
    </row>
    <row r="97" spans="5:16" ht="14.4">
      <c r="E97" s="56"/>
      <c r="F97" s="56"/>
      <c r="G97" s="407"/>
      <c r="O97"/>
      <c r="P97"/>
    </row>
    <row r="98" spans="5:16">
      <c r="G98" s="407"/>
      <c r="O98"/>
      <c r="P98"/>
    </row>
    <row r="99" spans="5:16">
      <c r="G99" s="407"/>
      <c r="O99"/>
      <c r="P99"/>
    </row>
    <row r="100" spans="5:16">
      <c r="G100" s="407"/>
      <c r="O100"/>
      <c r="P100"/>
    </row>
    <row r="101" spans="5:16">
      <c r="G101" s="407"/>
      <c r="H101">
        <f>16700</f>
        <v>16700</v>
      </c>
    </row>
    <row r="102" spans="5:16">
      <c r="H102">
        <v>14000</v>
      </c>
    </row>
  </sheetData>
  <mergeCells count="23">
    <mergeCell ref="B4:E4"/>
    <mergeCell ref="B1:O1"/>
    <mergeCell ref="G3:H3"/>
    <mergeCell ref="I3:J3"/>
    <mergeCell ref="K3:L3"/>
    <mergeCell ref="M3:N3"/>
    <mergeCell ref="B44:D44"/>
    <mergeCell ref="B5:C5"/>
    <mergeCell ref="D5:E5"/>
    <mergeCell ref="B6:B20"/>
    <mergeCell ref="C6:C20"/>
    <mergeCell ref="E10:F10"/>
    <mergeCell ref="B24:E24"/>
    <mergeCell ref="B25:C25"/>
    <mergeCell ref="D25:E25"/>
    <mergeCell ref="B39:E39"/>
    <mergeCell ref="B40:C40"/>
    <mergeCell ref="D40:E40"/>
    <mergeCell ref="B46:G46"/>
    <mergeCell ref="K46:O46"/>
    <mergeCell ref="B47:C47"/>
    <mergeCell ref="K53:L53"/>
    <mergeCell ref="E57:E58"/>
  </mergeCells>
  <pageMargins left="0.7" right="0.7" top="0.75" bottom="0.75" header="0.3" footer="0.3"/>
  <pageSetup orientation="portrait" r:id="rId1"/>
  <legacyDrawing r:id="rId2"/>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01C26-38F8-4152-8546-529FC1D7D731}">
  <dimension ref="A1:T102"/>
  <sheetViews>
    <sheetView topLeftCell="D11" zoomScale="90" zoomScaleNormal="90" workbookViewId="0">
      <selection activeCell="F19" sqref="F19"/>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7.44140625" customWidth="1"/>
    <col min="19" max="19" width="22.33203125" bestFit="1" customWidth="1"/>
    <col min="20" max="20" width="10.33203125" bestFit="1" customWidth="1"/>
    <col min="21" max="21" width="16.109375" customWidth="1"/>
  </cols>
  <sheetData>
    <row r="1" spans="1:20" ht="25.5" customHeight="1">
      <c r="A1" t="e">
        <f ca="1">UPPER(TEXT((1&amp;LEFT(B$1,3))-1,"MMM"))&amp;"-"&amp;UPPER(TEXT((1&amp;RIGHT(LEFT(B$1,7),3))-1,"MMM"))&amp;" "&amp;RIGHT(B$1,4)</f>
        <v>#VALUE!</v>
      </c>
      <c r="B1" s="730" t="str">
        <f ca="1">MID(CELL("filename",B1),FIND("]",CELL("filename",B1))+1,255)</f>
        <v>NEW HOME (IMMEDIATE)</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ROUND(O5+O40+O25+IF(O41&lt;0,0,O41)+O42+O4,2) &amp; " / " &amp; "£" &amp; E44</f>
        <v>£4473.74 / £4829.46</v>
      </c>
      <c r="G3" s="732">
        <v>45621</v>
      </c>
      <c r="H3" s="732"/>
      <c r="I3" s="732">
        <f>G3+7</f>
        <v>45628</v>
      </c>
      <c r="J3" s="732"/>
      <c r="K3" s="732">
        <f>I3+7</f>
        <v>45635</v>
      </c>
      <c r="L3" s="732"/>
      <c r="M3" s="732">
        <f>K3+7</f>
        <v>45642</v>
      </c>
      <c r="N3" s="732"/>
      <c r="O3" s="308">
        <v>0</v>
      </c>
      <c r="P3" s="325" t="s">
        <v>1224</v>
      </c>
      <c r="Q3" s="282"/>
    </row>
    <row r="4" spans="1:20" ht="15" customHeight="1">
      <c r="B4" s="727" t="str">
        <f>_xlfn.CONCAT("Expenses - 50 - ",G44*0.5," / Actual = ",ROUND(D5,2)," (",ROUND((D5/G44)*100,2),")")</f>
        <v>Expenses - 50 - 2414.73 / Actual = 3855.91 (79.84)</v>
      </c>
      <c r="C4" s="727"/>
      <c r="D4" s="727"/>
      <c r="E4" s="727"/>
      <c r="F4" s="318"/>
      <c r="G4" s="243"/>
      <c r="H4" s="304">
        <f>SUM(H5:H42)</f>
        <v>0</v>
      </c>
      <c r="I4" s="243"/>
      <c r="J4" s="304">
        <f>SUM(J5:J42)</f>
        <v>0</v>
      </c>
      <c r="K4" s="243"/>
      <c r="L4" s="304">
        <f>SUM(L5:L42)</f>
        <v>0</v>
      </c>
      <c r="M4" s="243"/>
      <c r="N4" s="304">
        <f>SUM(N5:N42)-SUM(N27:N33)</f>
        <v>0</v>
      </c>
      <c r="O4" s="308">
        <f>IF(H43&lt;&gt;"PAID",H4,0)+IF(J43&lt;&gt;"PAID",J4,0)+IF(L43&lt;&gt;"PAID",L4,0)+IF(N43&lt;&gt;"PAID",N4,0)</f>
        <v>0</v>
      </c>
      <c r="P4" s="309" t="s">
        <v>973</v>
      </c>
      <c r="Q4" s="408">
        <f>O4+402.34</f>
        <v>402.34</v>
      </c>
      <c r="R4" s="243">
        <f>2761.15-SUM(O4:O5)</f>
        <v>-739.04</v>
      </c>
      <c r="S4" s="243"/>
    </row>
    <row r="5" spans="1:20" ht="15" customHeight="1">
      <c r="B5" s="733" t="str">
        <f>IF(D5&gt;E$44*0.5,ROUND(D5-E$44*0.5,2) &amp; " Over",ROUND(E$44*0.5-D5,2) &amp; " Under")</f>
        <v>1441.18 Over</v>
      </c>
      <c r="C5" s="733"/>
      <c r="D5" s="761">
        <f>ROUND(SUM(F6:F22),2)</f>
        <v>3855.91</v>
      </c>
      <c r="E5" s="761"/>
      <c r="F5" s="321"/>
      <c r="G5" s="284"/>
      <c r="H5" s="306"/>
      <c r="I5" s="390"/>
      <c r="J5" s="306"/>
      <c r="K5" s="390"/>
      <c r="L5" s="306"/>
      <c r="M5" s="79"/>
      <c r="N5" s="305"/>
      <c r="O5" s="285">
        <f>SUMIF(O6:O22,"&gt;0")</f>
        <v>3500.19</v>
      </c>
      <c r="P5" s="285" t="s">
        <v>892</v>
      </c>
      <c r="Q5" s="282">
        <f>SUM(Q6:Q22)</f>
        <v>0</v>
      </c>
      <c r="R5" s="243"/>
    </row>
    <row r="6" spans="1:20" ht="15" customHeight="1">
      <c r="B6" s="734" t="str">
        <f>"50%: " &amp; E$44*0.5</f>
        <v>50%: 2414.73</v>
      </c>
      <c r="C6" s="734" t="str">
        <f>ROUND((D5/E$44)*100,2) &amp; "%: " &amp;D5</f>
        <v>79.84%: 3855.91</v>
      </c>
      <c r="D6" s="13" t="s">
        <v>805</v>
      </c>
      <c r="E6" s="523">
        <v>0</v>
      </c>
      <c r="F6" s="528">
        <f>150</f>
        <v>150</v>
      </c>
      <c r="H6" s="304"/>
      <c r="J6" s="305"/>
      <c r="L6" s="305"/>
      <c r="N6" s="305"/>
      <c r="O6" s="274">
        <f>SUM(E6:F6)-SUM(G6:N6)</f>
        <v>150</v>
      </c>
      <c r="P6" s="274" t="str">
        <f t="shared" ref="P6:P22" si="0">D6</f>
        <v>Car Petrol / commuting</v>
      </c>
      <c r="Q6" s="282">
        <f>IF(O6&lt;0,O6*-1,0)</f>
        <v>0</v>
      </c>
      <c r="R6" s="243"/>
    </row>
    <row r="7" spans="1:20" ht="15" customHeight="1">
      <c r="B7" s="734"/>
      <c r="C7" s="734"/>
      <c r="D7" s="13" t="s">
        <v>169</v>
      </c>
      <c r="E7" s="523">
        <v>0</v>
      </c>
      <c r="F7" s="523">
        <f>400</f>
        <v>400</v>
      </c>
      <c r="H7" s="304"/>
      <c r="J7" s="305"/>
      <c r="L7" s="305"/>
      <c r="N7" s="305"/>
      <c r="O7" s="274">
        <f>SUM(E7:F7)-SUM(G7:N7)</f>
        <v>400</v>
      </c>
      <c r="P7" s="274" t="str">
        <f t="shared" si="0"/>
        <v>Food</v>
      </c>
      <c r="Q7" s="282">
        <f>IF(O7&lt;0,O7*-1,0)</f>
        <v>0</v>
      </c>
      <c r="R7" s="243"/>
    </row>
    <row r="8" spans="1:20" ht="15" customHeight="1">
      <c r="B8" s="734"/>
      <c r="C8" s="734"/>
      <c r="D8" s="13" t="s">
        <v>153</v>
      </c>
      <c r="E8" s="523">
        <v>0</v>
      </c>
      <c r="F8" s="523">
        <f>120</f>
        <v>120</v>
      </c>
      <c r="H8" s="305"/>
      <c r="J8" s="305"/>
      <c r="L8" s="305"/>
      <c r="N8" s="305"/>
      <c r="O8" s="274">
        <f>SUM(E8:F8)-SUM(G8:N8)</f>
        <v>120</v>
      </c>
      <c r="P8" s="274" t="str">
        <f t="shared" si="0"/>
        <v>Luna</v>
      </c>
      <c r="Q8" s="282">
        <f>IF(O8&lt;0,O8*-1,0)</f>
        <v>0</v>
      </c>
    </row>
    <row r="9" spans="1:20" ht="15" customHeight="1">
      <c r="B9" s="734"/>
      <c r="C9" s="734"/>
      <c r="D9" s="13" t="s">
        <v>189</v>
      </c>
      <c r="E9" s="735">
        <f>SUM(F10:F22)</f>
        <v>3185.9100000000003</v>
      </c>
      <c r="F9" s="735"/>
      <c r="G9" s="243"/>
      <c r="H9" s="305"/>
      <c r="J9" s="305"/>
      <c r="L9" s="305"/>
      <c r="N9" s="305"/>
      <c r="O9" s="274"/>
      <c r="P9" s="274" t="str">
        <f t="shared" si="0"/>
        <v>Direct debits</v>
      </c>
      <c r="Q9" s="282"/>
      <c r="R9" s="243"/>
    </row>
    <row r="10" spans="1:20" ht="15" customHeight="1" outlineLevel="1">
      <c r="B10" s="734"/>
      <c r="C10" s="734"/>
      <c r="D10" s="201" t="s">
        <v>595</v>
      </c>
      <c r="E10" s="523">
        <v>0</v>
      </c>
      <c r="F10" s="523">
        <f>R52</f>
        <v>1556.22</v>
      </c>
      <c r="H10" s="304"/>
      <c r="J10" s="305"/>
      <c r="L10" s="305"/>
      <c r="N10" s="305"/>
      <c r="O10" s="274">
        <f t="shared" ref="O10:O22" si="1">SUM(E10:F10)-SUM(G10:N10)</f>
        <v>1556.22</v>
      </c>
      <c r="P10" s="274" t="str">
        <f t="shared" si="0"/>
        <v>Mortgage</v>
      </c>
      <c r="Q10" s="282">
        <f t="shared" ref="Q10:Q22" si="2">IF(O10&lt;0,O10*-1,0)</f>
        <v>0</v>
      </c>
      <c r="R10" s="243"/>
      <c r="S10" s="11"/>
    </row>
    <row r="11" spans="1:20" ht="15" customHeight="1" outlineLevel="1">
      <c r="B11" s="734"/>
      <c r="C11" s="734"/>
      <c r="D11" s="201" t="s">
        <v>596</v>
      </c>
      <c r="E11" s="523">
        <v>0</v>
      </c>
      <c r="F11" s="523">
        <f>Q55</f>
        <v>168</v>
      </c>
      <c r="H11" s="305"/>
      <c r="J11" s="305"/>
      <c r="L11" s="305"/>
      <c r="N11" s="305"/>
      <c r="O11" s="274">
        <f t="shared" si="1"/>
        <v>168</v>
      </c>
      <c r="P11" s="274" t="str">
        <f t="shared" si="0"/>
        <v>Council tax</v>
      </c>
      <c r="Q11" s="282">
        <f t="shared" si="2"/>
        <v>0</v>
      </c>
      <c r="S11" s="349"/>
    </row>
    <row r="12" spans="1:20" ht="15" customHeight="1" outlineLevel="1">
      <c r="B12" s="734"/>
      <c r="C12" s="734"/>
      <c r="D12" s="201" t="s">
        <v>1002</v>
      </c>
      <c r="E12" s="523">
        <v>0</v>
      </c>
      <c r="F12" s="523">
        <f>Q53+Q54</f>
        <v>255</v>
      </c>
      <c r="H12" s="305"/>
      <c r="J12" s="305"/>
      <c r="L12" s="305"/>
      <c r="N12" s="305"/>
      <c r="O12" s="274">
        <f t="shared" si="1"/>
        <v>255</v>
      </c>
      <c r="P12" s="274" t="str">
        <f t="shared" si="0"/>
        <v>Utilities (G,W,E,HTB)</v>
      </c>
      <c r="Q12" s="282">
        <f t="shared" si="2"/>
        <v>0</v>
      </c>
    </row>
    <row r="13" spans="1:20" ht="15" customHeight="1" outlineLevel="1">
      <c r="B13" s="734"/>
      <c r="C13" s="734"/>
      <c r="D13" s="201" t="s">
        <v>996</v>
      </c>
      <c r="E13" s="523">
        <v>0</v>
      </c>
      <c r="F13" s="523">
        <f>Q56</f>
        <v>100</v>
      </c>
      <c r="H13" s="305"/>
      <c r="J13" s="305"/>
      <c r="L13" s="305"/>
      <c r="N13" s="305"/>
      <c r="O13" s="274">
        <f t="shared" si="1"/>
        <v>100</v>
      </c>
      <c r="P13" s="274" t="str">
        <f t="shared" si="0"/>
        <v>Home Insurance</v>
      </c>
      <c r="Q13" s="282">
        <f t="shared" si="2"/>
        <v>0</v>
      </c>
    </row>
    <row r="14" spans="1:20" ht="15" customHeight="1" outlineLevel="1">
      <c r="B14" s="734"/>
      <c r="C14" s="734"/>
      <c r="D14" s="201" t="s">
        <v>1056</v>
      </c>
      <c r="E14" s="523">
        <v>0</v>
      </c>
      <c r="F14" s="523">
        <f>31.99+22.99</f>
        <v>54.98</v>
      </c>
      <c r="H14" s="305"/>
      <c r="J14" s="305"/>
      <c r="L14" s="305"/>
      <c r="N14" s="305"/>
      <c r="O14" s="274">
        <f t="shared" si="1"/>
        <v>54.98</v>
      </c>
      <c r="P14" s="274" t="str">
        <f t="shared" si="0"/>
        <v>Pet Health / Insurance</v>
      </c>
      <c r="Q14" s="282">
        <f t="shared" si="2"/>
        <v>0</v>
      </c>
    </row>
    <row r="15" spans="1:20" ht="15" customHeight="1" outlineLevel="1">
      <c r="B15" s="734"/>
      <c r="C15" s="734"/>
      <c r="D15" s="201" t="s">
        <v>1057</v>
      </c>
      <c r="E15" s="523">
        <v>0</v>
      </c>
      <c r="F15" s="523">
        <f>(30.8+62.08*2)</f>
        <v>154.96</v>
      </c>
      <c r="H15" s="305"/>
      <c r="I15" s="11"/>
      <c r="J15" s="305"/>
      <c r="L15" s="305"/>
      <c r="N15" s="305"/>
      <c r="O15" s="274">
        <f t="shared" si="1"/>
        <v>154.96</v>
      </c>
      <c r="P15" s="274" t="str">
        <f t="shared" si="0"/>
        <v>Life / Income Insurance</v>
      </c>
      <c r="Q15" s="282">
        <f t="shared" si="2"/>
        <v>0</v>
      </c>
    </row>
    <row r="16" spans="1:20" ht="15" customHeight="1" outlineLevel="1">
      <c r="B16" s="734"/>
      <c r="C16" s="734"/>
      <c r="D16" s="201" t="s">
        <v>602</v>
      </c>
      <c r="E16" s="523">
        <v>0</v>
      </c>
      <c r="F16" s="523">
        <v>37</v>
      </c>
      <c r="H16" s="305"/>
      <c r="J16" s="305"/>
      <c r="L16" s="305"/>
      <c r="N16" s="305"/>
      <c r="O16" s="274">
        <f t="shared" si="1"/>
        <v>37</v>
      </c>
      <c r="P16" s="274" t="str">
        <f t="shared" si="0"/>
        <v>Broadband / TV</v>
      </c>
      <c r="Q16" s="282">
        <f t="shared" si="2"/>
        <v>0</v>
      </c>
    </row>
    <row r="17" spans="2:20" ht="15" customHeight="1" outlineLevel="1">
      <c r="B17" s="734"/>
      <c r="C17" s="734"/>
      <c r="D17" s="201" t="s">
        <v>788</v>
      </c>
      <c r="E17" s="523">
        <v>0</v>
      </c>
      <c r="F17" s="523">
        <v>29.1</v>
      </c>
      <c r="H17" s="305"/>
      <c r="J17" s="305"/>
      <c r="L17" s="305"/>
      <c r="N17" s="305"/>
      <c r="O17" s="274">
        <f t="shared" si="1"/>
        <v>29.1</v>
      </c>
      <c r="P17" s="274" t="str">
        <f t="shared" si="0"/>
        <v>Matt Phone</v>
      </c>
      <c r="Q17" s="282">
        <f t="shared" si="2"/>
        <v>0</v>
      </c>
    </row>
    <row r="18" spans="2:20" ht="15" customHeight="1" outlineLevel="1">
      <c r="B18" s="734"/>
      <c r="C18" s="734"/>
      <c r="D18" s="201" t="s">
        <v>690</v>
      </c>
      <c r="E18" s="523">
        <v>0</v>
      </c>
      <c r="F18" s="523">
        <f>14+48.17+270.97+73.32+19</f>
        <v>425.46000000000004</v>
      </c>
      <c r="H18" s="305"/>
      <c r="J18" s="305"/>
      <c r="L18" s="305"/>
      <c r="N18" s="305"/>
      <c r="O18" s="274">
        <f t="shared" si="1"/>
        <v>425.46000000000004</v>
      </c>
      <c r="P18" s="274" t="str">
        <f t="shared" si="0"/>
        <v>Cars</v>
      </c>
      <c r="Q18" s="282">
        <f t="shared" si="2"/>
        <v>0</v>
      </c>
    </row>
    <row r="19" spans="2:20" ht="15" customHeight="1" outlineLevel="1">
      <c r="B19" s="734"/>
      <c r="C19" s="734"/>
      <c r="D19" s="201" t="s">
        <v>944</v>
      </c>
      <c r="E19" s="523">
        <v>0</v>
      </c>
      <c r="F19" s="523">
        <v>15</v>
      </c>
      <c r="H19" s="305"/>
      <c r="J19" s="305"/>
      <c r="L19" s="305"/>
      <c r="N19" s="305"/>
      <c r="O19" s="274">
        <f t="shared" si="1"/>
        <v>15</v>
      </c>
      <c r="P19" s="274" t="str">
        <f t="shared" si="0"/>
        <v>Windows</v>
      </c>
      <c r="Q19" s="282">
        <f t="shared" si="2"/>
        <v>0</v>
      </c>
      <c r="R19" s="243"/>
    </row>
    <row r="20" spans="2:20" ht="15" customHeight="1" outlineLevel="1">
      <c r="B20" s="7"/>
      <c r="C20" s="7"/>
      <c r="D20" s="201" t="s">
        <v>920</v>
      </c>
      <c r="E20" s="523">
        <v>0</v>
      </c>
      <c r="F20" s="523">
        <f>48.22+137.5+170</f>
        <v>355.72</v>
      </c>
      <c r="H20" s="305"/>
      <c r="J20" s="305"/>
      <c r="L20" s="305"/>
      <c r="N20" s="305"/>
      <c r="O20" s="274"/>
      <c r="P20" s="274" t="str">
        <f t="shared" si="0"/>
        <v>Finance</v>
      </c>
      <c r="Q20" s="282"/>
      <c r="R20" s="243"/>
    </row>
    <row r="21" spans="2:20" ht="15" customHeight="1" outlineLevel="1">
      <c r="B21" s="7"/>
      <c r="C21" s="7"/>
      <c r="D21" s="201" t="s">
        <v>2042</v>
      </c>
      <c r="E21" s="523">
        <v>0</v>
      </c>
      <c r="F21" s="523">
        <f>0</f>
        <v>0</v>
      </c>
      <c r="H21" s="305"/>
      <c r="J21" s="305"/>
      <c r="L21" s="305"/>
      <c r="N21" s="305"/>
      <c r="O21" s="274">
        <f t="shared" si="1"/>
        <v>0</v>
      </c>
      <c r="P21" s="274" t="str">
        <f t="shared" si="0"/>
        <v>Health + Wellness</v>
      </c>
      <c r="Q21" s="282">
        <f t="shared" si="2"/>
        <v>0</v>
      </c>
      <c r="R21" s="243"/>
    </row>
    <row r="22" spans="2:20" ht="15" customHeight="1" outlineLevel="1">
      <c r="B22" s="7"/>
      <c r="C22" s="7"/>
      <c r="D22" s="201" t="s">
        <v>781</v>
      </c>
      <c r="E22" s="523">
        <v>0</v>
      </c>
      <c r="F22" s="523">
        <f>10.49+18+4.99+0.99</f>
        <v>34.470000000000006</v>
      </c>
      <c r="G22" s="11"/>
      <c r="H22" s="305"/>
      <c r="J22" s="305"/>
      <c r="L22" s="305"/>
      <c r="N22" s="305"/>
      <c r="O22" s="274">
        <f t="shared" si="1"/>
        <v>34.470000000000006</v>
      </c>
      <c r="P22" s="274" t="str">
        <f t="shared" si="0"/>
        <v>Subscriptions</v>
      </c>
      <c r="Q22" s="282">
        <f t="shared" si="2"/>
        <v>0</v>
      </c>
      <c r="R22" s="243"/>
    </row>
    <row r="23" spans="2:20" ht="15" customHeight="1">
      <c r="B23" s="118"/>
      <c r="C23" s="118"/>
      <c r="D23" s="188"/>
      <c r="H23" s="305"/>
      <c r="J23" s="305"/>
      <c r="L23" s="305"/>
      <c r="N23" s="305"/>
      <c r="O23" s="273"/>
      <c r="P23" s="273"/>
      <c r="Q23" s="282"/>
    </row>
    <row r="24" spans="2:20" ht="15" customHeight="1">
      <c r="B24" s="736" t="str">
        <f>_xlfn.CONCAT("Savings - 20 - ",G44*0.2," / Actual = ",D25," (",ROUND((D25/G44)*100,2),")")</f>
        <v>Savings - 20 - 965.892 / Actual = 830 (17.19)</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830.00000000000023</v>
      </c>
      <c r="E25" s="759"/>
      <c r="F25" s="319"/>
      <c r="H25" s="305"/>
      <c r="J25" s="305"/>
      <c r="L25" s="305"/>
      <c r="N25" s="305"/>
      <c r="O25" s="285">
        <f>O26</f>
        <v>830.00000000000023</v>
      </c>
      <c r="P25" s="285" t="s">
        <v>895</v>
      </c>
      <c r="Q25" s="282">
        <f>SUM(Q26:Q26)</f>
        <v>0</v>
      </c>
    </row>
    <row r="26" spans="2:20" ht="15" customHeight="1" outlineLevel="1">
      <c r="B26" s="7" t="str">
        <f>"20% : " &amp; E$44*0.2</f>
        <v>20% : 965.892</v>
      </c>
      <c r="C26" s="7" t="str">
        <f>"20% : " &amp; E$44*0.2</f>
        <v>20% : 965.892</v>
      </c>
      <c r="D26" s="300" t="s">
        <v>183</v>
      </c>
      <c r="E26" s="523">
        <v>0</v>
      </c>
      <c r="F26" s="523">
        <f>SUM(F27:F37)</f>
        <v>830.00000000000023</v>
      </c>
      <c r="H26" s="305"/>
      <c r="J26" s="305"/>
      <c r="L26" s="305"/>
      <c r="N26" s="305"/>
      <c r="O26" s="274">
        <f>SUM(O27:O37)</f>
        <v>830.00000000000023</v>
      </c>
      <c r="P26" s="274" t="str">
        <f t="shared" ref="P26:P37" si="3">D26</f>
        <v>Savings</v>
      </c>
      <c r="Q26" s="282">
        <v>0</v>
      </c>
      <c r="R26" s="495"/>
      <c r="S26" s="243"/>
    </row>
    <row r="27" spans="2:20" ht="15" customHeight="1" outlineLevel="1">
      <c r="B27" s="7"/>
      <c r="C27" s="7"/>
      <c r="D27" s="300" t="s">
        <v>1485</v>
      </c>
      <c r="E27" s="523">
        <v>0</v>
      </c>
      <c r="F27" s="523">
        <v>40</v>
      </c>
      <c r="H27" s="305"/>
      <c r="J27" s="305"/>
      <c r="L27" s="362"/>
      <c r="N27" s="315"/>
      <c r="O27" s="274">
        <f>SUM(E27:F27)-SUM(G27:N27)</f>
        <v>40</v>
      </c>
      <c r="P27" s="274" t="str">
        <f t="shared" si="3"/>
        <v>MOT / Service</v>
      </c>
      <c r="Q27" s="282"/>
      <c r="R27" s="243"/>
    </row>
    <row r="28" spans="2:20" ht="15" customHeight="1" outlineLevel="1">
      <c r="B28" s="7"/>
      <c r="C28" s="7"/>
      <c r="D28" s="300" t="s">
        <v>690</v>
      </c>
      <c r="E28" s="523">
        <v>0</v>
      </c>
      <c r="F28" s="523">
        <f>-468.84-232.5</f>
        <v>-701.33999999999992</v>
      </c>
      <c r="H28" s="305"/>
      <c r="J28" s="305"/>
      <c r="L28" s="362"/>
      <c r="N28" s="315"/>
      <c r="O28" s="274">
        <f>SUM(E28:F28)-SUM(G28:N28)</f>
        <v>-701.33999999999992</v>
      </c>
      <c r="P28" s="274" t="str">
        <f t="shared" si="3"/>
        <v>Cars</v>
      </c>
      <c r="Q28" s="282"/>
      <c r="R28" s="243"/>
    </row>
    <row r="29" spans="2:20" ht="15" customHeight="1" outlineLevel="1">
      <c r="B29" s="7"/>
      <c r="C29" s="7"/>
      <c r="D29" s="300" t="s">
        <v>590</v>
      </c>
      <c r="E29" s="523">
        <v>0</v>
      </c>
      <c r="F29" s="523">
        <f>165+10.99+8.99+2.85+29.95+20+10.06+245-0.17+35</f>
        <v>527.67000000000007</v>
      </c>
      <c r="G29" s="305"/>
      <c r="J29" s="305"/>
      <c r="L29" s="362"/>
      <c r="N29" s="315"/>
      <c r="O29" s="274">
        <f>SUM(E29:F29)-SUM(G29:N29)-Q44</f>
        <v>527.67000000000007</v>
      </c>
      <c r="P29" s="274" t="str">
        <f t="shared" si="3"/>
        <v>Contingency</v>
      </c>
      <c r="Q29" s="282"/>
      <c r="T29" s="243"/>
    </row>
    <row r="30" spans="2:20" ht="15" customHeight="1" outlineLevel="1">
      <c r="B30" s="7"/>
      <c r="C30" s="7"/>
      <c r="D30" s="300" t="s">
        <v>1486</v>
      </c>
      <c r="E30" s="523">
        <v>0</v>
      </c>
      <c r="F30" s="523">
        <v>13.67</v>
      </c>
      <c r="H30" s="305"/>
      <c r="J30" s="305"/>
      <c r="L30" s="362"/>
      <c r="N30" s="315"/>
      <c r="O30" s="274">
        <f>SUM(E30:F30)-SUM(G30:N30)</f>
        <v>13.67</v>
      </c>
      <c r="P30" s="274" t="str">
        <f t="shared" si="3"/>
        <v>TV</v>
      </c>
      <c r="Q30" s="282"/>
    </row>
    <row r="31" spans="2:20" ht="15" customHeight="1" outlineLevel="1">
      <c r="B31" s="7"/>
      <c r="C31" s="7"/>
      <c r="D31" s="300" t="s">
        <v>1296</v>
      </c>
      <c r="E31" s="523">
        <v>0</v>
      </c>
      <c r="F31" s="523">
        <v>95</v>
      </c>
      <c r="H31" s="305"/>
      <c r="J31" s="305"/>
      <c r="L31" s="362"/>
      <c r="N31" s="315"/>
      <c r="O31" s="274">
        <f>SUM(E31:F31)-SUM(G31:N31)</f>
        <v>95</v>
      </c>
      <c r="P31" s="274" t="str">
        <f t="shared" si="3"/>
        <v>Offset</v>
      </c>
      <c r="Q31" s="282"/>
    </row>
    <row r="32" spans="2:20" ht="15" customHeight="1" outlineLevel="1">
      <c r="B32" s="7"/>
      <c r="C32" s="7"/>
      <c r="D32" s="300" t="s">
        <v>354</v>
      </c>
      <c r="E32" s="523">
        <v>0</v>
      </c>
      <c r="F32" s="523">
        <f>650+55-415</f>
        <v>290</v>
      </c>
      <c r="J32" s="305"/>
      <c r="L32" s="362"/>
      <c r="N32" s="315"/>
      <c r="O32" s="274">
        <f>SUM(E32:F32)-SUM(H32:N32)</f>
        <v>290</v>
      </c>
      <c r="P32" s="274" t="str">
        <f t="shared" si="3"/>
        <v>Holiday</v>
      </c>
      <c r="Q32" s="282"/>
    </row>
    <row r="33" spans="2:19" ht="15" customHeight="1" outlineLevel="1">
      <c r="B33" s="7"/>
      <c r="C33" s="7"/>
      <c r="D33" s="300" t="s">
        <v>701</v>
      </c>
      <c r="E33" s="523">
        <v>0</v>
      </c>
      <c r="F33" s="523">
        <f>250+35+175-170</f>
        <v>290</v>
      </c>
      <c r="J33" s="305"/>
      <c r="L33" s="362"/>
      <c r="N33" s="315"/>
      <c r="O33" s="274">
        <f>SUM(E33:F33)-SUM(G33:N33)</f>
        <v>290</v>
      </c>
      <c r="P33" s="274" t="str">
        <f t="shared" si="3"/>
        <v>Gift</v>
      </c>
      <c r="Q33" s="282"/>
    </row>
    <row r="34" spans="2:19" ht="15" customHeight="1" outlineLevel="1">
      <c r="B34" s="7"/>
      <c r="C34" s="7"/>
      <c r="D34" s="300" t="s">
        <v>1297</v>
      </c>
      <c r="E34" s="523">
        <v>0</v>
      </c>
      <c r="F34" s="523">
        <f>50+110+40</f>
        <v>200</v>
      </c>
      <c r="H34" s="305"/>
      <c r="L34" s="362"/>
      <c r="N34" s="315"/>
      <c r="O34" s="274">
        <f>SUM(E34:F34)-SUM(G34:N34)</f>
        <v>200</v>
      </c>
      <c r="P34" s="274" t="str">
        <f t="shared" si="3"/>
        <v>Skin</v>
      </c>
      <c r="Q34" s="282"/>
    </row>
    <row r="35" spans="2:19" ht="15" customHeight="1" outlineLevel="1">
      <c r="B35" s="7"/>
      <c r="C35" s="7"/>
      <c r="D35" s="300" t="s">
        <v>1391</v>
      </c>
      <c r="E35" s="523">
        <v>0</v>
      </c>
      <c r="F35" s="523">
        <v>75</v>
      </c>
      <c r="H35" s="305"/>
      <c r="J35" s="305"/>
      <c r="L35" s="362"/>
      <c r="N35" s="315"/>
      <c r="O35" s="274">
        <f>SUM(E35:F35)-SUM(G35:N35)</f>
        <v>75</v>
      </c>
      <c r="P35" s="274" t="str">
        <f t="shared" si="3"/>
        <v>Avios</v>
      </c>
      <c r="Q35" s="282"/>
    </row>
    <row r="36" spans="2:19" ht="15" customHeight="1" outlineLevel="1">
      <c r="B36" s="7"/>
      <c r="C36" s="7"/>
      <c r="D36" s="300" t="s">
        <v>1808</v>
      </c>
      <c r="E36" s="523">
        <v>0</v>
      </c>
      <c r="F36" s="523">
        <v>0</v>
      </c>
      <c r="H36" s="305"/>
      <c r="J36" s="305"/>
      <c r="L36" s="362"/>
      <c r="N36" s="315"/>
      <c r="O36" s="274">
        <f>SUM(E36:F36)-SUM(G36:N36)</f>
        <v>0</v>
      </c>
      <c r="P36" s="274" t="str">
        <f t="shared" si="3"/>
        <v>Prime</v>
      </c>
      <c r="Q36" s="282"/>
    </row>
    <row r="37" spans="2:19" ht="15" customHeight="1" outlineLevel="1">
      <c r="B37" s="7"/>
      <c r="C37" s="7"/>
      <c r="D37" s="300" t="s">
        <v>1589</v>
      </c>
      <c r="E37" s="523">
        <v>0</v>
      </c>
      <c r="F37" s="523">
        <v>0</v>
      </c>
      <c r="H37" s="305"/>
      <c r="J37" s="305"/>
      <c r="L37" s="362"/>
      <c r="N37" s="315"/>
      <c r="O37" s="274">
        <f>SUM(E37:F37)-SUM(G37:N37)</f>
        <v>0</v>
      </c>
      <c r="P37" s="274" t="str">
        <f t="shared" si="3"/>
        <v>Amex</v>
      </c>
      <c r="Q37" s="282"/>
    </row>
    <row r="38" spans="2:19" ht="15" customHeight="1">
      <c r="B38" s="118"/>
      <c r="C38" s="118"/>
      <c r="H38" s="305"/>
      <c r="J38" s="305"/>
      <c r="L38" s="305"/>
      <c r="N38" s="305"/>
      <c r="O38" s="273"/>
      <c r="P38" s="273"/>
      <c r="Q38" s="282"/>
      <c r="R38" s="243"/>
    </row>
    <row r="39" spans="2:19" ht="15" customHeight="1">
      <c r="B39" s="727" t="str">
        <f>_xlfn.CONCAT("Wants - 30 - ",G44*0.3," / Actual = ",D40," (",ROUND((D40/G44)*100,2),")")</f>
        <v>Wants - 30 - 1448.838 / Actual = 143.55 (2.97)</v>
      </c>
      <c r="C39" s="727"/>
      <c r="D39" s="727"/>
      <c r="E39" s="727"/>
      <c r="F39" s="318"/>
      <c r="H39" s="305"/>
      <c r="J39" s="305"/>
      <c r="L39" s="305"/>
      <c r="N39" s="305"/>
      <c r="O39" s="273"/>
      <c r="P39" s="273"/>
      <c r="Q39" s="282"/>
      <c r="S39" s="243"/>
    </row>
    <row r="40" spans="2:19" ht="15" customHeight="1">
      <c r="B40" s="727" t="str">
        <f>IF(ISNUMBER((SEARCH("Over",B$5))),"Operating under budget","Operating over budget")</f>
        <v>Operating under budget</v>
      </c>
      <c r="C40" s="727"/>
      <c r="D40" s="759">
        <f>(E$44-D5-D25-E43)</f>
        <v>143.54999999999995</v>
      </c>
      <c r="E40" s="727"/>
      <c r="F40" s="319">
        <f>F41</f>
        <v>143.54999999999995</v>
      </c>
      <c r="H40" s="305"/>
      <c r="J40" s="305"/>
      <c r="L40" s="305"/>
      <c r="N40" s="305"/>
      <c r="O40" s="285">
        <f>0</f>
        <v>0</v>
      </c>
      <c r="P40" s="285" t="s">
        <v>899</v>
      </c>
      <c r="Q40" s="282">
        <f>SUM(Q41:Q41)</f>
        <v>0</v>
      </c>
      <c r="S40" s="243"/>
    </row>
    <row r="41" spans="2:19" ht="18" outlineLevel="1">
      <c r="B41" s="7"/>
      <c r="C41" s="284"/>
      <c r="D41" s="13" t="s">
        <v>922</v>
      </c>
      <c r="E41" s="523">
        <v>0</v>
      </c>
      <c r="F41" s="523">
        <f>D40-F42</f>
        <v>143.54999999999995</v>
      </c>
      <c r="G41" s="11"/>
      <c r="N41" s="305"/>
      <c r="O41" s="274">
        <f>SUM(E41:F41)-SUM(G41:N41)</f>
        <v>143.54999999999995</v>
      </c>
      <c r="P41" s="274" t="str">
        <f>D41</f>
        <v>Matt Fun</v>
      </c>
      <c r="Q41" s="282">
        <f>IF(SUM(E41:F41)-SUM(G41:N41)&lt;=0,(SUM(E41:F41)-SUM(G41:N41))*-1,0)</f>
        <v>0</v>
      </c>
    </row>
    <row r="42" spans="2:19" ht="18" outlineLevel="1">
      <c r="B42" s="7"/>
      <c r="C42" s="284"/>
      <c r="D42" s="13" t="s">
        <v>152</v>
      </c>
      <c r="E42" s="523">
        <v>0</v>
      </c>
      <c r="F42" s="523">
        <v>0</v>
      </c>
      <c r="G42" s="11"/>
      <c r="H42" s="306"/>
      <c r="J42" s="305"/>
      <c r="L42" s="305"/>
      <c r="N42" s="305"/>
      <c r="O42" s="274">
        <f>SUM(E42:F42)-SUM(G42:N42)</f>
        <v>0</v>
      </c>
      <c r="P42" s="274" t="str">
        <f>D42</f>
        <v>Kris</v>
      </c>
      <c r="Q42" s="271">
        <f>IF(F42-SUM(G42:N42)&lt;=0,(F42-SUM(G42:N42))*-1,0)</f>
        <v>0</v>
      </c>
    </row>
    <row r="43" spans="2:19">
      <c r="B43" s="118"/>
      <c r="C43" s="118"/>
      <c r="E43" s="523">
        <f>E26</f>
        <v>0</v>
      </c>
      <c r="G43" s="349"/>
      <c r="J43" s="7"/>
      <c r="L43" s="7"/>
      <c r="N43" s="7"/>
      <c r="O43" s="273"/>
      <c r="P43" s="273"/>
      <c r="Q43" s="282"/>
    </row>
    <row r="44" spans="2:19" ht="18">
      <c r="B44" s="728" t="s">
        <v>817</v>
      </c>
      <c r="C44" s="728"/>
      <c r="D44" s="728"/>
      <c r="E44" s="529">
        <f>G44+I44+K44+M44+N44+E43</f>
        <v>4829.46</v>
      </c>
      <c r="F44" s="530"/>
      <c r="G44" s="271">
        <f>3579.46+910+140+200</f>
        <v>4829.46</v>
      </c>
      <c r="H44" s="282"/>
      <c r="I44" s="271"/>
      <c r="J44" s="271"/>
      <c r="K44" s="271"/>
      <c r="L44" s="271"/>
      <c r="M44" s="271"/>
      <c r="N44" s="271"/>
      <c r="O44" s="314">
        <f>ROUND(O5+O40+O25+IF(O41&lt;0,0,O41)+O42+O4,2)</f>
        <v>4473.74</v>
      </c>
      <c r="P44" s="274"/>
      <c r="Q44" s="282">
        <f>SUM(Q40,Q25,Q5)</f>
        <v>0</v>
      </c>
    </row>
    <row r="45" spans="2:19" ht="18">
      <c r="B45" s="118"/>
      <c r="C45" s="7"/>
      <c r="D45" s="13" t="s">
        <v>1451</v>
      </c>
      <c r="G45" s="523"/>
      <c r="H45" s="243"/>
      <c r="L45" s="243"/>
    </row>
    <row r="46" spans="2:19" ht="14.4">
      <c r="B46" s="729"/>
      <c r="C46" s="729"/>
      <c r="D46" s="729"/>
      <c r="E46" s="729"/>
      <c r="F46" s="729"/>
      <c r="G46" s="729"/>
      <c r="H46" s="297"/>
      <c r="K46" s="729"/>
      <c r="L46" s="729"/>
      <c r="M46" s="729"/>
      <c r="N46" s="729"/>
      <c r="O46" s="729"/>
      <c r="P46" s="297"/>
    </row>
    <row r="47" spans="2:19" ht="15" customHeight="1">
      <c r="B47" s="726" t="s">
        <v>955</v>
      </c>
      <c r="C47" s="726"/>
      <c r="E47"/>
      <c r="F47" s="348"/>
      <c r="H47" s="243"/>
      <c r="K47" s="212"/>
      <c r="L47" s="212"/>
      <c r="M47" s="243"/>
      <c r="N47" s="118" t="s">
        <v>2078</v>
      </c>
      <c r="O47" s="316">
        <v>45662</v>
      </c>
      <c r="P47" s="7">
        <f ca="1">DATEDIF(O47,NOW(),"d")</f>
        <v>589</v>
      </c>
      <c r="Q47">
        <v>7.99</v>
      </c>
      <c r="R47" t="s">
        <v>2079</v>
      </c>
    </row>
    <row r="48" spans="2:19">
      <c r="B48" s="523"/>
      <c r="C48" s="38"/>
      <c r="E48" s="534"/>
      <c r="F48" s="11"/>
      <c r="G48" s="531"/>
      <c r="I48" s="243"/>
      <c r="K48" s="11"/>
      <c r="L48" s="243"/>
      <c r="N48" s="483" t="s">
        <v>2076</v>
      </c>
      <c r="O48" s="42">
        <v>45662</v>
      </c>
      <c r="P48" s="7">
        <f ca="1">DATEDIF(O48,NOW(),"d")</f>
        <v>589</v>
      </c>
      <c r="Q48">
        <v>0</v>
      </c>
      <c r="R48" t="s">
        <v>1317</v>
      </c>
    </row>
    <row r="49" spans="2:20">
      <c r="E49" s="534"/>
      <c r="G49" s="458"/>
      <c r="H49" s="445"/>
      <c r="I49" s="11"/>
      <c r="J49" s="243"/>
      <c r="L49" s="243"/>
      <c r="N49" s="358" t="s">
        <v>2077</v>
      </c>
      <c r="O49" s="316">
        <v>45662</v>
      </c>
      <c r="P49" s="7">
        <f ca="1">DATEDIF(O49,NOW(),"d")</f>
        <v>589</v>
      </c>
      <c r="Q49">
        <v>5.99</v>
      </c>
      <c r="R49" t="s">
        <v>2063</v>
      </c>
    </row>
    <row r="50" spans="2:20" ht="16.2" customHeight="1">
      <c r="E50" s="534"/>
      <c r="G50" s="458"/>
      <c r="H50" s="243"/>
      <c r="I50" s="243"/>
      <c r="J50" s="213"/>
      <c r="K50" s="213"/>
      <c r="L50" s="243"/>
      <c r="O50" s="316"/>
    </row>
    <row r="51" spans="2:20">
      <c r="B51" s="532"/>
      <c r="D51" s="243" t="s">
        <v>2083</v>
      </c>
      <c r="E51" t="s">
        <v>2092</v>
      </c>
      <c r="F51" t="s">
        <v>2084</v>
      </c>
      <c r="G51" t="s">
        <v>2085</v>
      </c>
      <c r="H51" t="s">
        <v>2844</v>
      </c>
      <c r="I51" t="s">
        <v>2087</v>
      </c>
      <c r="J51" t="s">
        <v>2088</v>
      </c>
      <c r="K51" t="s">
        <v>2089</v>
      </c>
      <c r="L51" t="s">
        <v>2080</v>
      </c>
      <c r="M51" s="243" t="s">
        <v>2082</v>
      </c>
      <c r="N51" t="s">
        <v>2094</v>
      </c>
      <c r="O51" s="7" t="s">
        <v>2807</v>
      </c>
      <c r="P51" s="7" t="s">
        <v>2096</v>
      </c>
      <c r="Q51" t="s">
        <v>2097</v>
      </c>
      <c r="R51" t="s">
        <v>2095</v>
      </c>
      <c r="S51" t="s">
        <v>2081</v>
      </c>
      <c r="T51" t="s">
        <v>1266</v>
      </c>
    </row>
    <row r="52" spans="2:20" ht="14.4">
      <c r="D52">
        <v>155700</v>
      </c>
      <c r="E52" s="11">
        <v>230000</v>
      </c>
      <c r="F52" s="390">
        <f>E52-D52</f>
        <v>74300</v>
      </c>
      <c r="G52">
        <v>330000</v>
      </c>
      <c r="H52" s="243"/>
      <c r="I52" s="243">
        <f>SUM(I54:I61)</f>
        <v>41300</v>
      </c>
      <c r="J52" s="243">
        <f>G52-F52+H52+I52</f>
        <v>297000</v>
      </c>
      <c r="K52">
        <f>ROUND((J52/(G52+H52)) * 100, 2)</f>
        <v>90</v>
      </c>
      <c r="L52">
        <v>4.5</v>
      </c>
      <c r="M52" s="243">
        <v>28</v>
      </c>
      <c r="N52">
        <v>838</v>
      </c>
      <c r="O52" s="7">
        <f>487</f>
        <v>487</v>
      </c>
      <c r="P52" s="343">
        <f>SUM(P53:P57)</f>
        <v>488.88</v>
      </c>
      <c r="Q52">
        <f>SUM(Q53:Q57)</f>
        <v>677.96</v>
      </c>
      <c r="R52">
        <f>ROUND(((L52 / 100 / 12) * J52) / (1 - ((1 + (L52 / 100 / 12)) ^ ((M52 * -1) * 12))), 2)</f>
        <v>1556.22</v>
      </c>
      <c r="S52" s="243">
        <f>SUM(Q52:R52)-SUM(N52:P52)</f>
        <v>420.30000000000018</v>
      </c>
      <c r="T52">
        <f>ROUND((S52/R52) * 100, 2)</f>
        <v>27.01</v>
      </c>
    </row>
    <row r="53" spans="2:20">
      <c r="E53" s="534"/>
      <c r="F53" s="492"/>
      <c r="G53" s="118"/>
      <c r="H53" s="515"/>
      <c r="K53" s="725"/>
      <c r="L53" s="725"/>
      <c r="M53" s="243"/>
      <c r="O53" s="7" t="s">
        <v>2804</v>
      </c>
      <c r="P53" s="292">
        <v>107</v>
      </c>
      <c r="Q53" s="212">
        <v>207</v>
      </c>
      <c r="S53">
        <f>S52/2</f>
        <v>210.15000000000009</v>
      </c>
    </row>
    <row r="54" spans="2:20" ht="15" customHeight="1">
      <c r="F54"/>
      <c r="H54" s="243" t="s">
        <v>2814</v>
      </c>
      <c r="I54">
        <f>D52*0.03</f>
        <v>4671</v>
      </c>
      <c r="K54" s="353"/>
      <c r="L54" s="243"/>
      <c r="M54" s="243"/>
      <c r="N54" s="243"/>
      <c r="O54" s="7" t="s">
        <v>2805</v>
      </c>
      <c r="P54" s="56">
        <v>48</v>
      </c>
      <c r="Q54" s="38">
        <v>48</v>
      </c>
    </row>
    <row r="55" spans="2:20">
      <c r="F55"/>
      <c r="G55" s="243"/>
      <c r="H55" s="243" t="s">
        <v>2815</v>
      </c>
      <c r="I55">
        <f>IF(G52&lt;=925000,(G52-250000)*0.05+125000*0.02,0)</f>
        <v>6500</v>
      </c>
      <c r="L55" s="243"/>
      <c r="O55" s="7" t="s">
        <v>2806</v>
      </c>
      <c r="P55">
        <v>168</v>
      </c>
      <c r="Q55">
        <v>168</v>
      </c>
    </row>
    <row r="56" spans="2:20" ht="15" customHeight="1">
      <c r="F56"/>
      <c r="G56" s="11"/>
      <c r="H56" s="243" t="s">
        <v>2816</v>
      </c>
      <c r="I56">
        <v>0</v>
      </c>
      <c r="K56" s="353"/>
      <c r="O56" s="7" t="s">
        <v>1894</v>
      </c>
      <c r="P56" s="7">
        <v>73</v>
      </c>
      <c r="Q56">
        <v>100</v>
      </c>
    </row>
    <row r="57" spans="2:20" ht="16.2" customHeight="1">
      <c r="E57" s="608"/>
      <c r="F57"/>
      <c r="G57" s="243"/>
      <c r="H57" s="243" t="s">
        <v>2817</v>
      </c>
      <c r="I57">
        <v>500</v>
      </c>
      <c r="O57" s="7" t="s">
        <v>2850</v>
      </c>
      <c r="P57" s="284">
        <f>(30.8+62.08)</f>
        <v>92.88</v>
      </c>
      <c r="Q57">
        <f>(30.8+62.08*2)</f>
        <v>154.96</v>
      </c>
    </row>
    <row r="58" spans="2:20">
      <c r="B58" s="11"/>
      <c r="E58" s="608"/>
      <c r="G58" s="243"/>
      <c r="H58" s="243" t="s">
        <v>2818</v>
      </c>
      <c r="I58" s="243">
        <v>1500</v>
      </c>
      <c r="J58" s="79"/>
      <c r="O58"/>
      <c r="P58"/>
    </row>
    <row r="59" spans="2:20">
      <c r="B59" s="11"/>
      <c r="E59" s="284"/>
      <c r="G59" s="369"/>
      <c r="H59" s="243" t="s">
        <v>2819</v>
      </c>
      <c r="I59" s="55">
        <f>(E52*0.01)*1.2</f>
        <v>2760</v>
      </c>
      <c r="J59" s="390"/>
      <c r="O59"/>
      <c r="P59"/>
    </row>
    <row r="60" spans="2:20">
      <c r="E60" s="534"/>
      <c r="G60" s="369"/>
      <c r="H60" s="243" t="s">
        <v>2845</v>
      </c>
      <c r="I60" s="243">
        <v>21000</v>
      </c>
      <c r="J60" s="79"/>
      <c r="L60" s="243"/>
      <c r="M60" s="243"/>
      <c r="O60"/>
      <c r="P60"/>
    </row>
    <row r="61" spans="2:20">
      <c r="B61" s="212"/>
      <c r="C61" s="212"/>
      <c r="G61" s="532"/>
      <c r="H61" s="243" t="s">
        <v>2847</v>
      </c>
      <c r="I61" s="55">
        <f>(G52*0.9)-(G52-F52+H52+SUM(I54:I60))</f>
        <v>4369</v>
      </c>
      <c r="J61" s="517"/>
      <c r="K61" s="118"/>
      <c r="O61"/>
      <c r="P61"/>
    </row>
    <row r="62" spans="2:20">
      <c r="C62" s="56"/>
      <c r="F62"/>
      <c r="I62" s="494"/>
      <c r="J62" s="79"/>
      <c r="O62"/>
      <c r="P62"/>
    </row>
    <row r="63" spans="2:20" ht="15.75" customHeight="1">
      <c r="C63" s="56"/>
      <c r="F63"/>
      <c r="L63" s="243"/>
      <c r="M63" s="243"/>
      <c r="O63"/>
      <c r="P63"/>
    </row>
    <row r="64" spans="2:20" ht="14.4">
      <c r="C64" s="56"/>
      <c r="E64"/>
      <c r="F64"/>
      <c r="M64" s="243"/>
      <c r="O64"/>
      <c r="P64"/>
    </row>
    <row r="65" spans="2:16" ht="14.4">
      <c r="C65" s="56"/>
      <c r="D65" s="188"/>
      <c r="E65"/>
      <c r="F65" s="79"/>
      <c r="O65"/>
      <c r="P65"/>
    </row>
    <row r="66" spans="2:16">
      <c r="C66" s="56"/>
      <c r="E66"/>
      <c r="K66" s="118"/>
      <c r="M66" s="243"/>
      <c r="O66"/>
      <c r="P66"/>
    </row>
    <row r="67" spans="2:16">
      <c r="C67" s="56"/>
      <c r="E67" s="407"/>
      <c r="O67"/>
      <c r="P67"/>
    </row>
    <row r="68" spans="2:16">
      <c r="C68" s="56"/>
      <c r="E68"/>
      <c r="I68" s="407"/>
      <c r="J68" s="79"/>
      <c r="N68" s="288"/>
      <c r="O68"/>
      <c r="P68"/>
    </row>
    <row r="69" spans="2:16">
      <c r="C69" s="56"/>
      <c r="E69" s="347"/>
      <c r="O69"/>
      <c r="P69"/>
    </row>
    <row r="70" spans="2:16">
      <c r="C70" s="56"/>
      <c r="E70" s="332"/>
      <c r="O70"/>
      <c r="P70"/>
    </row>
    <row r="71" spans="2:16" ht="14.4">
      <c r="C71" s="56"/>
      <c r="E71" s="407"/>
      <c r="F71"/>
      <c r="G71" s="407"/>
      <c r="O71"/>
      <c r="P71"/>
    </row>
    <row r="72" spans="2:16" ht="15.45" customHeight="1">
      <c r="C72" s="56"/>
      <c r="E72" s="407"/>
      <c r="F72"/>
      <c r="G72" s="407"/>
      <c r="O72"/>
      <c r="P72"/>
    </row>
    <row r="73" spans="2:16" ht="14.4">
      <c r="D73" s="459"/>
      <c r="E73" s="243"/>
      <c r="F73" s="459"/>
      <c r="G73" s="243"/>
      <c r="O73"/>
      <c r="P73"/>
    </row>
    <row r="74" spans="2:16" ht="14.4">
      <c r="B74" s="212"/>
      <c r="C74" s="294"/>
      <c r="D74" s="188"/>
      <c r="E74"/>
      <c r="F74" s="188"/>
      <c r="O74"/>
      <c r="P74"/>
    </row>
    <row r="75" spans="2:16" ht="15.45" customHeight="1">
      <c r="C75" s="56"/>
      <c r="E75"/>
      <c r="F75"/>
      <c r="M75" s="243"/>
      <c r="O75"/>
      <c r="P75"/>
    </row>
    <row r="76" spans="2:16">
      <c r="C76" s="56"/>
      <c r="E76" s="532"/>
      <c r="F76"/>
      <c r="G76" s="532"/>
      <c r="O76"/>
      <c r="P76"/>
    </row>
    <row r="77" spans="2:16">
      <c r="C77" s="56"/>
      <c r="L77" s="459"/>
      <c r="M77" s="461"/>
      <c r="O77"/>
      <c r="P77"/>
    </row>
    <row r="78" spans="2:16">
      <c r="C78" s="56"/>
      <c r="D78" s="426"/>
      <c r="E78" s="533"/>
      <c r="L78" s="188"/>
      <c r="M78" s="230"/>
      <c r="O78"/>
      <c r="P78"/>
    </row>
    <row r="79" spans="2:16">
      <c r="C79" s="56"/>
      <c r="D79" s="405"/>
      <c r="E79" s="407"/>
      <c r="L79" s="188"/>
      <c r="M79" s="230"/>
      <c r="O79"/>
      <c r="P79"/>
    </row>
    <row r="80" spans="2:16">
      <c r="C80" s="56"/>
      <c r="D80" s="532"/>
      <c r="E80"/>
      <c r="L80" s="188"/>
      <c r="M80" s="230"/>
      <c r="O80"/>
      <c r="P80"/>
    </row>
    <row r="81" spans="5:16">
      <c r="E81" s="533"/>
      <c r="L81" s="188"/>
      <c r="M81" s="230"/>
      <c r="O81"/>
      <c r="P81"/>
    </row>
    <row r="82" spans="5:16">
      <c r="E82" s="533"/>
      <c r="L82" s="532"/>
      <c r="M82" s="230"/>
      <c r="O82"/>
      <c r="P82"/>
    </row>
    <row r="83" spans="5:16">
      <c r="E83" s="533"/>
      <c r="F83" s="212"/>
      <c r="L83" s="405"/>
      <c r="M83" s="230"/>
      <c r="O83"/>
      <c r="P83"/>
    </row>
    <row r="84" spans="5:16" ht="14.4">
      <c r="E84"/>
      <c r="F84"/>
      <c r="L84" s="405"/>
      <c r="M84" s="462"/>
      <c r="O84"/>
      <c r="P84"/>
    </row>
    <row r="85" spans="5:16" ht="14.4">
      <c r="E85"/>
      <c r="F85"/>
      <c r="O85"/>
      <c r="P85"/>
    </row>
    <row r="86" spans="5:16" ht="14.4">
      <c r="E86"/>
      <c r="F86"/>
      <c r="O86"/>
      <c r="P86"/>
    </row>
    <row r="87" spans="5:16" ht="14.4">
      <c r="E87" s="292"/>
      <c r="F87" s="56"/>
      <c r="O87"/>
      <c r="P87"/>
    </row>
    <row r="88" spans="5:16" ht="14.4">
      <c r="E88" s="42"/>
      <c r="F88" s="56"/>
      <c r="O88"/>
      <c r="P88"/>
    </row>
    <row r="89" spans="5:16" ht="14.4">
      <c r="E89" s="56"/>
      <c r="F89" s="56"/>
      <c r="O89"/>
      <c r="P89"/>
    </row>
    <row r="90" spans="5:16">
      <c r="O90"/>
      <c r="P90"/>
    </row>
    <row r="91" spans="5:16" ht="14.4">
      <c r="E91" s="212"/>
      <c r="F91" s="212"/>
      <c r="O91"/>
      <c r="P91"/>
    </row>
    <row r="92" spans="5:16" ht="14.4">
      <c r="E92"/>
      <c r="F92" s="56"/>
      <c r="O92"/>
      <c r="P92"/>
    </row>
    <row r="93" spans="5:16" ht="14.4">
      <c r="E93" s="56"/>
      <c r="F93" s="56"/>
      <c r="O93"/>
      <c r="P93"/>
    </row>
    <row r="94" spans="5:16" ht="14.4">
      <c r="E94" s="56"/>
      <c r="F94" s="56"/>
      <c r="G94" s="407"/>
      <c r="O94"/>
      <c r="P94"/>
    </row>
    <row r="95" spans="5:16" ht="14.4">
      <c r="E95" s="56"/>
      <c r="F95" s="56"/>
      <c r="G95" s="407"/>
      <c r="O95"/>
      <c r="P95"/>
    </row>
    <row r="96" spans="5:16" ht="14.4">
      <c r="E96" s="56"/>
      <c r="F96" s="56"/>
      <c r="G96" s="407"/>
      <c r="O96"/>
      <c r="P96"/>
    </row>
    <row r="97" spans="5:16" ht="14.4">
      <c r="E97" s="56"/>
      <c r="F97" s="56"/>
      <c r="G97" s="407"/>
      <c r="O97"/>
      <c r="P97"/>
    </row>
    <row r="98" spans="5:16">
      <c r="G98" s="407"/>
      <c r="O98"/>
      <c r="P98"/>
    </row>
    <row r="99" spans="5:16">
      <c r="G99" s="407"/>
      <c r="O99"/>
      <c r="P99"/>
    </row>
    <row r="100" spans="5:16">
      <c r="G100" s="407"/>
      <c r="O100"/>
      <c r="P100"/>
    </row>
    <row r="101" spans="5:16">
      <c r="G101" s="407"/>
      <c r="H101">
        <f>16700</f>
        <v>16700</v>
      </c>
    </row>
    <row r="102" spans="5:16">
      <c r="H102">
        <v>14000</v>
      </c>
    </row>
  </sheetData>
  <mergeCells count="22">
    <mergeCell ref="B46:G46"/>
    <mergeCell ref="K46:O46"/>
    <mergeCell ref="B47:C47"/>
    <mergeCell ref="K53:L53"/>
    <mergeCell ref="B44:D44"/>
    <mergeCell ref="B5:C5"/>
    <mergeCell ref="D5:E5"/>
    <mergeCell ref="B6:B19"/>
    <mergeCell ref="C6:C19"/>
    <mergeCell ref="E9:F9"/>
    <mergeCell ref="B24:E24"/>
    <mergeCell ref="B25:C25"/>
    <mergeCell ref="D25:E25"/>
    <mergeCell ref="B39:E39"/>
    <mergeCell ref="B40:C40"/>
    <mergeCell ref="D40:E40"/>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7EEDA-2F7F-4B9B-99CB-F5F0EB4BF53D}">
  <dimension ref="A1:T101"/>
  <sheetViews>
    <sheetView topLeftCell="D8" zoomScale="90" zoomScaleNormal="90" workbookViewId="0">
      <selection activeCell="F13" sqref="F13"/>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0" ht="25.5" customHeight="1">
      <c r="A1" t="str">
        <f ca="1">UPPER(TEXT((1&amp;LEFT(B$1,3))-1,"MMM"))&amp;"-"&amp;UPPER(TEXT((1&amp;RIGHT(LEFT(B$1,7),3))-1,"MMM"))&amp;" "&amp;RIGHT(B$1,4)</f>
        <v>JAN-FEB R 25</v>
      </c>
      <c r="B1" s="730" t="str">
        <f ca="1">MID(CELL("filename",B1),FIND("]",CELL("filename",B1))+1,255)</f>
        <v>FEB-MAR 25</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ROUND(O5+O40+O25+IF(O41&lt;0,0,O41)+O42+O4,2) &amp; " / " &amp; "£" &amp; E44</f>
        <v>£2264.21 / £8769.61</v>
      </c>
      <c r="G3" s="732">
        <v>45682</v>
      </c>
      <c r="H3" s="732"/>
      <c r="I3" s="732">
        <f>G3+7</f>
        <v>45689</v>
      </c>
      <c r="J3" s="732"/>
      <c r="K3" s="732">
        <f>I3+7</f>
        <v>45696</v>
      </c>
      <c r="L3" s="732"/>
      <c r="M3" s="732">
        <f>K3+7</f>
        <v>45703</v>
      </c>
      <c r="N3" s="732"/>
      <c r="O3" s="308">
        <v>0</v>
      </c>
      <c r="P3" s="325" t="s">
        <v>1224</v>
      </c>
      <c r="Q3" s="282"/>
    </row>
    <row r="4" spans="1:20" ht="15" customHeight="1">
      <c r="B4" s="727" t="str">
        <f>_xlfn.CONCAT("Expenses - 50 - ",G44*0.5," / Actual = ",ROUND(D5,2)," (",ROUND((D5/G44)*100,2),")")</f>
        <v>Expenses - 50 - 4384.805 / Actual = 2884.25 (32.89)</v>
      </c>
      <c r="C4" s="727"/>
      <c r="D4" s="727"/>
      <c r="E4" s="727"/>
      <c r="F4" s="318"/>
      <c r="G4" s="243"/>
      <c r="H4" s="304">
        <f>SUM(H5:H42)</f>
        <v>2321.64</v>
      </c>
      <c r="I4" s="243">
        <f>H4-36.71</f>
        <v>2284.9299999999998</v>
      </c>
      <c r="J4" s="304">
        <f>SUM(J5:J42)</f>
        <v>874.95</v>
      </c>
      <c r="K4" s="243"/>
      <c r="L4" s="304">
        <f>SUM(L5:L42)</f>
        <v>0</v>
      </c>
      <c r="M4" s="243"/>
      <c r="N4" s="304">
        <f>SUM(N5:N42)-SUM(N27:N33)</f>
        <v>0</v>
      </c>
      <c r="O4" s="308">
        <f>IF(H43&lt;&gt;"PAID",H4,0)+IF(J43&lt;&gt;"PAID",J4,0)+IF(L43&lt;&gt;"PAID",L4,0)+IF(N43&lt;&gt;"PAID",N4,0)</f>
        <v>3196.59</v>
      </c>
      <c r="P4" s="309" t="s">
        <v>973</v>
      </c>
      <c r="Q4" s="408"/>
      <c r="R4" s="243"/>
      <c r="S4" s="243"/>
    </row>
    <row r="5" spans="1:20" ht="15" customHeight="1">
      <c r="B5" s="733" t="str">
        <f>IF(D5&gt;E$44*0.5,ROUND(D5-E$44*0.5,2) &amp; " Over",ROUND(E$44*0.5-D5,2) &amp; " Under")</f>
        <v>1500.56 Under</v>
      </c>
      <c r="C5" s="733"/>
      <c r="D5" s="761">
        <f>ROUND(SUM(F6:F22),2)</f>
        <v>2884.25</v>
      </c>
      <c r="E5" s="761"/>
      <c r="F5" s="321"/>
      <c r="G5" s="284"/>
      <c r="H5" s="306"/>
      <c r="I5" s="390"/>
      <c r="J5" s="306"/>
      <c r="K5" s="390"/>
      <c r="L5" s="306"/>
      <c r="M5" s="79"/>
      <c r="N5" s="305"/>
      <c r="O5" s="285">
        <f>SUMIF(O6:O22,"&gt;0")</f>
        <v>65.699999999999932</v>
      </c>
      <c r="P5" s="285" t="s">
        <v>892</v>
      </c>
      <c r="Q5" s="282">
        <f>SUM(Q6:Q22)</f>
        <v>3.5</v>
      </c>
      <c r="R5" s="243"/>
    </row>
    <row r="6" spans="1:20" ht="15" customHeight="1">
      <c r="B6" s="734" t="str">
        <f>"50%: " &amp; E$44*0.5</f>
        <v>50%: 4384.805</v>
      </c>
      <c r="C6" s="734" t="str">
        <f>ROUND((D5/E$44)*100,2) &amp; "%: " &amp;D5</f>
        <v>32.89%: 2884.25</v>
      </c>
      <c r="D6" s="13" t="s">
        <v>805</v>
      </c>
      <c r="E6" s="523">
        <v>0</v>
      </c>
      <c r="F6" s="528">
        <f>120</f>
        <v>120</v>
      </c>
      <c r="H6" s="304">
        <f>33.93+20+20.03</f>
        <v>73.960000000000008</v>
      </c>
      <c r="J6" s="305"/>
      <c r="L6" s="305"/>
      <c r="N6" s="305"/>
      <c r="O6" s="274">
        <f>SUM(E6:F6)-SUM(G6:N6)</f>
        <v>46.039999999999992</v>
      </c>
      <c r="P6" s="274" t="str">
        <f t="shared" ref="P6:P22" si="0">D6</f>
        <v>Car Petrol / commuting</v>
      </c>
      <c r="Q6" s="282">
        <f>IF(O6&lt;0,O6*-1,0)</f>
        <v>0</v>
      </c>
      <c r="R6" s="243"/>
    </row>
    <row r="7" spans="1:20" ht="15" customHeight="1">
      <c r="B7" s="734"/>
      <c r="C7" s="734"/>
      <c r="D7" s="13" t="s">
        <v>169</v>
      </c>
      <c r="E7" s="523">
        <v>0</v>
      </c>
      <c r="F7" s="523">
        <f>300-79.7+50-5.68</f>
        <v>264.62</v>
      </c>
      <c r="H7" s="304">
        <f>10.6+9.7+9.25+1.5+40.75+17.92+80.9</f>
        <v>170.62</v>
      </c>
      <c r="J7" s="305">
        <f>75.54</f>
        <v>75.540000000000006</v>
      </c>
      <c r="L7" s="305"/>
      <c r="N7" s="305"/>
      <c r="O7" s="274">
        <f>SUM(E7:F7)-SUM(G7:N7)</f>
        <v>18.45999999999998</v>
      </c>
      <c r="P7" s="274" t="str">
        <f t="shared" si="0"/>
        <v>Food</v>
      </c>
      <c r="Q7" s="282">
        <f>IF(O7&lt;0,O7*-1,0)</f>
        <v>0</v>
      </c>
      <c r="R7" s="243"/>
    </row>
    <row r="8" spans="1:20" ht="15" customHeight="1">
      <c r="B8" s="734"/>
      <c r="C8" s="734"/>
      <c r="D8" s="13" t="s">
        <v>153</v>
      </c>
      <c r="E8" s="523">
        <v>0</v>
      </c>
      <c r="F8" s="523">
        <v>95.68</v>
      </c>
      <c r="H8" s="305"/>
      <c r="J8" s="305">
        <f>15.53+44.75+3.98+31.42</f>
        <v>95.68</v>
      </c>
      <c r="L8" s="305"/>
      <c r="N8" s="305"/>
      <c r="O8" s="274">
        <f>SUM(E8:F8)-SUM(G8:N8)</f>
        <v>0</v>
      </c>
      <c r="P8" s="274" t="str">
        <f t="shared" si="0"/>
        <v>Luna</v>
      </c>
      <c r="Q8" s="282">
        <f>IF(O8&lt;0,O8*-1,0)</f>
        <v>0</v>
      </c>
    </row>
    <row r="9" spans="1:20" ht="15" customHeight="1">
      <c r="B9" s="734"/>
      <c r="C9" s="734"/>
      <c r="D9" s="13" t="s">
        <v>1079</v>
      </c>
      <c r="E9" s="523">
        <v>0</v>
      </c>
      <c r="F9" s="523">
        <f>30</f>
        <v>30</v>
      </c>
      <c r="H9" s="305">
        <v>29.72</v>
      </c>
      <c r="J9" s="305"/>
      <c r="L9" s="305"/>
      <c r="N9" s="305"/>
      <c r="O9" s="274">
        <f>SUM(E9:F9)-SUM(G9:N9)</f>
        <v>0.28000000000000114</v>
      </c>
      <c r="P9" s="274" t="str">
        <f t="shared" si="0"/>
        <v>Creamy</v>
      </c>
      <c r="Q9" s="282">
        <f>IF(O9&lt;0,O9*-1,0)</f>
        <v>0</v>
      </c>
      <c r="R9" s="243"/>
    </row>
    <row r="10" spans="1:20" ht="15" customHeight="1">
      <c r="B10" s="734"/>
      <c r="C10" s="734"/>
      <c r="D10" s="13" t="s">
        <v>189</v>
      </c>
      <c r="E10" s="735">
        <f>SUM(F11:F22)</f>
        <v>2373.9499999999998</v>
      </c>
      <c r="F10" s="735"/>
      <c r="G10" s="243"/>
      <c r="H10" s="305"/>
      <c r="J10" s="305"/>
      <c r="L10" s="305"/>
      <c r="N10" s="305"/>
      <c r="O10" s="274"/>
      <c r="P10" s="274" t="str">
        <f t="shared" si="0"/>
        <v>Direct debits</v>
      </c>
      <c r="Q10" s="282"/>
      <c r="R10" s="243"/>
    </row>
    <row r="11" spans="1:20" ht="15" customHeight="1" outlineLevel="1">
      <c r="B11" s="734"/>
      <c r="C11" s="734"/>
      <c r="D11" s="201" t="s">
        <v>595</v>
      </c>
      <c r="E11" s="523">
        <v>0</v>
      </c>
      <c r="F11" s="523">
        <v>838</v>
      </c>
      <c r="G11">
        <v>838</v>
      </c>
      <c r="H11" s="304"/>
      <c r="J11" s="305"/>
      <c r="L11" s="305"/>
      <c r="N11" s="305"/>
      <c r="O11" s="274">
        <f t="shared" ref="O11:O22" si="1">SUM(E11:F11)-SUM(G11:N11)</f>
        <v>0</v>
      </c>
      <c r="P11" s="274" t="str">
        <f t="shared" si="0"/>
        <v>Mortgage</v>
      </c>
      <c r="Q11" s="282">
        <f t="shared" ref="Q11:Q22" si="2">IF(O11&lt;0,O11*-1,0)</f>
        <v>0</v>
      </c>
      <c r="R11" s="243"/>
      <c r="S11" s="11"/>
    </row>
    <row r="12" spans="1:20" ht="15" customHeight="1" outlineLevel="1">
      <c r="B12" s="734"/>
      <c r="C12" s="734"/>
      <c r="D12" s="201" t="s">
        <v>596</v>
      </c>
      <c r="E12" s="523">
        <v>0</v>
      </c>
      <c r="F12" s="523">
        <v>154</v>
      </c>
      <c r="G12">
        <v>154</v>
      </c>
      <c r="H12" s="305"/>
      <c r="J12" s="305"/>
      <c r="L12" s="305"/>
      <c r="N12" s="305"/>
      <c r="O12" s="274">
        <f t="shared" si="1"/>
        <v>0</v>
      </c>
      <c r="P12" s="274" t="str">
        <f t="shared" si="0"/>
        <v>Council tax</v>
      </c>
      <c r="Q12" s="282">
        <f t="shared" si="2"/>
        <v>0</v>
      </c>
      <c r="S12" s="349"/>
    </row>
    <row r="13" spans="1:20" ht="15" customHeight="1" outlineLevel="1">
      <c r="B13" s="734"/>
      <c r="C13" s="734"/>
      <c r="D13" s="201" t="s">
        <v>1002</v>
      </c>
      <c r="E13" s="523">
        <v>0</v>
      </c>
      <c r="F13" s="523">
        <f>34+111.75</f>
        <v>145.75</v>
      </c>
      <c r="G13">
        <f>34+111.75</f>
        <v>145.75</v>
      </c>
      <c r="H13" s="305"/>
      <c r="J13" s="305"/>
      <c r="L13" s="305"/>
      <c r="N13" s="305"/>
      <c r="O13" s="274">
        <f t="shared" si="1"/>
        <v>0</v>
      </c>
      <c r="P13" s="274" t="str">
        <f t="shared" si="0"/>
        <v>Utilities (G,W,E,HTB)</v>
      </c>
      <c r="Q13" s="282">
        <f t="shared" si="2"/>
        <v>0</v>
      </c>
    </row>
    <row r="14" spans="1:20" ht="15" customHeight="1" outlineLevel="1">
      <c r="B14" s="734"/>
      <c r="C14" s="734"/>
      <c r="D14" s="201" t="s">
        <v>996</v>
      </c>
      <c r="E14" s="523">
        <v>0</v>
      </c>
      <c r="F14" s="523">
        <v>22.7</v>
      </c>
      <c r="G14">
        <v>22.7</v>
      </c>
      <c r="H14" s="305"/>
      <c r="J14" s="305"/>
      <c r="L14" s="305"/>
      <c r="N14" s="305"/>
      <c r="O14" s="274">
        <f t="shared" si="1"/>
        <v>0</v>
      </c>
      <c r="P14" s="274" t="str">
        <f t="shared" si="0"/>
        <v>Home Insurance</v>
      </c>
      <c r="Q14" s="282">
        <f t="shared" si="2"/>
        <v>0</v>
      </c>
    </row>
    <row r="15" spans="1:20" ht="15" customHeight="1" outlineLevel="1">
      <c r="B15" s="734"/>
      <c r="C15" s="734"/>
      <c r="D15" s="201" t="s">
        <v>1056</v>
      </c>
      <c r="E15" s="523">
        <v>0</v>
      </c>
      <c r="F15" s="523">
        <f>9.99+23.99+20.99</f>
        <v>54.97</v>
      </c>
      <c r="G15">
        <f>20.99+23.99+9.99</f>
        <v>54.97</v>
      </c>
      <c r="H15" s="305"/>
      <c r="J15" s="305"/>
      <c r="L15" s="305"/>
      <c r="N15" s="305"/>
      <c r="O15" s="274">
        <f t="shared" si="1"/>
        <v>0</v>
      </c>
      <c r="P15" s="274" t="str">
        <f t="shared" si="0"/>
        <v>Pet Health / Insurance</v>
      </c>
      <c r="Q15" s="282">
        <f t="shared" si="2"/>
        <v>0</v>
      </c>
    </row>
    <row r="16" spans="1:20" ht="15" customHeight="1" outlineLevel="1">
      <c r="B16" s="734"/>
      <c r="C16" s="734"/>
      <c r="D16" s="201" t="s">
        <v>1057</v>
      </c>
      <c r="E16" s="523">
        <v>0</v>
      </c>
      <c r="F16" s="523">
        <f>30.8+62.08</f>
        <v>92.88</v>
      </c>
      <c r="G16">
        <v>92.88</v>
      </c>
      <c r="H16" s="305"/>
      <c r="I16" s="11"/>
      <c r="J16" s="305"/>
      <c r="L16" s="305"/>
      <c r="N16" s="305"/>
      <c r="O16" s="274">
        <f t="shared" si="1"/>
        <v>0</v>
      </c>
      <c r="P16" s="274" t="str">
        <f t="shared" si="0"/>
        <v>Life / Income Insurance</v>
      </c>
      <c r="Q16" s="282">
        <f t="shared" si="2"/>
        <v>0</v>
      </c>
    </row>
    <row r="17" spans="2:20" ht="15" customHeight="1" outlineLevel="1">
      <c r="B17" s="734"/>
      <c r="C17" s="734"/>
      <c r="D17" s="201" t="s">
        <v>602</v>
      </c>
      <c r="E17" s="523">
        <v>0</v>
      </c>
      <c r="F17" s="523">
        <f>34</f>
        <v>34</v>
      </c>
      <c r="G17">
        <v>34</v>
      </c>
      <c r="H17" s="305"/>
      <c r="J17" s="305"/>
      <c r="L17" s="305"/>
      <c r="N17" s="305"/>
      <c r="O17" s="274">
        <f t="shared" si="1"/>
        <v>0</v>
      </c>
      <c r="P17" s="274" t="str">
        <f t="shared" si="0"/>
        <v>Broadband / TV</v>
      </c>
      <c r="Q17" s="282">
        <f t="shared" si="2"/>
        <v>0</v>
      </c>
    </row>
    <row r="18" spans="2:20" ht="15" customHeight="1" outlineLevel="1">
      <c r="B18" s="734"/>
      <c r="C18" s="734"/>
      <c r="D18" s="201" t="s">
        <v>788</v>
      </c>
      <c r="E18" s="523">
        <v>0</v>
      </c>
      <c r="F18" s="523">
        <v>39.71</v>
      </c>
      <c r="G18">
        <v>39.71</v>
      </c>
      <c r="H18" s="305"/>
      <c r="J18" s="305"/>
      <c r="L18" s="305"/>
      <c r="N18" s="305"/>
      <c r="O18" s="274">
        <f t="shared" si="1"/>
        <v>0</v>
      </c>
      <c r="P18" s="274" t="str">
        <f t="shared" si="0"/>
        <v>Matt Phone</v>
      </c>
      <c r="Q18" s="282">
        <f t="shared" si="2"/>
        <v>0</v>
      </c>
    </row>
    <row r="19" spans="2:20" ht="15" customHeight="1" outlineLevel="1">
      <c r="B19" s="734"/>
      <c r="C19" s="734"/>
      <c r="D19" s="201" t="s">
        <v>690</v>
      </c>
      <c r="E19" s="523">
        <v>0</v>
      </c>
      <c r="F19" s="523">
        <f>14+48.17+270+487+73.32+19</f>
        <v>911.49</v>
      </c>
      <c r="G19">
        <f>48.17+14+16.62+73.46+270.97+487.35</f>
        <v>910.57</v>
      </c>
      <c r="H19" s="305"/>
      <c r="J19" s="305"/>
      <c r="L19" s="305"/>
      <c r="N19" s="305"/>
      <c r="O19" s="274">
        <f t="shared" si="1"/>
        <v>0.91999999999995907</v>
      </c>
      <c r="P19" s="274" t="str">
        <f t="shared" si="0"/>
        <v>Cars</v>
      </c>
      <c r="Q19" s="282">
        <f t="shared" si="2"/>
        <v>0</v>
      </c>
    </row>
    <row r="20" spans="2:20" ht="15" customHeight="1" outlineLevel="1">
      <c r="B20" s="734"/>
      <c r="C20" s="734"/>
      <c r="D20" s="201" t="s">
        <v>944</v>
      </c>
      <c r="E20" s="523">
        <v>0</v>
      </c>
      <c r="F20" s="523">
        <v>15</v>
      </c>
      <c r="G20">
        <v>15</v>
      </c>
      <c r="H20" s="305"/>
      <c r="J20" s="305"/>
      <c r="L20" s="305"/>
      <c r="N20" s="305"/>
      <c r="O20" s="274">
        <f t="shared" si="1"/>
        <v>0</v>
      </c>
      <c r="P20" s="274" t="str">
        <f t="shared" si="0"/>
        <v>Windows</v>
      </c>
      <c r="Q20" s="282">
        <f t="shared" si="2"/>
        <v>0</v>
      </c>
      <c r="R20" s="243"/>
    </row>
    <row r="21" spans="2:20" ht="15" customHeight="1" outlineLevel="1">
      <c r="B21" s="7"/>
      <c r="C21" s="7"/>
      <c r="D21" s="201" t="s">
        <v>2042</v>
      </c>
      <c r="E21" s="523">
        <v>0</v>
      </c>
      <c r="F21" s="523">
        <v>0</v>
      </c>
      <c r="H21" s="305"/>
      <c r="J21" s="305"/>
      <c r="L21" s="305"/>
      <c r="N21" s="305"/>
      <c r="O21" s="274">
        <f t="shared" si="1"/>
        <v>0</v>
      </c>
      <c r="P21" s="274" t="str">
        <f t="shared" si="0"/>
        <v>Health + Wellness</v>
      </c>
      <c r="Q21" s="282">
        <f t="shared" si="2"/>
        <v>0</v>
      </c>
      <c r="R21" s="243"/>
    </row>
    <row r="22" spans="2:20" ht="15" customHeight="1" outlineLevel="1">
      <c r="B22" s="7"/>
      <c r="C22" s="7"/>
      <c r="D22" s="201" t="s">
        <v>781</v>
      </c>
      <c r="E22" s="523">
        <v>0</v>
      </c>
      <c r="F22" s="523">
        <f>10.49+18+4.99+0.99+9.99+12+8.99</f>
        <v>65.45</v>
      </c>
      <c r="G22" s="11">
        <f>8.99+9.99+12+18+3.49+10.49+5.99</f>
        <v>68.95</v>
      </c>
      <c r="H22" s="305"/>
      <c r="J22" s="305"/>
      <c r="L22" s="305"/>
      <c r="N22" s="305"/>
      <c r="O22" s="274">
        <f t="shared" si="1"/>
        <v>-3.5</v>
      </c>
      <c r="P22" s="274" t="str">
        <f t="shared" si="0"/>
        <v>Subscriptions</v>
      </c>
      <c r="Q22" s="282">
        <f t="shared" si="2"/>
        <v>3.5</v>
      </c>
      <c r="R22" s="243"/>
    </row>
    <row r="23" spans="2:20" ht="15" customHeight="1">
      <c r="B23" s="118"/>
      <c r="C23" s="118"/>
      <c r="D23" s="188"/>
      <c r="H23" s="305"/>
      <c r="J23" s="305"/>
      <c r="L23" s="305"/>
      <c r="N23" s="305"/>
      <c r="O23" s="273"/>
      <c r="P23" s="273"/>
      <c r="Q23" s="282"/>
    </row>
    <row r="24" spans="2:20" ht="15" customHeight="1">
      <c r="B24" s="736" t="str">
        <f>_xlfn.CONCAT("Savings - 20 - ",G44*0.2," / Actual = ",D25," (",ROUND((D25/G44)*100,2),")")</f>
        <v>Savings - 20 - 1753.922 / Actual = 4718.2 (53.8)</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4718.2000000000007</v>
      </c>
      <c r="E25" s="759"/>
      <c r="F25" s="319"/>
      <c r="H25" s="305"/>
      <c r="J25" s="305"/>
      <c r="L25" s="305"/>
      <c r="N25" s="305"/>
      <c r="O25" s="285">
        <f>O26</f>
        <v>-1220.2899999999997</v>
      </c>
      <c r="P25" s="285" t="s">
        <v>895</v>
      </c>
      <c r="Q25" s="282">
        <f>SUM(Q26:Q26)</f>
        <v>0</v>
      </c>
    </row>
    <row r="26" spans="2:20" ht="15" customHeight="1" outlineLevel="1">
      <c r="B26" s="7" t="str">
        <f>"20% : " &amp; E$44*0.2</f>
        <v>20% : 1753.922</v>
      </c>
      <c r="C26" s="7" t="str">
        <f>"20% : " &amp; E$44*0.2</f>
        <v>20% : 1753.922</v>
      </c>
      <c r="D26" s="300" t="s">
        <v>183</v>
      </c>
      <c r="E26" s="523">
        <v>0</v>
      </c>
      <c r="F26" s="523">
        <f>SUM(F27:F37)</f>
        <v>4718.2000000000007</v>
      </c>
      <c r="G26" s="243"/>
      <c r="H26" s="305"/>
      <c r="J26" s="305"/>
      <c r="L26" s="305"/>
      <c r="N26" s="305"/>
      <c r="O26" s="274">
        <f>SUM(O27:O37)</f>
        <v>-1220.2899999999997</v>
      </c>
      <c r="P26" s="274" t="str">
        <f t="shared" ref="P26:P37" si="3">D26</f>
        <v>Savings</v>
      </c>
      <c r="Q26" s="282">
        <v>0</v>
      </c>
      <c r="R26" s="495"/>
      <c r="S26" s="243"/>
    </row>
    <row r="27" spans="2:20" ht="15" customHeight="1" outlineLevel="1">
      <c r="B27" s="7"/>
      <c r="C27" s="7"/>
      <c r="D27" s="300" t="s">
        <v>1485</v>
      </c>
      <c r="E27" s="523">
        <v>0</v>
      </c>
      <c r="F27" s="523">
        <v>40</v>
      </c>
      <c r="H27" s="305"/>
      <c r="J27" s="305"/>
      <c r="L27" s="362"/>
      <c r="N27" s="315"/>
      <c r="O27" s="274">
        <f>SUM(E27:F27)-SUM(G27:N27)</f>
        <v>40</v>
      </c>
      <c r="P27" s="274" t="str">
        <f t="shared" si="3"/>
        <v>MOT / Service</v>
      </c>
      <c r="Q27" s="282"/>
      <c r="R27" s="243"/>
    </row>
    <row r="28" spans="2:20" ht="15" customHeight="1" outlineLevel="1">
      <c r="B28" s="7"/>
      <c r="C28" s="7"/>
      <c r="D28" s="300" t="s">
        <v>690</v>
      </c>
      <c r="E28" s="523">
        <v>0</v>
      </c>
      <c r="F28" s="523">
        <f>-468.84-232.5</f>
        <v>-701.33999999999992</v>
      </c>
      <c r="H28" s="305"/>
      <c r="J28" s="305"/>
      <c r="L28" s="362"/>
      <c r="N28" s="315"/>
      <c r="O28" s="274">
        <f>SUM(E28:F28)-SUM(G28:N28)</f>
        <v>-701.33999999999992</v>
      </c>
      <c r="P28" s="274" t="str">
        <f t="shared" si="3"/>
        <v>Cars</v>
      </c>
      <c r="Q28" s="282"/>
      <c r="R28" s="243"/>
    </row>
    <row r="29" spans="2:20" ht="15" customHeight="1" outlineLevel="1">
      <c r="B29" s="7"/>
      <c r="C29" s="7"/>
      <c r="D29" s="300" t="s">
        <v>590</v>
      </c>
      <c r="E29" s="523">
        <v>0</v>
      </c>
      <c r="F29" s="523">
        <f>165+10.99+8.99+2.85+29.95+20+10.06</f>
        <v>247.84</v>
      </c>
      <c r="G29" s="305"/>
      <c r="J29" s="305">
        <v>6.2</v>
      </c>
      <c r="L29" s="362"/>
      <c r="N29" s="315"/>
      <c r="O29" s="274">
        <f>SUM(E29:F29)-SUM(G29:N29)-Q44</f>
        <v>238.14000000000001</v>
      </c>
      <c r="P29" s="274" t="str">
        <f t="shared" si="3"/>
        <v>Contingency</v>
      </c>
      <c r="Q29" s="282"/>
      <c r="T29" s="243"/>
    </row>
    <row r="30" spans="2:20" ht="15" customHeight="1" outlineLevel="1">
      <c r="B30" s="7"/>
      <c r="C30" s="7"/>
      <c r="D30" s="300" t="s">
        <v>1486</v>
      </c>
      <c r="E30" s="523">
        <v>0</v>
      </c>
      <c r="F30" s="523">
        <v>13.67</v>
      </c>
      <c r="H30" s="305"/>
      <c r="J30" s="305"/>
      <c r="L30" s="362"/>
      <c r="N30" s="315"/>
      <c r="O30" s="274">
        <f t="shared" ref="O30:O37" si="4">SUM(E30:F30)-SUM(G30:N30)</f>
        <v>13.67</v>
      </c>
      <c r="P30" s="274" t="str">
        <f t="shared" si="3"/>
        <v>TV</v>
      </c>
      <c r="Q30" s="282"/>
    </row>
    <row r="31" spans="2:20" ht="15" customHeight="1" outlineLevel="1">
      <c r="B31" s="7"/>
      <c r="C31" s="7"/>
      <c r="D31" s="300" t="s">
        <v>1296</v>
      </c>
      <c r="E31" s="523">
        <v>0</v>
      </c>
      <c r="F31" s="523">
        <v>95</v>
      </c>
      <c r="H31" s="305"/>
      <c r="J31" s="305"/>
      <c r="L31" s="362"/>
      <c r="N31" s="315"/>
      <c r="O31" s="274">
        <f t="shared" si="4"/>
        <v>95</v>
      </c>
      <c r="P31" s="274" t="str">
        <f t="shared" si="3"/>
        <v>Offset</v>
      </c>
      <c r="Q31" s="282"/>
    </row>
    <row r="32" spans="2:20" ht="15" customHeight="1" outlineLevel="1">
      <c r="B32" s="7"/>
      <c r="C32" s="7"/>
      <c r="D32" s="300" t="s">
        <v>354</v>
      </c>
      <c r="E32" s="523">
        <v>0</v>
      </c>
      <c r="F32" s="523">
        <f>650+55+80+32.14+100+40-271.13+79.7</f>
        <v>765.71</v>
      </c>
      <c r="G32">
        <f>80+55.05+250</f>
        <v>385.05</v>
      </c>
      <c r="H32">
        <f>(120-40)+9.5+149.07+11.7+3.25+8.69+3+1.4+5.96+63.88+37.03+11.96</f>
        <v>385.43999999999988</v>
      </c>
      <c r="J32" s="305">
        <f>67.58+2.35+6.64+28.6+11.14+4.82+11.27+82.47+33.66+3.2+1.26+3.16+5.6</f>
        <v>261.75</v>
      </c>
      <c r="L32" s="362"/>
      <c r="N32" s="315"/>
      <c r="O32" s="274">
        <f t="shared" si="4"/>
        <v>-266.52999999999975</v>
      </c>
      <c r="P32" s="274" t="str">
        <f t="shared" si="3"/>
        <v>Holiday</v>
      </c>
      <c r="Q32" s="282"/>
    </row>
    <row r="33" spans="2:19" ht="15" customHeight="1" outlineLevel="1">
      <c r="B33" s="7"/>
      <c r="C33" s="7"/>
      <c r="D33" s="300" t="s">
        <v>701</v>
      </c>
      <c r="E33" s="523">
        <v>0</v>
      </c>
      <c r="F33" s="523">
        <f>250</f>
        <v>250</v>
      </c>
      <c r="G33">
        <v>95</v>
      </c>
      <c r="J33" s="305">
        <v>85</v>
      </c>
      <c r="L33" s="362"/>
      <c r="N33" s="315"/>
      <c r="O33" s="274">
        <f t="shared" si="4"/>
        <v>70</v>
      </c>
      <c r="P33" s="274" t="str">
        <f t="shared" si="3"/>
        <v>Gift</v>
      </c>
      <c r="Q33" s="282"/>
    </row>
    <row r="34" spans="2:19" ht="15" customHeight="1" outlineLevel="1">
      <c r="B34" s="7"/>
      <c r="C34" s="7"/>
      <c r="D34" s="300" t="s">
        <v>1297</v>
      </c>
      <c r="E34" s="523">
        <v>0</v>
      </c>
      <c r="F34" s="523">
        <f>50+110+40+118.5</f>
        <v>318.5</v>
      </c>
      <c r="H34" s="305">
        <f>205.22+128.52</f>
        <v>333.74</v>
      </c>
      <c r="J34">
        <f>219.99+133.06-94.99</f>
        <v>258.06</v>
      </c>
      <c r="L34" s="362"/>
      <c r="N34" s="315"/>
      <c r="O34" s="274">
        <f t="shared" si="4"/>
        <v>-273.29999999999995</v>
      </c>
      <c r="P34" s="274" t="str">
        <f t="shared" si="3"/>
        <v>Skin</v>
      </c>
      <c r="Q34" s="282"/>
    </row>
    <row r="35" spans="2:19" ht="15" customHeight="1" outlineLevel="1">
      <c r="B35" s="7"/>
      <c r="C35" s="7"/>
      <c r="D35" s="300" t="s">
        <v>1391</v>
      </c>
      <c r="E35" s="523">
        <v>0</v>
      </c>
      <c r="F35" s="523">
        <v>75</v>
      </c>
      <c r="H35" s="305"/>
      <c r="J35" s="305"/>
      <c r="L35" s="362"/>
      <c r="N35" s="315"/>
      <c r="O35" s="274">
        <f t="shared" si="4"/>
        <v>75</v>
      </c>
      <c r="P35" s="274" t="str">
        <f t="shared" si="3"/>
        <v>Avios</v>
      </c>
      <c r="Q35" s="282"/>
    </row>
    <row r="36" spans="2:19" ht="15" customHeight="1" outlineLevel="1">
      <c r="B36" s="7"/>
      <c r="C36" s="7"/>
      <c r="D36" s="300" t="s">
        <v>772</v>
      </c>
      <c r="E36" s="523">
        <v>0</v>
      </c>
      <c r="F36" s="523">
        <v>0</v>
      </c>
      <c r="H36" s="305">
        <v>210.93</v>
      </c>
      <c r="J36" s="305"/>
      <c r="L36" s="362"/>
      <c r="N36" s="315"/>
      <c r="O36" s="274">
        <f t="shared" si="4"/>
        <v>-210.93</v>
      </c>
      <c r="P36" s="274" t="str">
        <f t="shared" si="3"/>
        <v>Home</v>
      </c>
      <c r="Q36" s="282"/>
    </row>
    <row r="37" spans="2:19" ht="15" customHeight="1" outlineLevel="1">
      <c r="B37" s="7"/>
      <c r="C37" s="7"/>
      <c r="D37" s="300" t="s">
        <v>1589</v>
      </c>
      <c r="E37" s="523">
        <v>0</v>
      </c>
      <c r="F37" s="523">
        <f>42.69+3300+271.13</f>
        <v>3613.82</v>
      </c>
      <c r="G37">
        <f>482.82+3131</f>
        <v>3613.82</v>
      </c>
      <c r="H37" s="305">
        <v>300</v>
      </c>
      <c r="J37" s="305"/>
      <c r="L37" s="362"/>
      <c r="N37" s="315"/>
      <c r="O37" s="274">
        <f t="shared" si="4"/>
        <v>-300</v>
      </c>
      <c r="P37" s="274" t="str">
        <f t="shared" si="3"/>
        <v>Amex</v>
      </c>
      <c r="Q37" s="282"/>
    </row>
    <row r="38" spans="2:19" ht="15" customHeight="1">
      <c r="B38" s="118"/>
      <c r="C38" s="118"/>
      <c r="H38" s="305"/>
      <c r="J38" s="305"/>
      <c r="L38" s="305"/>
      <c r="N38" s="305"/>
      <c r="O38" s="273"/>
      <c r="P38" s="273"/>
      <c r="Q38" s="282"/>
      <c r="R38" s="243"/>
    </row>
    <row r="39" spans="2:19" ht="15" customHeight="1">
      <c r="B39" s="727" t="str">
        <f>_xlfn.CONCAT("Wants - 30 - ",G44*0.3," / Actual = ",D40," (",ROUND((D40/G44)*100,2),")")</f>
        <v>Wants - 30 - 2630.883 / Actual = 1167.16 (13.31)</v>
      </c>
      <c r="C39" s="727"/>
      <c r="D39" s="727"/>
      <c r="E39" s="727"/>
      <c r="F39" s="318"/>
      <c r="H39" s="305"/>
      <c r="J39" s="305"/>
      <c r="L39" s="305"/>
      <c r="N39" s="305"/>
      <c r="O39" s="273"/>
      <c r="P39" s="273"/>
      <c r="Q39" s="282"/>
      <c r="S39" s="243"/>
    </row>
    <row r="40" spans="2:19" ht="15" customHeight="1">
      <c r="B40" s="727" t="str">
        <f>IF(ISNUMBER((SEARCH("Over",B$5))),"Operating under budget","Operating over budget")</f>
        <v>Operating over budget</v>
      </c>
      <c r="C40" s="727"/>
      <c r="D40" s="759">
        <f>(E$44-D5-D25-E43)</f>
        <v>1167.159999999998</v>
      </c>
      <c r="E40" s="727"/>
      <c r="F40" s="319">
        <f>F41</f>
        <v>577.52999999999793</v>
      </c>
      <c r="H40" s="305"/>
      <c r="J40" s="305"/>
      <c r="L40" s="305"/>
      <c r="N40" s="305"/>
      <c r="O40" s="285">
        <f>0</f>
        <v>0</v>
      </c>
      <c r="P40" s="285" t="s">
        <v>899</v>
      </c>
      <c r="Q40" s="282">
        <f>SUM(Q41:Q41)</f>
        <v>0</v>
      </c>
      <c r="S40" s="243"/>
    </row>
    <row r="41" spans="2:19" ht="18" outlineLevel="1">
      <c r="B41" s="7"/>
      <c r="C41" s="284"/>
      <c r="D41" s="13" t="s">
        <v>922</v>
      </c>
      <c r="E41" s="523">
        <v>0</v>
      </c>
      <c r="F41" s="523">
        <f>D40-F42</f>
        <v>577.52999999999793</v>
      </c>
      <c r="G41" s="11">
        <f>20+15</f>
        <v>35</v>
      </c>
      <c r="H41">
        <f>7+6+7.99+5.49+4.99+9.28+11.79+9.49+4.99+77.99+4.99+23.4+11.5+6.7+40.1+7.75+3+13.75+1.12+3.79</f>
        <v>261.11</v>
      </c>
      <c r="J41">
        <f>1.3+2.95+2.5+9.49+1.3+0.39+9.99+12.34+3.71+3.45+4.5+1.5+1.3</f>
        <v>54.720000000000006</v>
      </c>
      <c r="N41" s="305"/>
      <c r="O41" s="274">
        <f>SUM(E41:F41)-SUM(G41:N41)</f>
        <v>226.69999999999789</v>
      </c>
      <c r="P41" s="274" t="str">
        <f>D41</f>
        <v>Matt Fun</v>
      </c>
      <c r="Q41" s="282">
        <f>IF(SUM(E41:F41)-SUM(G41:N41)&lt;=0,(SUM(E41:F41)-SUM(G41:N41))*-1,0)</f>
        <v>0</v>
      </c>
    </row>
    <row r="42" spans="2:19" ht="18" outlineLevel="1">
      <c r="B42" s="7"/>
      <c r="C42" s="284"/>
      <c r="D42" s="13" t="s">
        <v>152</v>
      </c>
      <c r="E42" s="523">
        <v>0</v>
      </c>
      <c r="F42" s="523">
        <f>40+32+24.68+38.5+148+15.5+38+25+55+108+64.95</f>
        <v>589.63000000000011</v>
      </c>
      <c r="G42" s="11"/>
      <c r="H42" s="306">
        <f>1.5+29.98+31.2+34+75.09+38.5+148.5+15.5+77.5+55+108+25-71.1+64.95-77.5</f>
        <v>556.12</v>
      </c>
      <c r="I42" t="s">
        <v>98</v>
      </c>
      <c r="J42" s="305">
        <v>38</v>
      </c>
      <c r="L42" s="305"/>
      <c r="N42" s="305"/>
      <c r="O42" s="274">
        <f>SUM(E42:F42)-SUM(G42:N42)</f>
        <v>-4.4899999999998954</v>
      </c>
      <c r="P42" s="274" t="str">
        <f>D42</f>
        <v>Kris</v>
      </c>
      <c r="Q42" s="271">
        <f>IF(F42-SUM(G42:N42)&lt;=0,(F42-SUM(G42:N42))*-1,0)</f>
        <v>4.4899999999998954</v>
      </c>
    </row>
    <row r="43" spans="2:19">
      <c r="B43" s="118"/>
      <c r="C43" s="118"/>
      <c r="E43" s="523">
        <f>E26</f>
        <v>0</v>
      </c>
      <c r="G43" s="349"/>
      <c r="J43" s="7"/>
      <c r="L43" s="7"/>
      <c r="N43" s="7"/>
      <c r="O43" s="273"/>
      <c r="P43" s="273"/>
      <c r="Q43" s="282"/>
    </row>
    <row r="44" spans="2:19" ht="18">
      <c r="B44" s="728" t="s">
        <v>817</v>
      </c>
      <c r="C44" s="728"/>
      <c r="D44" s="728"/>
      <c r="E44" s="529">
        <f>G44+I44+K44+M44+N44+E43</f>
        <v>8769.6099999999988</v>
      </c>
      <c r="F44" s="530"/>
      <c r="G44" s="271">
        <f>(806.62+6061.45+0.5+(104.88-25.69))+910+160+40+32+38.5+148+25+15.5+38+13.4+25+55+108+30+118.5+64.95</f>
        <v>8769.6099999999988</v>
      </c>
      <c r="H44" s="282"/>
      <c r="I44" s="271"/>
      <c r="J44" s="271"/>
      <c r="K44" s="271"/>
      <c r="L44" s="271"/>
      <c r="M44" s="271"/>
      <c r="N44" s="271"/>
      <c r="O44" s="314">
        <f>ROUND(O5+O40+O25+IF(O41&lt;0,0,O41)+O42+O4,2)</f>
        <v>2264.21</v>
      </c>
      <c r="P44" s="274"/>
      <c r="Q44" s="282">
        <f>SUM(Q40,Q25,Q5)</f>
        <v>3.5</v>
      </c>
    </row>
    <row r="45" spans="2:19" ht="18">
      <c r="B45" s="118"/>
      <c r="C45" s="7"/>
      <c r="D45" s="13" t="s">
        <v>1451</v>
      </c>
      <c r="G45" s="523"/>
      <c r="H45" s="243"/>
      <c r="L45" s="243"/>
    </row>
    <row r="46" spans="2:19" ht="14.4">
      <c r="B46" s="729"/>
      <c r="C46" s="729"/>
      <c r="D46" s="729"/>
      <c r="E46" s="729"/>
      <c r="F46" s="729"/>
      <c r="G46" s="729"/>
      <c r="H46" s="297"/>
      <c r="K46" s="729"/>
      <c r="L46" s="729"/>
      <c r="M46" s="729"/>
      <c r="N46" s="729"/>
      <c r="O46" s="729"/>
      <c r="P46" s="297"/>
    </row>
    <row r="47" spans="2:19" ht="15" customHeight="1">
      <c r="B47" s="726" t="s">
        <v>955</v>
      </c>
      <c r="C47" s="726"/>
      <c r="E47"/>
      <c r="F47" s="348"/>
      <c r="H47" s="243"/>
      <c r="K47" s="212"/>
      <c r="L47" s="212"/>
      <c r="M47" s="243"/>
      <c r="N47" s="118" t="s">
        <v>2139</v>
      </c>
      <c r="O47" s="316">
        <v>45739</v>
      </c>
      <c r="P47" s="7">
        <v>0</v>
      </c>
      <c r="Q47">
        <v>30</v>
      </c>
      <c r="R47" t="s">
        <v>1342</v>
      </c>
    </row>
    <row r="48" spans="2:19">
      <c r="B48" s="523"/>
      <c r="C48" s="38"/>
      <c r="E48"/>
      <c r="F48" s="11"/>
      <c r="G48" s="531"/>
      <c r="I48" s="243"/>
      <c r="K48" s="11"/>
      <c r="L48" s="243"/>
      <c r="N48" s="483" t="s">
        <v>2136</v>
      </c>
      <c r="O48" s="42">
        <v>45725</v>
      </c>
      <c r="P48" s="7">
        <f ca="1">DATEDIF(O48,NOW(),"d")</f>
        <v>526</v>
      </c>
      <c r="Q48">
        <v>5.49</v>
      </c>
      <c r="R48" t="s">
        <v>1342</v>
      </c>
    </row>
    <row r="49" spans="2:18">
      <c r="E49" s="534"/>
      <c r="F49" s="534"/>
      <c r="G49" s="458"/>
      <c r="H49" s="445"/>
      <c r="I49" s="11"/>
      <c r="J49" s="243"/>
      <c r="L49" s="243"/>
      <c r="N49" t="s">
        <v>2140</v>
      </c>
      <c r="O49" s="42">
        <v>45739</v>
      </c>
      <c r="P49" s="7">
        <f ca="1">DATEDIF(O49,NOW(),"d")</f>
        <v>512</v>
      </c>
      <c r="Q49">
        <v>64.95</v>
      </c>
      <c r="R49" t="s">
        <v>2141</v>
      </c>
    </row>
    <row r="50" spans="2:18" ht="16.2" customHeight="1">
      <c r="E50" s="534"/>
      <c r="F50" s="534"/>
      <c r="G50" s="458"/>
      <c r="H50" s="243"/>
      <c r="I50" s="243"/>
      <c r="J50" s="213"/>
      <c r="K50" s="213"/>
      <c r="L50" s="243"/>
      <c r="N50" s="358" t="s">
        <v>2149</v>
      </c>
      <c r="O50" s="316">
        <v>45739</v>
      </c>
      <c r="P50" s="7">
        <f ca="1">DATEDIF(O50,NOW(),"d")</f>
        <v>512</v>
      </c>
      <c r="Q50">
        <v>1.3</v>
      </c>
      <c r="R50" t="s">
        <v>2150</v>
      </c>
    </row>
    <row r="51" spans="2:18">
      <c r="B51" s="532"/>
      <c r="D51" s="243"/>
      <c r="E51"/>
      <c r="F51"/>
      <c r="H51" s="243"/>
      <c r="M51" s="243"/>
      <c r="P51"/>
    </row>
    <row r="52" spans="2:18" ht="14.4">
      <c r="E52" s="11"/>
      <c r="F52" s="390"/>
      <c r="H52" s="243"/>
      <c r="J52" s="243"/>
      <c r="M52" s="243"/>
      <c r="P52"/>
      <c r="Q52" s="243"/>
    </row>
    <row r="53" spans="2:18">
      <c r="E53" s="534"/>
      <c r="F53" s="492"/>
      <c r="G53" s="515"/>
      <c r="H53" s="515"/>
      <c r="K53" s="725"/>
      <c r="L53" s="725"/>
      <c r="M53" s="243"/>
      <c r="P53" s="292"/>
      <c r="Q53" s="212"/>
    </row>
    <row r="54" spans="2:18" ht="15" customHeight="1">
      <c r="F54"/>
      <c r="G54" s="243"/>
      <c r="H54" s="243"/>
      <c r="I54" s="243">
        <f>O5+O4</f>
        <v>3262.29</v>
      </c>
      <c r="K54" s="353"/>
      <c r="L54" s="243"/>
      <c r="M54" s="243"/>
      <c r="N54" s="243"/>
      <c r="P54" s="56"/>
      <c r="Q54" s="38"/>
    </row>
    <row r="55" spans="2:18">
      <c r="F55"/>
      <c r="G55" s="243"/>
      <c r="H55" s="243" t="s">
        <v>2137</v>
      </c>
      <c r="I55" s="243">
        <f>I54-O44</f>
        <v>998.07999999999993</v>
      </c>
      <c r="L55" s="243"/>
      <c r="O55"/>
      <c r="P55"/>
    </row>
    <row r="56" spans="2:18" ht="15" customHeight="1">
      <c r="F56"/>
      <c r="G56" s="11"/>
      <c r="H56" t="s">
        <v>2138</v>
      </c>
      <c r="I56" s="243">
        <f>I55-SUM(H64:H68)</f>
        <v>-140.6400000000001</v>
      </c>
    </row>
    <row r="57" spans="2:18" ht="16.2" customHeight="1">
      <c r="E57" s="781"/>
      <c r="F57"/>
    </row>
    <row r="58" spans="2:18">
      <c r="B58" s="11"/>
      <c r="E58" s="781"/>
      <c r="F58" s="534"/>
      <c r="H58" s="243"/>
      <c r="I58" s="243"/>
      <c r="J58" s="79"/>
      <c r="O58"/>
      <c r="P58"/>
    </row>
    <row r="59" spans="2:18">
      <c r="B59" s="11"/>
      <c r="E59" s="284"/>
      <c r="F59" s="534"/>
      <c r="G59" s="369"/>
      <c r="I59" s="248"/>
      <c r="J59" s="390"/>
      <c r="O59"/>
      <c r="P59"/>
    </row>
    <row r="60" spans="2:18">
      <c r="E60" s="534"/>
      <c r="G60" s="369"/>
      <c r="J60" s="79"/>
      <c r="L60" s="243"/>
      <c r="M60" s="243"/>
      <c r="O60"/>
      <c r="P60"/>
    </row>
    <row r="61" spans="2:18">
      <c r="B61" s="212"/>
      <c r="C61" s="212"/>
      <c r="F61" s="534"/>
      <c r="G61" s="532"/>
      <c r="I61" s="516"/>
      <c r="J61" s="517"/>
      <c r="K61" s="118"/>
      <c r="L61" s="243"/>
      <c r="O61"/>
      <c r="P61"/>
    </row>
    <row r="62" spans="2:18">
      <c r="C62" s="56"/>
      <c r="F62"/>
      <c r="G62" s="243"/>
      <c r="I62" s="494"/>
      <c r="J62" s="79"/>
      <c r="L62" s="243" t="s">
        <v>2142</v>
      </c>
      <c r="M62" t="s">
        <v>2143</v>
      </c>
      <c r="O62"/>
      <c r="P62"/>
    </row>
    <row r="63" spans="2:18" ht="15.75" customHeight="1">
      <c r="C63" s="56"/>
      <c r="F63"/>
      <c r="G63" s="243"/>
      <c r="L63" s="243" t="s">
        <v>2151</v>
      </c>
      <c r="M63" s="243"/>
      <c r="O63"/>
      <c r="P63"/>
    </row>
    <row r="64" spans="2:18">
      <c r="C64" s="56"/>
      <c r="E64"/>
      <c r="F64" s="534" t="s">
        <v>19</v>
      </c>
      <c r="G64" s="243">
        <f>G63-H64</f>
        <v>-200</v>
      </c>
      <c r="H64">
        <v>200</v>
      </c>
      <c r="O64"/>
      <c r="P64"/>
    </row>
    <row r="65" spans="2:16" ht="14.4">
      <c r="C65" s="56"/>
      <c r="D65" s="188"/>
      <c r="E65"/>
      <c r="F65" s="79" t="s">
        <v>2134</v>
      </c>
      <c r="G65" s="243">
        <f>G64-H65</f>
        <v>-526.72</v>
      </c>
      <c r="H65">
        <f>303.73+22.99</f>
        <v>326.72000000000003</v>
      </c>
      <c r="O65"/>
      <c r="P65"/>
    </row>
    <row r="66" spans="2:16">
      <c r="C66" s="56"/>
      <c r="E66"/>
      <c r="F66" s="534" t="s">
        <v>2135</v>
      </c>
      <c r="G66" s="243" t="e">
        <f>G65-#REF!</f>
        <v>#REF!</v>
      </c>
      <c r="H66">
        <f>80+60+150+20+15+17+20+180+20</f>
        <v>562</v>
      </c>
      <c r="O66"/>
      <c r="P66"/>
    </row>
    <row r="67" spans="2:16">
      <c r="C67" s="56"/>
      <c r="E67" s="407"/>
      <c r="F67" s="534" t="s">
        <v>715</v>
      </c>
      <c r="H67">
        <v>50</v>
      </c>
      <c r="O67"/>
      <c r="P67"/>
    </row>
    <row r="68" spans="2:16">
      <c r="C68" s="56"/>
      <c r="E68"/>
      <c r="F68" s="534"/>
      <c r="I68" s="407"/>
      <c r="J68" s="79"/>
      <c r="L68" t="s">
        <v>2144</v>
      </c>
      <c r="M68" s="243" t="s">
        <v>2145</v>
      </c>
      <c r="N68" s="288"/>
      <c r="O68"/>
      <c r="P68"/>
    </row>
    <row r="69" spans="2:16">
      <c r="C69" s="56"/>
      <c r="E69" s="347"/>
      <c r="M69" t="s">
        <v>2146</v>
      </c>
      <c r="O69"/>
      <c r="P69"/>
    </row>
    <row r="70" spans="2:16">
      <c r="C70" s="56"/>
      <c r="E70"/>
      <c r="F70" s="278" t="s">
        <v>2152</v>
      </c>
      <c r="J70" s="118"/>
      <c r="M70" t="s">
        <v>2147</v>
      </c>
      <c r="O70"/>
      <c r="P70"/>
    </row>
    <row r="71" spans="2:16">
      <c r="C71" s="56"/>
      <c r="E71" s="407"/>
      <c r="F71" s="534" t="s">
        <v>2153</v>
      </c>
      <c r="G71" s="407">
        <v>175</v>
      </c>
      <c r="H71" s="407" t="s">
        <v>1372</v>
      </c>
      <c r="I71" s="407"/>
      <c r="J71" s="407"/>
      <c r="M71" t="s">
        <v>2148</v>
      </c>
      <c r="O71"/>
      <c r="P71"/>
    </row>
    <row r="72" spans="2:16" ht="15.45" customHeight="1">
      <c r="C72" s="56"/>
      <c r="E72" s="407"/>
      <c r="F72" s="259" t="s">
        <v>2154</v>
      </c>
      <c r="G72" s="407"/>
      <c r="H72" s="407"/>
      <c r="I72" s="407"/>
      <c r="J72" s="407"/>
      <c r="K72" s="407"/>
      <c r="L72" s="407"/>
      <c r="M72" s="407"/>
      <c r="O72"/>
      <c r="P72"/>
    </row>
    <row r="73" spans="2:16" ht="14.4">
      <c r="D73" s="459"/>
      <c r="E73" s="243"/>
      <c r="F73" s="541" t="s">
        <v>2155</v>
      </c>
      <c r="G73" s="243"/>
      <c r="O73"/>
      <c r="P73"/>
    </row>
    <row r="74" spans="2:16" ht="14.4">
      <c r="B74" s="212"/>
      <c r="C74" s="294"/>
      <c r="D74" s="188"/>
      <c r="E74"/>
      <c r="F74" s="79" t="s">
        <v>2156</v>
      </c>
      <c r="O74"/>
      <c r="P74"/>
    </row>
    <row r="75" spans="2:16" ht="15.45" customHeight="1">
      <c r="C75" s="56"/>
      <c r="E75"/>
      <c r="F75" s="79" t="s">
        <v>2157</v>
      </c>
      <c r="M75" s="243"/>
      <c r="O75"/>
      <c r="P75"/>
    </row>
    <row r="76" spans="2:16">
      <c r="C76" s="56"/>
      <c r="E76" s="532"/>
      <c r="F76"/>
      <c r="G76" s="532"/>
      <c r="O76"/>
      <c r="P76"/>
    </row>
    <row r="77" spans="2:16">
      <c r="C77" s="56"/>
      <c r="L77" s="459"/>
      <c r="M77" s="461"/>
      <c r="O77"/>
      <c r="P77"/>
    </row>
    <row r="78" spans="2:16">
      <c r="C78" s="56"/>
      <c r="D78" s="426"/>
      <c r="E78" s="533"/>
      <c r="L78" s="188"/>
      <c r="M78" s="230"/>
      <c r="O78"/>
      <c r="P78"/>
    </row>
    <row r="79" spans="2:16">
      <c r="C79" s="56"/>
      <c r="D79" s="405"/>
      <c r="E79" s="407"/>
      <c r="L79" s="188"/>
      <c r="M79" s="230"/>
      <c r="O79"/>
      <c r="P79"/>
    </row>
    <row r="80" spans="2:16">
      <c r="C80" s="56"/>
      <c r="D80" s="532"/>
      <c r="E80"/>
      <c r="L80" s="188"/>
      <c r="M80" s="230"/>
      <c r="O80"/>
      <c r="P80"/>
    </row>
    <row r="81" spans="5:16">
      <c r="E81" s="533"/>
      <c r="L81" s="188"/>
      <c r="M81" s="230"/>
      <c r="O81"/>
      <c r="P81"/>
    </row>
    <row r="82" spans="5:16">
      <c r="E82" s="533"/>
      <c r="L82" s="532"/>
      <c r="M82" s="230"/>
      <c r="O82"/>
      <c r="P82"/>
    </row>
    <row r="83" spans="5:16">
      <c r="E83" s="533"/>
      <c r="F83" s="212"/>
      <c r="L83" s="405"/>
      <c r="M83" s="230"/>
      <c r="O83"/>
      <c r="P83"/>
    </row>
    <row r="84" spans="5:16" ht="14.4">
      <c r="E84"/>
      <c r="F84"/>
      <c r="L84" s="405"/>
      <c r="M84" s="462"/>
      <c r="O84"/>
      <c r="P84"/>
    </row>
    <row r="85" spans="5:16" ht="14.4">
      <c r="E85"/>
      <c r="F85"/>
      <c r="O85"/>
      <c r="P85"/>
    </row>
    <row r="86" spans="5:16" ht="14.4">
      <c r="E86"/>
      <c r="F86"/>
      <c r="O86"/>
      <c r="P86"/>
    </row>
    <row r="87" spans="5:16" ht="14.4">
      <c r="E87" s="292"/>
      <c r="F87" s="56"/>
      <c r="O87"/>
      <c r="P87"/>
    </row>
    <row r="88" spans="5:16" ht="14.4">
      <c r="E88" s="42"/>
      <c r="F88" s="56"/>
      <c r="O88"/>
      <c r="P88"/>
    </row>
    <row r="89" spans="5:16" ht="14.4">
      <c r="E89" s="56"/>
      <c r="F89" s="56"/>
      <c r="O89"/>
      <c r="P89"/>
    </row>
    <row r="90" spans="5:16">
      <c r="O90"/>
      <c r="P90"/>
    </row>
    <row r="91" spans="5:16" ht="14.4">
      <c r="E91" s="212"/>
      <c r="F91" s="212"/>
      <c r="O91"/>
      <c r="P91"/>
    </row>
    <row r="92" spans="5:16" ht="14.4">
      <c r="E92"/>
      <c r="F92" s="56"/>
      <c r="O92"/>
      <c r="P92"/>
    </row>
    <row r="93" spans="5:16" ht="14.4">
      <c r="E93" s="56"/>
      <c r="F93" s="56"/>
      <c r="O93"/>
      <c r="P93"/>
    </row>
    <row r="94" spans="5:16" ht="14.4">
      <c r="E94" s="56"/>
      <c r="F94" s="56"/>
      <c r="G94" s="407"/>
      <c r="O94"/>
      <c r="P94"/>
    </row>
    <row r="95" spans="5:16" ht="14.4">
      <c r="E95" s="56"/>
      <c r="F95" s="56"/>
      <c r="G95" s="407"/>
      <c r="O95"/>
      <c r="P95"/>
    </row>
    <row r="96" spans="5:16" ht="14.4">
      <c r="E96" s="56"/>
      <c r="F96" s="56"/>
      <c r="G96" s="407"/>
      <c r="O96"/>
      <c r="P96"/>
    </row>
    <row r="97" spans="5:16" ht="14.4">
      <c r="E97" s="56"/>
      <c r="F97" s="56"/>
      <c r="G97" s="407"/>
      <c r="O97"/>
      <c r="P97"/>
    </row>
    <row r="98" spans="5:16">
      <c r="G98" s="407"/>
      <c r="O98"/>
      <c r="P98"/>
    </row>
    <row r="99" spans="5:16">
      <c r="G99" s="407"/>
      <c r="O99"/>
      <c r="P99"/>
    </row>
    <row r="100" spans="5:16">
      <c r="G100" s="407"/>
      <c r="O100"/>
      <c r="P100"/>
    </row>
    <row r="101" spans="5:16">
      <c r="G101" s="407"/>
    </row>
  </sheetData>
  <mergeCells count="23">
    <mergeCell ref="B46:G46"/>
    <mergeCell ref="K46:O46"/>
    <mergeCell ref="B47:C47"/>
    <mergeCell ref="K53:L53"/>
    <mergeCell ref="E57:E58"/>
    <mergeCell ref="B44:D44"/>
    <mergeCell ref="B5:C5"/>
    <mergeCell ref="D5:E5"/>
    <mergeCell ref="B6:B20"/>
    <mergeCell ref="C6:C20"/>
    <mergeCell ref="E10:F10"/>
    <mergeCell ref="B24:E24"/>
    <mergeCell ref="B25:C25"/>
    <mergeCell ref="D25:E25"/>
    <mergeCell ref="B39:E39"/>
    <mergeCell ref="B40:C40"/>
    <mergeCell ref="D40:E40"/>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74BF-F113-4DFC-8034-A710C08429C9}">
  <dimension ref="A1:T103"/>
  <sheetViews>
    <sheetView topLeftCell="D3" zoomScale="90" zoomScaleNormal="90" workbookViewId="0">
      <selection activeCell="F13" sqref="F13"/>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0" ht="25.5" customHeight="1">
      <c r="A1" t="str">
        <f ca="1">UPPER(TEXT((1&amp;LEFT(B$1,3))-1,"MMM"))&amp;"-"&amp;UPPER(TEXT((1&amp;RIGHT(LEFT(B$1,7),3))-1,"MMM"))&amp;" "&amp;RIGHT(B$1,4)</f>
        <v>FEB-MAR R 25</v>
      </c>
      <c r="B1" s="730" t="str">
        <f ca="1">MID(CELL("filename",B1),FIND("]",CELL("filename",B1))+1,255)</f>
        <v>MAR-APR 25</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ROUND(O5+O40+O25+IF(O41&lt;0,0,O41)+O42+O4,2) &amp; " / " &amp; "£" &amp; E44</f>
        <v>£2531.07 / £10870.75</v>
      </c>
      <c r="G3" s="732">
        <v>45741</v>
      </c>
      <c r="H3" s="732"/>
      <c r="I3" s="732">
        <f>G3+7</f>
        <v>45748</v>
      </c>
      <c r="J3" s="732"/>
      <c r="K3" s="732">
        <f>I3+7</f>
        <v>45755</v>
      </c>
      <c r="L3" s="732"/>
      <c r="M3" s="732">
        <f>K3+7</f>
        <v>45762</v>
      </c>
      <c r="N3" s="732"/>
      <c r="O3" s="308">
        <v>0</v>
      </c>
      <c r="P3" s="325" t="s">
        <v>1224</v>
      </c>
      <c r="Q3" s="282"/>
    </row>
    <row r="4" spans="1:20" ht="15" customHeight="1">
      <c r="B4" s="727" t="str">
        <f>_xlfn.CONCAT("Expenses - 50 - ",G44*0.5," / Actual = ",ROUND(D5,2)," (",ROUND((D5/G44)*100,2),")")</f>
        <v>Expenses - 50 - 5435.375 / Actual = 3028.92 (27.86)</v>
      </c>
      <c r="C4" s="727"/>
      <c r="D4" s="727"/>
      <c r="E4" s="727"/>
      <c r="F4" s="318"/>
      <c r="G4" s="243"/>
      <c r="H4" s="304">
        <f>SUM(H5:H42)</f>
        <v>2999.2000000000003</v>
      </c>
      <c r="I4" s="243">
        <f>787.36+525.3+980.14</f>
        <v>2292.7999999999997</v>
      </c>
      <c r="J4" s="304">
        <f>SUM(J5:J42)</f>
        <v>1042.3700000000001</v>
      </c>
      <c r="K4" s="243"/>
      <c r="L4" s="304">
        <f>SUM(L5:L42)</f>
        <v>0</v>
      </c>
      <c r="M4" s="243"/>
      <c r="N4" s="304">
        <f>SUM(N5:N42)-SUM(N27:N33)</f>
        <v>0</v>
      </c>
      <c r="O4" s="308">
        <f>IF(H43&lt;&gt;"PAID",H4,0)+IF(J43&lt;&gt;"PAID",J4,0)+IF(L43&lt;&gt;"PAID",L4,0)+IF(N43&lt;&gt;"PAID",N4,0)</f>
        <v>4041.5700000000006</v>
      </c>
      <c r="P4" s="309" t="s">
        <v>973</v>
      </c>
      <c r="Q4" s="408"/>
      <c r="R4" s="243"/>
      <c r="S4" s="243"/>
    </row>
    <row r="5" spans="1:20" ht="15" customHeight="1">
      <c r="B5" s="733" t="str">
        <f>IF(D5&gt;E$44*0.5,ROUND(D5-E$44*0.5,2) &amp; " Over",ROUND(E$44*0.5-D5,2) &amp; " Under")</f>
        <v>2406.46 Under</v>
      </c>
      <c r="C5" s="733"/>
      <c r="D5" s="761">
        <f>ROUND(SUM(F6:F22),2)</f>
        <v>3028.92</v>
      </c>
      <c r="E5" s="761"/>
      <c r="F5" s="321"/>
      <c r="G5" s="284"/>
      <c r="H5" s="306"/>
      <c r="I5" s="390"/>
      <c r="J5" s="306"/>
      <c r="K5" s="390"/>
      <c r="L5" s="306"/>
      <c r="M5" s="79"/>
      <c r="N5" s="305"/>
      <c r="O5" s="285">
        <f>SUMIF(O6:O22,"&gt;0")</f>
        <v>40.29999999999994</v>
      </c>
      <c r="P5" s="285" t="s">
        <v>892</v>
      </c>
      <c r="Q5" s="282">
        <f>SUM(Q6:Q22)</f>
        <v>161.57999999999998</v>
      </c>
      <c r="R5" s="243"/>
    </row>
    <row r="6" spans="1:20" ht="15" customHeight="1">
      <c r="B6" s="734" t="str">
        <f>"50%: " &amp; E$44*0.5</f>
        <v>50%: 5435.375</v>
      </c>
      <c r="C6" s="734" t="str">
        <f>ROUND((D5/E$44)*100,2) &amp; "%: " &amp;D5</f>
        <v>27.86%: 3028.92</v>
      </c>
      <c r="D6" s="13" t="s">
        <v>805</v>
      </c>
      <c r="E6" s="523">
        <v>0</v>
      </c>
      <c r="F6" s="528">
        <v>150</v>
      </c>
      <c r="H6" s="304">
        <f>31.38+21.69+28.2+20.03+21.28+38.02+20.01</f>
        <v>180.60999999999999</v>
      </c>
      <c r="J6" s="305"/>
      <c r="L6" s="305"/>
      <c r="N6" s="305"/>
      <c r="O6" s="274">
        <f>SUM(E6:F6)-SUM(G6:N6)</f>
        <v>-30.609999999999985</v>
      </c>
      <c r="P6" s="274" t="str">
        <f t="shared" ref="P6:P22" si="0">D6</f>
        <v>Car Petrol / commuting</v>
      </c>
      <c r="Q6" s="282">
        <f>IF(O6&lt;0,O6*-1,0)</f>
        <v>30.609999999999985</v>
      </c>
      <c r="R6" s="243"/>
    </row>
    <row r="7" spans="1:20" ht="15" customHeight="1">
      <c r="B7" s="734"/>
      <c r="C7" s="734"/>
      <c r="D7" s="13" t="s">
        <v>169</v>
      </c>
      <c r="E7" s="523">
        <v>0</v>
      </c>
      <c r="F7" s="523">
        <v>400</v>
      </c>
      <c r="H7" s="304">
        <f>(38.28-15)+4+2.5+34.63+12.15+17.95+6.45+1.3+1.1+28.25+81.26+2.3+22.5+5.65+4.71+76.1+8.27+86.32-4.25+29.77+50.11+1.8+5.8</f>
        <v>501.95</v>
      </c>
      <c r="J7" s="305"/>
      <c r="L7" s="305"/>
      <c r="N7" s="305"/>
      <c r="O7" s="274">
        <f>SUM(E7:F7)-SUM(G7:N7)</f>
        <v>-101.94999999999999</v>
      </c>
      <c r="P7" s="274" t="str">
        <f t="shared" si="0"/>
        <v>Food</v>
      </c>
      <c r="Q7" s="282">
        <f>IF(O7&lt;0,O7*-1,0)</f>
        <v>101.94999999999999</v>
      </c>
      <c r="R7" s="243"/>
    </row>
    <row r="8" spans="1:20" ht="15" customHeight="1">
      <c r="B8" s="734"/>
      <c r="C8" s="734"/>
      <c r="D8" s="13" t="s">
        <v>153</v>
      </c>
      <c r="E8" s="523">
        <v>0</v>
      </c>
      <c r="F8" s="523">
        <v>90</v>
      </c>
      <c r="H8" s="305"/>
      <c r="J8" s="305">
        <f>28.33+(31.42-5)+28.53+28.82</f>
        <v>112.1</v>
      </c>
      <c r="L8" s="305"/>
      <c r="N8" s="305"/>
      <c r="O8" s="274">
        <f>SUM(E8:F8)-SUM(G8:N8)</f>
        <v>-22.099999999999994</v>
      </c>
      <c r="P8" s="274" t="str">
        <f t="shared" si="0"/>
        <v>Luna</v>
      </c>
      <c r="Q8" s="282">
        <f>IF(O8&lt;0,O8*-1,0)</f>
        <v>22.099999999999994</v>
      </c>
    </row>
    <row r="9" spans="1:20" ht="15" customHeight="1">
      <c r="B9" s="734"/>
      <c r="C9" s="734"/>
      <c r="D9" s="13" t="s">
        <v>1079</v>
      </c>
      <c r="E9" s="523">
        <v>0</v>
      </c>
      <c r="F9" s="523">
        <f>30</f>
        <v>30</v>
      </c>
      <c r="H9" s="305">
        <f>11</f>
        <v>11</v>
      </c>
      <c r="J9" s="305">
        <f>5</f>
        <v>5</v>
      </c>
      <c r="L9" s="305"/>
      <c r="N9" s="305"/>
      <c r="O9" s="274">
        <f>SUM(E9:F9)-SUM(G9:N9)</f>
        <v>14</v>
      </c>
      <c r="P9" s="274" t="str">
        <f t="shared" si="0"/>
        <v>Creamy</v>
      </c>
      <c r="Q9" s="282">
        <f>IF(O9&lt;0,O9*-1,0)</f>
        <v>0</v>
      </c>
      <c r="R9" s="243"/>
    </row>
    <row r="10" spans="1:20" ht="15" customHeight="1">
      <c r="B10" s="734"/>
      <c r="C10" s="734"/>
      <c r="D10" s="13" t="s">
        <v>189</v>
      </c>
      <c r="E10" s="735">
        <f>SUM(F11:F22)</f>
        <v>2358.9199999999996</v>
      </c>
      <c r="F10" s="735"/>
      <c r="G10" s="243"/>
      <c r="H10" s="305"/>
      <c r="J10" s="305"/>
      <c r="L10" s="305"/>
      <c r="N10" s="305"/>
      <c r="O10" s="274"/>
      <c r="P10" s="274" t="str">
        <f t="shared" si="0"/>
        <v>Direct debits</v>
      </c>
      <c r="Q10" s="282"/>
      <c r="R10" s="243"/>
    </row>
    <row r="11" spans="1:20" ht="15" customHeight="1" outlineLevel="1">
      <c r="B11" s="734"/>
      <c r="C11" s="734"/>
      <c r="D11" s="201" t="s">
        <v>595</v>
      </c>
      <c r="E11" s="523">
        <v>0</v>
      </c>
      <c r="F11" s="523">
        <v>838</v>
      </c>
      <c r="G11">
        <v>838</v>
      </c>
      <c r="H11" s="304"/>
      <c r="J11" s="305"/>
      <c r="L11" s="305"/>
      <c r="N11" s="305"/>
      <c r="O11" s="274">
        <f t="shared" ref="O11:O22" si="1">SUM(E11:F11)-SUM(G11:N11)</f>
        <v>0</v>
      </c>
      <c r="P11" s="274" t="str">
        <f t="shared" si="0"/>
        <v>Mortgage</v>
      </c>
      <c r="Q11" s="282">
        <f t="shared" ref="Q11:Q22" si="2">IF(O11&lt;0,O11*-1,0)</f>
        <v>0</v>
      </c>
      <c r="R11" s="243"/>
      <c r="S11" s="11"/>
    </row>
    <row r="12" spans="1:20" ht="15" customHeight="1" outlineLevel="1">
      <c r="B12" s="734"/>
      <c r="C12" s="734"/>
      <c r="D12" s="201" t="s">
        <v>596</v>
      </c>
      <c r="E12" s="523">
        <v>0</v>
      </c>
      <c r="F12" s="523">
        <v>154</v>
      </c>
      <c r="G12">
        <v>154</v>
      </c>
      <c r="H12" s="305"/>
      <c r="J12" s="305"/>
      <c r="L12" s="305"/>
      <c r="N12" s="305"/>
      <c r="O12" s="274">
        <f t="shared" si="1"/>
        <v>0</v>
      </c>
      <c r="P12" s="274" t="str">
        <f t="shared" si="0"/>
        <v>Council tax</v>
      </c>
      <c r="Q12" s="282">
        <f t="shared" si="2"/>
        <v>0</v>
      </c>
      <c r="S12" s="349"/>
    </row>
    <row r="13" spans="1:20" ht="15" customHeight="1" outlineLevel="1">
      <c r="B13" s="734"/>
      <c r="C13" s="734"/>
      <c r="D13" s="201" t="s">
        <v>1002</v>
      </c>
      <c r="E13" s="523">
        <v>0</v>
      </c>
      <c r="F13" s="523">
        <f>49+111.75</f>
        <v>160.75</v>
      </c>
      <c r="G13">
        <f>49+111.75</f>
        <v>160.75</v>
      </c>
      <c r="H13" s="305"/>
      <c r="J13" s="305"/>
      <c r="L13" s="305"/>
      <c r="N13" s="305"/>
      <c r="O13" s="274">
        <f t="shared" si="1"/>
        <v>0</v>
      </c>
      <c r="P13" s="274" t="str">
        <f t="shared" si="0"/>
        <v>Utilities (G,W,E,HTB)</v>
      </c>
      <c r="Q13" s="282">
        <f t="shared" si="2"/>
        <v>0</v>
      </c>
    </row>
    <row r="14" spans="1:20" ht="15" customHeight="1" outlineLevel="1">
      <c r="B14" s="734"/>
      <c r="C14" s="734"/>
      <c r="D14" s="201" t="s">
        <v>996</v>
      </c>
      <c r="E14" s="523">
        <v>0</v>
      </c>
      <c r="F14" s="523">
        <v>25.36</v>
      </c>
      <c r="H14" s="305"/>
      <c r="J14" s="305"/>
      <c r="L14" s="305"/>
      <c r="N14" s="305"/>
      <c r="O14" s="274">
        <f t="shared" si="1"/>
        <v>25.36</v>
      </c>
      <c r="P14" s="274" t="str">
        <f t="shared" si="0"/>
        <v>Home Insurance</v>
      </c>
      <c r="Q14" s="282">
        <f t="shared" si="2"/>
        <v>0</v>
      </c>
    </row>
    <row r="15" spans="1:20" ht="15" customHeight="1" outlineLevel="1">
      <c r="B15" s="734"/>
      <c r="C15" s="734"/>
      <c r="D15" s="201" t="s">
        <v>1056</v>
      </c>
      <c r="E15" s="523">
        <v>0</v>
      </c>
      <c r="F15" s="523">
        <f>9.99+23.99+20.99</f>
        <v>54.97</v>
      </c>
      <c r="G15">
        <f>20.99+23.99+9.99</f>
        <v>54.97</v>
      </c>
      <c r="H15" s="305"/>
      <c r="J15" s="305"/>
      <c r="L15" s="305"/>
      <c r="N15" s="305"/>
      <c r="O15" s="274">
        <f t="shared" si="1"/>
        <v>0</v>
      </c>
      <c r="P15" s="274" t="str">
        <f t="shared" si="0"/>
        <v>Pet Health / Insurance</v>
      </c>
      <c r="Q15" s="282">
        <f t="shared" si="2"/>
        <v>0</v>
      </c>
    </row>
    <row r="16" spans="1:20" ht="15" customHeight="1" outlineLevel="1">
      <c r="B16" s="734"/>
      <c r="C16" s="734"/>
      <c r="D16" s="201" t="s">
        <v>1057</v>
      </c>
      <c r="E16" s="523">
        <v>0</v>
      </c>
      <c r="F16" s="523">
        <f>30.8+62.08</f>
        <v>92.88</v>
      </c>
      <c r="G16">
        <f>92.88</f>
        <v>92.88</v>
      </c>
      <c r="H16" s="305"/>
      <c r="I16" s="11"/>
      <c r="J16" s="305"/>
      <c r="L16" s="305"/>
      <c r="N16" s="305"/>
      <c r="O16" s="274">
        <f t="shared" si="1"/>
        <v>0</v>
      </c>
      <c r="P16" s="274" t="str">
        <f t="shared" si="0"/>
        <v>Life / Income Insurance</v>
      </c>
      <c r="Q16" s="282">
        <f t="shared" si="2"/>
        <v>0</v>
      </c>
    </row>
    <row r="17" spans="2:20" ht="15" customHeight="1" outlineLevel="1">
      <c r="B17" s="734"/>
      <c r="C17" s="734"/>
      <c r="D17" s="201" t="s">
        <v>602</v>
      </c>
      <c r="E17" s="523">
        <v>0</v>
      </c>
      <c r="F17" s="523">
        <f>34</f>
        <v>34</v>
      </c>
      <c r="G17">
        <v>34</v>
      </c>
      <c r="H17" s="305"/>
      <c r="J17" s="305"/>
      <c r="L17" s="305"/>
      <c r="N17" s="305"/>
      <c r="O17" s="274">
        <f t="shared" si="1"/>
        <v>0</v>
      </c>
      <c r="P17" s="274" t="str">
        <f t="shared" si="0"/>
        <v>Broadband / TV</v>
      </c>
      <c r="Q17" s="282">
        <f t="shared" si="2"/>
        <v>0</v>
      </c>
    </row>
    <row r="18" spans="2:20" ht="15" customHeight="1" outlineLevel="1">
      <c r="B18" s="734"/>
      <c r="C18" s="734"/>
      <c r="D18" s="201" t="s">
        <v>788</v>
      </c>
      <c r="E18" s="523">
        <v>0</v>
      </c>
      <c r="F18" s="523">
        <v>26</v>
      </c>
      <c r="G18">
        <v>31.42</v>
      </c>
      <c r="H18" s="305"/>
      <c r="J18" s="305"/>
      <c r="L18" s="305"/>
      <c r="N18" s="305"/>
      <c r="O18" s="274">
        <f t="shared" si="1"/>
        <v>-5.4200000000000017</v>
      </c>
      <c r="P18" s="274" t="str">
        <f t="shared" si="0"/>
        <v>Matt Phone</v>
      </c>
      <c r="Q18" s="282">
        <f t="shared" si="2"/>
        <v>5.4200000000000017</v>
      </c>
    </row>
    <row r="19" spans="2:20" ht="15" customHeight="1" outlineLevel="1">
      <c r="B19" s="734"/>
      <c r="C19" s="734"/>
      <c r="D19" s="201" t="s">
        <v>690</v>
      </c>
      <c r="E19" s="523">
        <v>0</v>
      </c>
      <c r="F19" s="523">
        <f>14+48.17+270+487+73.32+19</f>
        <v>911.49</v>
      </c>
      <c r="G19">
        <f>48.17+14+16.62+73.44+270.97+487.35</f>
        <v>910.55000000000007</v>
      </c>
      <c r="H19" s="305"/>
      <c r="J19" s="305"/>
      <c r="L19" s="305"/>
      <c r="N19" s="305"/>
      <c r="O19" s="274">
        <f t="shared" si="1"/>
        <v>0.93999999999994088</v>
      </c>
      <c r="P19" s="274" t="str">
        <f t="shared" si="0"/>
        <v>Cars</v>
      </c>
      <c r="Q19" s="282">
        <f t="shared" si="2"/>
        <v>0</v>
      </c>
    </row>
    <row r="20" spans="2:20" ht="15" customHeight="1" outlineLevel="1">
      <c r="B20" s="734"/>
      <c r="C20" s="734"/>
      <c r="D20" s="201" t="s">
        <v>944</v>
      </c>
      <c r="E20" s="523">
        <v>0</v>
      </c>
      <c r="F20" s="523">
        <v>15</v>
      </c>
      <c r="G20">
        <v>15</v>
      </c>
      <c r="H20" s="305"/>
      <c r="J20" s="305"/>
      <c r="L20" s="305"/>
      <c r="N20" s="305"/>
      <c r="O20" s="274">
        <f t="shared" si="1"/>
        <v>0</v>
      </c>
      <c r="P20" s="274" t="str">
        <f t="shared" si="0"/>
        <v>Windows</v>
      </c>
      <c r="Q20" s="282">
        <f t="shared" si="2"/>
        <v>0</v>
      </c>
      <c r="R20" s="243"/>
    </row>
    <row r="21" spans="2:20" ht="15" customHeight="1" outlineLevel="1">
      <c r="B21" s="7"/>
      <c r="C21" s="7"/>
      <c r="D21" s="201" t="s">
        <v>2042</v>
      </c>
      <c r="E21" s="523">
        <v>0</v>
      </c>
      <c r="F21" s="523">
        <v>0</v>
      </c>
      <c r="H21" s="305"/>
      <c r="J21" s="305"/>
      <c r="L21" s="305"/>
      <c r="N21" s="305"/>
      <c r="O21" s="274">
        <f t="shared" si="1"/>
        <v>0</v>
      </c>
      <c r="P21" s="274" t="str">
        <f t="shared" si="0"/>
        <v>Health + Wellness</v>
      </c>
      <c r="Q21" s="282">
        <f t="shared" si="2"/>
        <v>0</v>
      </c>
      <c r="R21" s="243"/>
    </row>
    <row r="22" spans="2:20" ht="15" customHeight="1" outlineLevel="1">
      <c r="B22" s="7"/>
      <c r="C22" s="7"/>
      <c r="D22" s="201" t="s">
        <v>781</v>
      </c>
      <c r="E22" s="523">
        <v>0</v>
      </c>
      <c r="F22" s="523">
        <f>10.49+18+4.99+0.99+12</f>
        <v>46.470000000000006</v>
      </c>
      <c r="G22" s="11">
        <f>12+18+1.49+10.49+5.99</f>
        <v>47.97</v>
      </c>
      <c r="H22" s="305"/>
      <c r="J22" s="305"/>
      <c r="L22" s="305"/>
      <c r="N22" s="305"/>
      <c r="O22" s="274">
        <f t="shared" si="1"/>
        <v>-1.4999999999999929</v>
      </c>
      <c r="P22" s="274" t="str">
        <f t="shared" si="0"/>
        <v>Subscriptions</v>
      </c>
      <c r="Q22" s="282">
        <f t="shared" si="2"/>
        <v>1.4999999999999929</v>
      </c>
      <c r="R22" s="243"/>
    </row>
    <row r="23" spans="2:20" ht="15" customHeight="1">
      <c r="B23" s="118"/>
      <c r="C23" s="118"/>
      <c r="D23" s="188"/>
      <c r="H23" s="305"/>
      <c r="J23" s="305"/>
      <c r="L23" s="305"/>
      <c r="N23" s="305"/>
      <c r="O23" s="273"/>
      <c r="P23" s="273"/>
      <c r="Q23" s="282"/>
    </row>
    <row r="24" spans="2:20" ht="15" customHeight="1">
      <c r="B24" s="736" t="str">
        <f>_xlfn.CONCAT("Savings - 20 - ",G44*0.2," / Actual = ",D25," (",ROUND((D25/G44)*100,2),")")</f>
        <v>Savings - 20 - 2174.15 / Actual = 6363.31 (58.54)</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6363.3099999999995</v>
      </c>
      <c r="E25" s="759"/>
      <c r="F25" s="319"/>
      <c r="H25" s="305"/>
      <c r="J25" s="305"/>
      <c r="L25" s="305"/>
      <c r="N25" s="305"/>
      <c r="O25" s="285">
        <f>O26</f>
        <v>-1530.7700000000009</v>
      </c>
      <c r="P25" s="285" t="s">
        <v>895</v>
      </c>
      <c r="Q25" s="282">
        <f>SUM(Q26:Q26)</f>
        <v>0</v>
      </c>
    </row>
    <row r="26" spans="2:20" ht="15" customHeight="1" outlineLevel="1">
      <c r="B26" s="7" t="str">
        <f>"20% : " &amp; E$44*0.2</f>
        <v>20% : 2174.15</v>
      </c>
      <c r="C26" s="7" t="str">
        <f>"20% : " &amp; E$44*0.2</f>
        <v>20% : 2174.15</v>
      </c>
      <c r="D26" s="300" t="s">
        <v>183</v>
      </c>
      <c r="E26" s="523">
        <v>0</v>
      </c>
      <c r="F26" s="523">
        <f>SUM(F27:F37)</f>
        <v>6363.3099999999995</v>
      </c>
      <c r="G26" s="243"/>
      <c r="H26" s="305"/>
      <c r="J26" s="305"/>
      <c r="L26" s="305"/>
      <c r="N26" s="305"/>
      <c r="O26" s="274">
        <f>SUM(O27:O37)</f>
        <v>-1530.7700000000009</v>
      </c>
      <c r="P26" s="274" t="str">
        <f t="shared" ref="P26:P37" si="3">D26</f>
        <v>Savings</v>
      </c>
      <c r="Q26" s="282">
        <v>0</v>
      </c>
      <c r="R26" s="495"/>
      <c r="S26" s="243"/>
    </row>
    <row r="27" spans="2:20" ht="15" customHeight="1" outlineLevel="1">
      <c r="B27" s="7"/>
      <c r="C27" s="7"/>
      <c r="D27" s="300" t="s">
        <v>1485</v>
      </c>
      <c r="E27" s="523">
        <v>0</v>
      </c>
      <c r="F27" s="523">
        <v>40</v>
      </c>
      <c r="H27" s="305"/>
      <c r="J27" s="305"/>
      <c r="L27" s="362"/>
      <c r="N27" s="315"/>
      <c r="O27" s="274">
        <f>SUM(E27:F27)-SUM(G27:N27)</f>
        <v>40</v>
      </c>
      <c r="P27" s="274" t="str">
        <f t="shared" si="3"/>
        <v>MOT / Service</v>
      </c>
      <c r="Q27" s="282"/>
      <c r="R27" s="243"/>
    </row>
    <row r="28" spans="2:20" ht="15" customHeight="1" outlineLevel="1">
      <c r="B28" s="7"/>
      <c r="C28" s="7"/>
      <c r="D28" s="300" t="s">
        <v>690</v>
      </c>
      <c r="E28" s="523">
        <v>0</v>
      </c>
      <c r="F28" s="523">
        <f>-468.84-232.5</f>
        <v>-701.33999999999992</v>
      </c>
      <c r="H28" s="305"/>
      <c r="J28" s="305"/>
      <c r="L28" s="362"/>
      <c r="N28" s="315"/>
      <c r="O28" s="274">
        <f>SUM(E28:F28)-SUM(G28:N28)</f>
        <v>-701.33999999999992</v>
      </c>
      <c r="P28" s="274" t="str">
        <f t="shared" si="3"/>
        <v>Cars</v>
      </c>
      <c r="Q28" s="282"/>
      <c r="R28" s="243"/>
    </row>
    <row r="29" spans="2:20" ht="15" customHeight="1" outlineLevel="1">
      <c r="B29" s="7"/>
      <c r="C29" s="7"/>
      <c r="D29" s="300" t="s">
        <v>590</v>
      </c>
      <c r="E29" s="523">
        <v>0</v>
      </c>
      <c r="F29" s="523">
        <f>165+10.99+8.99+2.85+29.95+20+10.06</f>
        <v>247.84</v>
      </c>
      <c r="G29" s="305">
        <v>25</v>
      </c>
      <c r="J29" s="305">
        <f>90+594</f>
        <v>684</v>
      </c>
      <c r="L29" s="362"/>
      <c r="N29" s="315"/>
      <c r="O29" s="274">
        <f>SUM(E29:F29)-SUM(G29:N29)-Q44</f>
        <v>-800.44000000000142</v>
      </c>
      <c r="P29" s="274" t="str">
        <f t="shared" si="3"/>
        <v>Contingency</v>
      </c>
      <c r="Q29" s="282"/>
      <c r="T29" s="243"/>
    </row>
    <row r="30" spans="2:20" ht="15" customHeight="1" outlineLevel="1">
      <c r="B30" s="7"/>
      <c r="C30" s="7"/>
      <c r="D30" s="300" t="s">
        <v>1486</v>
      </c>
      <c r="E30" s="523">
        <v>0</v>
      </c>
      <c r="F30" s="523">
        <v>13.67</v>
      </c>
      <c r="H30" s="305"/>
      <c r="J30" s="305"/>
      <c r="L30" s="362"/>
      <c r="N30" s="315"/>
      <c r="O30" s="274">
        <f t="shared" ref="O30:O37" si="4">SUM(E30:F30)-SUM(G30:N30)</f>
        <v>13.67</v>
      </c>
      <c r="P30" s="274" t="str">
        <f t="shared" si="3"/>
        <v>TV</v>
      </c>
      <c r="Q30" s="282"/>
    </row>
    <row r="31" spans="2:20" ht="15" customHeight="1" outlineLevel="1">
      <c r="B31" s="7"/>
      <c r="C31" s="7"/>
      <c r="D31" s="300" t="s">
        <v>1296</v>
      </c>
      <c r="E31" s="523">
        <v>0</v>
      </c>
      <c r="F31" s="523">
        <v>95</v>
      </c>
      <c r="H31" s="305"/>
      <c r="J31" s="305"/>
      <c r="L31" s="362"/>
      <c r="N31" s="315"/>
      <c r="O31" s="274">
        <f t="shared" si="4"/>
        <v>95</v>
      </c>
      <c r="P31" s="274" t="str">
        <f t="shared" si="3"/>
        <v>Offset</v>
      </c>
      <c r="Q31" s="282"/>
    </row>
    <row r="32" spans="2:20" ht="15" customHeight="1" outlineLevel="1">
      <c r="B32" s="7"/>
      <c r="C32" s="7"/>
      <c r="D32" s="300" t="s">
        <v>354</v>
      </c>
      <c r="E32" s="523">
        <v>0</v>
      </c>
      <c r="F32" s="523">
        <f>650+55+80+32.14+100+40-271.13</f>
        <v>686.01</v>
      </c>
      <c r="H32">
        <f>140+104.87</f>
        <v>244.87</v>
      </c>
      <c r="J32" s="305"/>
      <c r="L32" s="362"/>
      <c r="N32" s="315"/>
      <c r="O32" s="274">
        <f t="shared" si="4"/>
        <v>441.14</v>
      </c>
      <c r="P32" s="274" t="str">
        <f t="shared" si="3"/>
        <v>Holiday</v>
      </c>
      <c r="Q32" s="282"/>
    </row>
    <row r="33" spans="2:19" ht="15" customHeight="1" outlineLevel="1">
      <c r="B33" s="7"/>
      <c r="C33" s="7"/>
      <c r="D33" s="300" t="s">
        <v>701</v>
      </c>
      <c r="E33" s="523">
        <v>0</v>
      </c>
      <c r="F33" s="523">
        <f>250+326.72</f>
        <v>576.72</v>
      </c>
      <c r="G33">
        <v>40</v>
      </c>
      <c r="H33">
        <f>15+13+17.98+26.99+12.99+60+37.08+33+25.25</f>
        <v>241.28999999999996</v>
      </c>
      <c r="J33" s="305">
        <f>5+2.39+27</f>
        <v>34.39</v>
      </c>
      <c r="L33" s="362"/>
      <c r="N33" s="315"/>
      <c r="O33" s="274">
        <f t="shared" si="4"/>
        <v>261.04000000000008</v>
      </c>
      <c r="P33" s="274" t="str">
        <f t="shared" si="3"/>
        <v>Gift</v>
      </c>
      <c r="Q33" s="282"/>
    </row>
    <row r="34" spans="2:19" ht="15" customHeight="1" outlineLevel="1">
      <c r="B34" s="7"/>
      <c r="C34" s="7"/>
      <c r="D34" s="300" t="s">
        <v>1297</v>
      </c>
      <c r="E34" s="523">
        <v>0</v>
      </c>
      <c r="F34" s="523">
        <f>50+110+40+100+100+175</f>
        <v>575</v>
      </c>
      <c r="G34">
        <v>100</v>
      </c>
      <c r="H34" s="305">
        <v>100</v>
      </c>
      <c r="L34" s="362"/>
      <c r="N34" s="315"/>
      <c r="O34" s="274">
        <f>SUM(E34:F34)-SUM(G34:N34)</f>
        <v>375</v>
      </c>
      <c r="P34" s="274" t="str">
        <f t="shared" si="3"/>
        <v>Skin</v>
      </c>
      <c r="Q34" s="282"/>
    </row>
    <row r="35" spans="2:19" ht="15" customHeight="1" outlineLevel="1">
      <c r="B35" s="7"/>
      <c r="C35" s="7"/>
      <c r="D35" s="300" t="s">
        <v>1391</v>
      </c>
      <c r="E35" s="523">
        <v>0</v>
      </c>
      <c r="F35" s="523">
        <v>75</v>
      </c>
      <c r="H35" s="305"/>
      <c r="J35" s="305"/>
      <c r="L35" s="362"/>
      <c r="N35" s="315"/>
      <c r="O35" s="274">
        <f t="shared" si="4"/>
        <v>75</v>
      </c>
      <c r="P35" s="274" t="str">
        <f t="shared" si="3"/>
        <v>Avios</v>
      </c>
      <c r="Q35" s="282"/>
    </row>
    <row r="36" spans="2:19" ht="15" customHeight="1" outlineLevel="1">
      <c r="B36" s="7"/>
      <c r="C36" s="7"/>
      <c r="D36" s="300" t="s">
        <v>772</v>
      </c>
      <c r="E36" s="523">
        <v>0</v>
      </c>
      <c r="F36" s="523">
        <v>0</v>
      </c>
      <c r="H36" s="305">
        <v>384.59</v>
      </c>
      <c r="J36" s="305">
        <f>18.98+9.91</f>
        <v>28.89</v>
      </c>
      <c r="L36" s="362"/>
      <c r="N36" s="315"/>
      <c r="O36" s="274">
        <f t="shared" si="4"/>
        <v>-413.47999999999996</v>
      </c>
      <c r="P36" s="274" t="str">
        <f t="shared" si="3"/>
        <v>Home</v>
      </c>
      <c r="Q36" s="282"/>
    </row>
    <row r="37" spans="2:19" ht="15" customHeight="1" outlineLevel="1">
      <c r="B37" s="7"/>
      <c r="C37" s="7"/>
      <c r="D37" s="300" t="s">
        <v>1589</v>
      </c>
      <c r="E37" s="523">
        <v>0</v>
      </c>
      <c r="F37" s="523">
        <f>42.69+51.13+2161.59+2500</f>
        <v>4755.41</v>
      </c>
      <c r="G37" s="243">
        <f>36.71+874.95+4760.11</f>
        <v>5671.7699999999995</v>
      </c>
      <c r="H37" s="305"/>
      <c r="J37" s="305"/>
      <c r="L37" s="362"/>
      <c r="N37" s="315"/>
      <c r="O37" s="274">
        <f t="shared" si="4"/>
        <v>-916.35999999999967</v>
      </c>
      <c r="P37" s="274" t="str">
        <f t="shared" si="3"/>
        <v>Amex</v>
      </c>
      <c r="Q37" s="282"/>
    </row>
    <row r="38" spans="2:19" ht="15" customHeight="1">
      <c r="B38" s="118"/>
      <c r="C38" s="118"/>
      <c r="H38" s="305"/>
      <c r="J38" s="305"/>
      <c r="L38" s="305"/>
      <c r="N38" s="305"/>
      <c r="O38" s="273"/>
      <c r="P38" s="273"/>
      <c r="Q38" s="282"/>
      <c r="R38" s="243"/>
    </row>
    <row r="39" spans="2:19" ht="15" customHeight="1">
      <c r="B39" s="727" t="str">
        <f>_xlfn.CONCAT("Wants - 30 - ",G44*0.3," / Actual = ",D40," (",ROUND((D40/G44)*100,2),")")</f>
        <v>Wants - 30 - 3261.225 / Actual = 1478.52 (13.6)</v>
      </c>
      <c r="C39" s="727"/>
      <c r="D39" s="727"/>
      <c r="E39" s="727"/>
      <c r="F39" s="318"/>
      <c r="H39" s="305"/>
      <c r="J39" s="305"/>
      <c r="L39" s="305"/>
      <c r="N39" s="305"/>
      <c r="O39" s="273"/>
      <c r="P39" s="273"/>
      <c r="Q39" s="282"/>
      <c r="S39" s="243"/>
    </row>
    <row r="40" spans="2:19" ht="15" customHeight="1">
      <c r="B40" s="727" t="str">
        <f>IF(ISNUMBER((SEARCH("Over",B$5))),"Operating under budget","Operating over budget")</f>
        <v>Operating over budget</v>
      </c>
      <c r="C40" s="727"/>
      <c r="D40" s="759">
        <f>(E$44-D5-D25-E43)</f>
        <v>1478.5199999999986</v>
      </c>
      <c r="E40" s="727"/>
      <c r="F40" s="319">
        <f>F41</f>
        <v>582.5399999999986</v>
      </c>
      <c r="H40" s="305"/>
      <c r="J40" s="305"/>
      <c r="L40" s="305"/>
      <c r="N40" s="305"/>
      <c r="O40" s="285">
        <f>0</f>
        <v>0</v>
      </c>
      <c r="P40" s="285" t="s">
        <v>899</v>
      </c>
      <c r="Q40" s="282">
        <f>SUM(Q41:Q41)</f>
        <v>177.70000000000152</v>
      </c>
      <c r="S40" s="243"/>
    </row>
    <row r="41" spans="2:19" ht="18" outlineLevel="1">
      <c r="B41" s="7"/>
      <c r="C41" s="284"/>
      <c r="D41" s="13" t="s">
        <v>922</v>
      </c>
      <c r="E41" s="523">
        <v>0</v>
      </c>
      <c r="F41" s="523">
        <f>D40-F42</f>
        <v>582.5399999999986</v>
      </c>
      <c r="G41" s="11">
        <f>30+9.99+17.99+60+5.39</f>
        <v>123.37</v>
      </c>
      <c r="H41">
        <f>13.36+1.99+5+2.15+9.64-34.63+(17+42.95+93.18)+4+8.99+63.85+34.57+5.16+15+12.2+9.7+46.53+20.3+18+6.99+7.05+3.25+8+8+18.36+12+3.5+9+9.99+50.51+55.98+16.99-19.99-9.99+5.82</f>
        <v>574.40000000000009</v>
      </c>
      <c r="J41">
        <f>17+5+(6.8+11.15)+5+2.58+12.34+2.6</f>
        <v>62.470000000000006</v>
      </c>
      <c r="N41" s="305"/>
      <c r="O41" s="274">
        <f>SUM(E41:F41)-SUM(G41:N41)</f>
        <v>-177.70000000000152</v>
      </c>
      <c r="P41" s="274" t="str">
        <f>D41</f>
        <v>Matt Fun</v>
      </c>
      <c r="Q41" s="282">
        <f>IF(SUM(E41:F41)-SUM(G41:N41)&lt;=0,(SUM(E41:F41)-SUM(G41:N41))*-1,0)</f>
        <v>177.70000000000152</v>
      </c>
    </row>
    <row r="42" spans="2:19" ht="18" outlineLevel="1">
      <c r="B42" s="7"/>
      <c r="C42" s="284"/>
      <c r="D42" s="13" t="s">
        <v>152</v>
      </c>
      <c r="E42" s="523">
        <v>0</v>
      </c>
      <c r="F42" s="523">
        <f>45+140+25+50+46.98+24+10+40+70+50+45+40+40+55+175+40</f>
        <v>895.98</v>
      </c>
      <c r="G42" s="11">
        <v>40</v>
      </c>
      <c r="H42" s="306">
        <f>(121.15+61.19-39.99)+(50.98-34)+(64.95)+(101)+46.98+23.47+9.99+103.97+70-61.5+45.95+9.99+55+9.49+45.93-61.03-38.03+175</f>
        <v>760.49000000000012</v>
      </c>
      <c r="J42" s="305">
        <f>44.93+30.59+40</f>
        <v>115.52</v>
      </c>
      <c r="L42" s="305"/>
      <c r="N42" s="305"/>
      <c r="O42" s="274">
        <f>SUM(E42:F42)-SUM(G42:N42)</f>
        <v>-20.030000000000086</v>
      </c>
      <c r="P42" s="274" t="str">
        <f>D42</f>
        <v>Kris</v>
      </c>
      <c r="Q42" s="271">
        <f>IF(F42-SUM(G42:N42)&lt;=0,(F42-SUM(G42:N42))*-1,0)</f>
        <v>20.030000000000086</v>
      </c>
    </row>
    <row r="43" spans="2:19">
      <c r="B43" s="118"/>
      <c r="C43" s="118"/>
      <c r="E43" s="523">
        <f>E26</f>
        <v>0</v>
      </c>
      <c r="G43" s="349"/>
      <c r="J43" s="7"/>
      <c r="L43" s="7"/>
      <c r="N43" s="7"/>
      <c r="O43" s="273"/>
      <c r="P43" s="273"/>
      <c r="Q43" s="282"/>
    </row>
    <row r="44" spans="2:19" ht="18">
      <c r="B44" s="728" t="s">
        <v>817</v>
      </c>
      <c r="C44" s="728"/>
      <c r="D44" s="728"/>
      <c r="E44" s="529">
        <f>G44+I44+K44+M44+N44+E43</f>
        <v>10870.749999999998</v>
      </c>
      <c r="F44" s="530"/>
      <c r="G44" s="271">
        <f>2161.59+3574.46+910+2505+45+140+100+25+50+70+326.72+46.98+24+10+40+70+50+45+100+40+40+55+2+50+175+175+40</f>
        <v>10870.749999999998</v>
      </c>
      <c r="H44" s="282"/>
      <c r="I44" s="271"/>
      <c r="J44" s="271"/>
      <c r="K44" s="271"/>
      <c r="L44" s="271"/>
      <c r="M44" s="271"/>
      <c r="N44" s="271"/>
      <c r="O44" s="314">
        <f>ROUND(O5+O40+O25+IF(O41&lt;0,0,O41)+O42+O4,2)</f>
        <v>2531.0700000000002</v>
      </c>
      <c r="P44" s="274">
        <f>(O4+O5)-O44</f>
        <v>1550.8000000000002</v>
      </c>
      <c r="Q44" s="282">
        <f>SUM(Q40,Q25,Q5)</f>
        <v>339.28000000000151</v>
      </c>
    </row>
    <row r="45" spans="2:19" ht="18">
      <c r="B45" s="118"/>
      <c r="C45" s="7"/>
      <c r="D45" s="13" t="s">
        <v>1451</v>
      </c>
      <c r="G45" s="523"/>
      <c r="H45" s="243"/>
      <c r="L45" s="243"/>
      <c r="O45" s="7" t="s">
        <v>2159</v>
      </c>
      <c r="P45" s="7" t="s">
        <v>2172</v>
      </c>
    </row>
    <row r="46" spans="2:19" ht="14.4">
      <c r="B46" s="729"/>
      <c r="C46" s="729"/>
      <c r="D46" s="729"/>
      <c r="E46" s="729"/>
      <c r="F46" s="729"/>
      <c r="G46" s="729"/>
      <c r="H46" s="297"/>
      <c r="K46" s="729"/>
      <c r="L46" s="729"/>
      <c r="M46" s="729"/>
      <c r="N46" s="729"/>
      <c r="O46" s="729"/>
      <c r="P46" s="297"/>
    </row>
    <row r="47" spans="2:19" ht="15" customHeight="1">
      <c r="B47" s="726" t="s">
        <v>955</v>
      </c>
      <c r="C47" s="726"/>
      <c r="E47"/>
      <c r="F47" s="348"/>
      <c r="H47" s="243"/>
      <c r="K47" s="212"/>
      <c r="L47" s="212"/>
      <c r="M47" s="243"/>
      <c r="N47" s="118" t="s">
        <v>2183</v>
      </c>
      <c r="O47" s="316">
        <v>45768</v>
      </c>
      <c r="P47" s="7">
        <f ca="1">DATEDIF(O47,NOW(),"d")</f>
        <v>483</v>
      </c>
      <c r="Q47">
        <v>60</v>
      </c>
      <c r="R47" t="s">
        <v>1081</v>
      </c>
    </row>
    <row r="48" spans="2:19">
      <c r="B48" s="523"/>
      <c r="C48" s="38"/>
      <c r="E48"/>
      <c r="F48" s="11"/>
      <c r="G48" s="531"/>
      <c r="I48" s="243"/>
      <c r="K48" s="11"/>
      <c r="L48" s="243"/>
      <c r="N48" t="s">
        <v>2167</v>
      </c>
      <c r="O48" s="42">
        <v>45768</v>
      </c>
      <c r="P48" s="7">
        <f ca="1">DATEDIF(O48,NOW(),"d")</f>
        <v>483</v>
      </c>
      <c r="Q48">
        <v>19.989999999999998</v>
      </c>
      <c r="R48" t="s">
        <v>1317</v>
      </c>
    </row>
    <row r="49" spans="2:18">
      <c r="E49" s="534"/>
      <c r="F49" s="534"/>
      <c r="G49" s="458"/>
      <c r="H49" s="445"/>
      <c r="I49" s="11"/>
      <c r="J49" s="243"/>
      <c r="K49" s="243"/>
      <c r="L49" s="243"/>
      <c r="N49" s="358" t="s">
        <v>2168</v>
      </c>
      <c r="O49" s="316">
        <v>45768</v>
      </c>
      <c r="P49" s="7">
        <f ca="1">DATEDIF(O49,NOW(),"d")</f>
        <v>483</v>
      </c>
      <c r="Q49">
        <v>28</v>
      </c>
      <c r="R49" t="s">
        <v>1441</v>
      </c>
    </row>
    <row r="50" spans="2:18" ht="16.2" customHeight="1">
      <c r="E50" s="534"/>
      <c r="F50" s="540"/>
      <c r="G50" s="458"/>
      <c r="H50" s="243"/>
      <c r="I50" s="243"/>
      <c r="J50" s="213"/>
      <c r="K50" s="213"/>
      <c r="L50" s="243"/>
    </row>
    <row r="51" spans="2:18">
      <c r="B51" s="532"/>
      <c r="D51" s="243" t="s">
        <v>2121</v>
      </c>
      <c r="E51" s="543">
        <f>O4</f>
        <v>4041.5700000000006</v>
      </c>
      <c r="F51"/>
      <c r="K51" s="349"/>
      <c r="M51" s="243"/>
      <c r="P51"/>
    </row>
    <row r="52" spans="2:18" ht="14.4">
      <c r="D52" t="s">
        <v>2172</v>
      </c>
      <c r="E52" s="243">
        <f>E51-O44</f>
        <v>1510.5000000000005</v>
      </c>
      <c r="F52" s="390"/>
      <c r="G52" t="s">
        <v>2161</v>
      </c>
      <c r="H52" s="515">
        <v>140</v>
      </c>
      <c r="J52" s="243"/>
      <c r="K52" s="542"/>
      <c r="M52" s="243"/>
      <c r="N52" s="243"/>
      <c r="P52"/>
      <c r="Q52" s="243"/>
    </row>
    <row r="53" spans="2:18">
      <c r="D53" t="s">
        <v>2173</v>
      </c>
      <c r="E53" s="534">
        <f>E52-SUM(H52:H57)</f>
        <v>1049.6200000000003</v>
      </c>
      <c r="F53" s="492"/>
      <c r="G53" s="243" t="s">
        <v>2169</v>
      </c>
      <c r="H53" s="243">
        <v>30.59</v>
      </c>
      <c r="K53" s="496"/>
      <c r="L53" s="243"/>
      <c r="M53" s="243"/>
      <c r="P53" s="292"/>
      <c r="Q53" s="212"/>
    </row>
    <row r="54" spans="2:18" ht="15" customHeight="1">
      <c r="D54" t="s">
        <v>2184</v>
      </c>
      <c r="E54" s="523">
        <f>E53-432</f>
        <v>617.62000000000035</v>
      </c>
      <c r="F54" s="55"/>
      <c r="G54" s="243" t="s">
        <v>2170</v>
      </c>
      <c r="H54" s="243">
        <f>19.82+156.55+13.92</f>
        <v>190.29</v>
      </c>
      <c r="K54" s="353"/>
      <c r="L54" s="243"/>
      <c r="M54" s="243"/>
      <c r="N54" s="243"/>
      <c r="P54" s="56"/>
      <c r="Q54" s="38"/>
    </row>
    <row r="55" spans="2:18">
      <c r="F55"/>
      <c r="G55" t="s">
        <v>2171</v>
      </c>
      <c r="H55">
        <v>100</v>
      </c>
      <c r="K55" s="353"/>
      <c r="L55" s="243"/>
      <c r="P55"/>
    </row>
    <row r="56" spans="2:18" ht="15" customHeight="1">
      <c r="F56"/>
      <c r="K56" s="353">
        <f>SUM(H4:J4)</f>
        <v>6334.37</v>
      </c>
      <c r="M56" s="243"/>
    </row>
    <row r="57" spans="2:18" ht="16.2" customHeight="1">
      <c r="E57" s="781"/>
      <c r="F57"/>
      <c r="K57" s="353">
        <f>K56-O44</f>
        <v>3803.2999999999997</v>
      </c>
      <c r="M57" s="353"/>
    </row>
    <row r="58" spans="2:18">
      <c r="B58" s="11"/>
      <c r="E58" s="781"/>
      <c r="F58" s="534"/>
      <c r="H58" s="243"/>
      <c r="I58" s="243">
        <f>4882.19-104.88</f>
        <v>4777.3099999999995</v>
      </c>
      <c r="J58" s="79"/>
      <c r="K58" s="353">
        <f>K57-I4</f>
        <v>1510.5</v>
      </c>
      <c r="M58" s="353"/>
      <c r="P58"/>
    </row>
    <row r="59" spans="2:18">
      <c r="B59" s="11"/>
      <c r="E59" s="284"/>
      <c r="F59" s="534"/>
      <c r="G59" s="369"/>
      <c r="J59" s="79"/>
      <c r="M59" s="353"/>
      <c r="O59"/>
      <c r="P59"/>
    </row>
    <row r="60" spans="2:18">
      <c r="E60" s="534"/>
      <c r="G60" s="532"/>
      <c r="I60" s="516"/>
      <c r="J60" s="517"/>
      <c r="L60" s="243"/>
      <c r="M60" s="243"/>
      <c r="O60"/>
      <c r="P60"/>
    </row>
    <row r="61" spans="2:18">
      <c r="B61" s="212"/>
      <c r="C61" s="212"/>
      <c r="F61" s="534"/>
      <c r="G61" s="243"/>
      <c r="I61" s="494"/>
      <c r="J61" s="79"/>
      <c r="K61" s="118"/>
      <c r="L61" s="243"/>
      <c r="O61"/>
      <c r="P61"/>
    </row>
    <row r="62" spans="2:18">
      <c r="C62" s="56"/>
      <c r="F62"/>
      <c r="G62" s="243"/>
      <c r="I62" s="353">
        <f>2292.8+K58</f>
        <v>3803.3</v>
      </c>
      <c r="L62" s="243"/>
      <c r="O62"/>
      <c r="P62"/>
    </row>
    <row r="63" spans="2:18" ht="15.75" customHeight="1">
      <c r="C63" s="56"/>
      <c r="E63" s="534"/>
      <c r="F63"/>
      <c r="G63" s="243"/>
      <c r="I63" s="243"/>
      <c r="L63" s="243"/>
      <c r="M63" s="243"/>
      <c r="O63"/>
      <c r="P63"/>
    </row>
    <row r="64" spans="2:18">
      <c r="C64" s="56"/>
      <c r="E64"/>
      <c r="F64" s="534"/>
      <c r="G64" s="243"/>
      <c r="J64" s="243"/>
      <c r="M64" s="243"/>
      <c r="O64"/>
      <c r="P64"/>
    </row>
    <row r="65" spans="2:16" ht="14.4">
      <c r="C65" s="56"/>
      <c r="D65" s="188"/>
      <c r="E65"/>
      <c r="F65" s="79"/>
      <c r="G65" s="243"/>
      <c r="H65" s="243"/>
      <c r="O65"/>
      <c r="P65"/>
    </row>
    <row r="66" spans="2:16">
      <c r="C66" s="56"/>
      <c r="E66"/>
      <c r="F66" s="534"/>
      <c r="G66" s="243"/>
      <c r="H66" s="243"/>
      <c r="K66" s="243"/>
      <c r="O66"/>
      <c r="P66"/>
    </row>
    <row r="67" spans="2:16">
      <c r="C67" s="56"/>
      <c r="E67" s="407"/>
      <c r="F67" s="534"/>
      <c r="I67" s="407"/>
      <c r="J67" s="79"/>
      <c r="M67" s="77"/>
      <c r="O67"/>
      <c r="P67"/>
    </row>
    <row r="68" spans="2:16">
      <c r="C68" s="56"/>
      <c r="E68"/>
      <c r="N68" s="288"/>
      <c r="O68"/>
      <c r="P68"/>
    </row>
    <row r="69" spans="2:16">
      <c r="C69" s="56"/>
      <c r="E69" s="347"/>
      <c r="J69" s="118"/>
      <c r="O69"/>
      <c r="P69"/>
    </row>
    <row r="70" spans="2:16" ht="14.4">
      <c r="C70" s="56"/>
      <c r="E70"/>
      <c r="F70"/>
      <c r="G70" s="407"/>
      <c r="H70" s="407"/>
      <c r="I70" s="407"/>
      <c r="L70" s="243"/>
      <c r="O70"/>
      <c r="P70"/>
    </row>
    <row r="71" spans="2:16" ht="14.4">
      <c r="C71" s="56"/>
      <c r="E71" s="407"/>
      <c r="F71"/>
      <c r="O71"/>
      <c r="P71"/>
    </row>
    <row r="72" spans="2:16" ht="15.45" customHeight="1">
      <c r="C72" s="56"/>
      <c r="E72" s="407"/>
      <c r="F72" s="11"/>
      <c r="G72" s="407"/>
      <c r="H72" s="407"/>
      <c r="I72" s="407"/>
      <c r="J72" s="407"/>
      <c r="K72" s="407"/>
      <c r="L72" s="407"/>
      <c r="M72" s="407"/>
      <c r="O72"/>
      <c r="P72"/>
    </row>
    <row r="73" spans="2:16" ht="14.4">
      <c r="D73" s="459"/>
      <c r="E73" s="243"/>
      <c r="F73" s="459"/>
      <c r="G73" s="243"/>
      <c r="O73"/>
      <c r="P73"/>
    </row>
    <row r="74" spans="2:16" ht="14.4">
      <c r="B74" s="212"/>
      <c r="C74" s="294"/>
      <c r="D74" s="188"/>
      <c r="E74"/>
      <c r="F74" s="188"/>
      <c r="O74"/>
      <c r="P74"/>
    </row>
    <row r="75" spans="2:16" ht="15.45" customHeight="1">
      <c r="C75" s="56"/>
      <c r="E75"/>
      <c r="F75"/>
      <c r="M75" s="243"/>
      <c r="O75"/>
      <c r="P75"/>
    </row>
    <row r="76" spans="2:16">
      <c r="C76" s="56"/>
      <c r="E76" s="532"/>
      <c r="F76"/>
      <c r="G76" s="532"/>
      <c r="O76"/>
      <c r="P76"/>
    </row>
    <row r="77" spans="2:16">
      <c r="C77" s="56"/>
      <c r="F77" s="534" t="s">
        <v>2163</v>
      </c>
      <c r="G77" t="s">
        <v>1850</v>
      </c>
      <c r="H77" t="s">
        <v>2162</v>
      </c>
      <c r="L77" s="459"/>
      <c r="M77" s="461"/>
      <c r="O77"/>
      <c r="P77"/>
    </row>
    <row r="78" spans="2:16">
      <c r="C78" s="56"/>
      <c r="D78" s="426"/>
      <c r="E78" s="533"/>
      <c r="F78" s="534" t="s">
        <v>2164</v>
      </c>
      <c r="G78">
        <f>(1236+89+16+17+9+337)*1.2</f>
        <v>2044.8</v>
      </c>
      <c r="H78">
        <v>300</v>
      </c>
      <c r="L78" s="188"/>
      <c r="M78" s="230"/>
      <c r="O78"/>
      <c r="P78"/>
    </row>
    <row r="79" spans="2:16">
      <c r="C79" s="56"/>
      <c r="D79" s="405"/>
      <c r="E79" s="407"/>
      <c r="F79" s="534" t="s">
        <v>2166</v>
      </c>
      <c r="G79">
        <f>(695+20+10+11+14+300)*1.2</f>
        <v>1260</v>
      </c>
      <c r="L79" s="188"/>
      <c r="M79" s="230"/>
      <c r="O79"/>
      <c r="P79"/>
    </row>
    <row r="80" spans="2:16">
      <c r="C80" s="56"/>
      <c r="D80" s="532"/>
      <c r="E80"/>
      <c r="F80" s="534" t="s">
        <v>2165</v>
      </c>
      <c r="G80">
        <f>(382+24+30+34+18+37.5+71+13+900)*1.2</f>
        <v>1811.3999999999999</v>
      </c>
      <c r="H80">
        <v>15</v>
      </c>
      <c r="L80" s="188"/>
      <c r="M80" s="230"/>
      <c r="O80"/>
      <c r="P80"/>
    </row>
    <row r="81" spans="3:16">
      <c r="C81" s="56"/>
      <c r="D81" s="532"/>
      <c r="E81"/>
      <c r="G81">
        <f>SUM(G78:G80)</f>
        <v>5116.2</v>
      </c>
      <c r="L81" s="188"/>
      <c r="M81" s="230"/>
      <c r="O81"/>
      <c r="P81"/>
    </row>
    <row r="82" spans="3:16">
      <c r="C82" s="56"/>
      <c r="D82" s="532"/>
      <c r="E82"/>
      <c r="F82"/>
      <c r="L82" s="188"/>
      <c r="M82" s="230"/>
      <c r="O82"/>
      <c r="P82"/>
    </row>
    <row r="83" spans="3:16">
      <c r="E83" s="533"/>
      <c r="L83" s="188"/>
      <c r="M83" s="230"/>
      <c r="O83"/>
      <c r="P83"/>
    </row>
    <row r="84" spans="3:16">
      <c r="E84" s="533"/>
      <c r="L84" s="532"/>
      <c r="M84" s="230"/>
      <c r="O84"/>
      <c r="P84"/>
    </row>
    <row r="85" spans="3:16">
      <c r="E85" s="533"/>
      <c r="F85" s="212"/>
      <c r="L85" s="405"/>
      <c r="M85" s="230"/>
      <c r="O85"/>
      <c r="P85"/>
    </row>
    <row r="86" spans="3:16" ht="14.4">
      <c r="E86"/>
      <c r="F86"/>
      <c r="L86" s="405"/>
      <c r="M86" s="462"/>
      <c r="O86"/>
      <c r="P86"/>
    </row>
    <row r="87" spans="3:16" ht="14.4">
      <c r="E87"/>
      <c r="F87"/>
      <c r="O87"/>
      <c r="P87"/>
    </row>
    <row r="88" spans="3:16" ht="14.4">
      <c r="E88"/>
      <c r="F88"/>
      <c r="O88"/>
      <c r="P88"/>
    </row>
    <row r="89" spans="3:16" ht="14.4">
      <c r="E89" s="292"/>
      <c r="F89" s="56"/>
      <c r="O89"/>
      <c r="P89"/>
    </row>
    <row r="90" spans="3:16" ht="14.4">
      <c r="E90" s="42"/>
      <c r="F90" s="56"/>
      <c r="O90"/>
      <c r="P90"/>
    </row>
    <row r="91" spans="3:16" ht="14.4">
      <c r="E91" s="56"/>
      <c r="F91" s="56"/>
      <c r="O91"/>
      <c r="P91"/>
    </row>
    <row r="92" spans="3:16">
      <c r="O92"/>
      <c r="P92"/>
    </row>
    <row r="93" spans="3:16" ht="14.4">
      <c r="E93" s="212"/>
      <c r="F93" s="212"/>
      <c r="O93"/>
      <c r="P93"/>
    </row>
    <row r="94" spans="3:16" ht="14.4">
      <c r="E94"/>
      <c r="F94" s="56"/>
      <c r="O94"/>
      <c r="P94"/>
    </row>
    <row r="95" spans="3:16" ht="14.4">
      <c r="E95" s="56"/>
      <c r="F95" s="56"/>
      <c r="O95"/>
      <c r="P95"/>
    </row>
    <row r="96" spans="3:16" ht="14.4">
      <c r="E96" s="56"/>
      <c r="F96" s="56"/>
      <c r="G96" s="407"/>
      <c r="O96"/>
      <c r="P96"/>
    </row>
    <row r="97" spans="5:16" ht="14.4">
      <c r="E97" s="56"/>
      <c r="F97" s="56"/>
      <c r="G97" s="407"/>
      <c r="O97"/>
      <c r="P97"/>
    </row>
    <row r="98" spans="5:16" ht="14.4">
      <c r="E98" s="56"/>
      <c r="F98" s="56"/>
      <c r="G98" s="407"/>
      <c r="O98"/>
      <c r="P98"/>
    </row>
    <row r="99" spans="5:16" ht="14.4">
      <c r="E99" s="56"/>
      <c r="F99" s="56"/>
      <c r="G99" s="407"/>
      <c r="O99"/>
      <c r="P99"/>
    </row>
    <row r="100" spans="5:16">
      <c r="G100" s="407"/>
      <c r="O100"/>
      <c r="P100"/>
    </row>
    <row r="101" spans="5:16">
      <c r="G101" s="407"/>
      <c r="O101"/>
      <c r="P101"/>
    </row>
    <row r="102" spans="5:16">
      <c r="G102" s="407"/>
      <c r="O102"/>
      <c r="P102"/>
    </row>
    <row r="103" spans="5:16">
      <c r="G103" s="407"/>
    </row>
  </sheetData>
  <mergeCells count="22">
    <mergeCell ref="B46:G46"/>
    <mergeCell ref="K46:O46"/>
    <mergeCell ref="B47:C47"/>
    <mergeCell ref="E57:E58"/>
    <mergeCell ref="B44:D44"/>
    <mergeCell ref="B5:C5"/>
    <mergeCell ref="D5:E5"/>
    <mergeCell ref="B6:B20"/>
    <mergeCell ref="C6:C20"/>
    <mergeCell ref="E10:F10"/>
    <mergeCell ref="B24:E24"/>
    <mergeCell ref="B25:C25"/>
    <mergeCell ref="D25:E25"/>
    <mergeCell ref="B39:E39"/>
    <mergeCell ref="B40:C40"/>
    <mergeCell ref="D40:E40"/>
    <mergeCell ref="B4:E4"/>
    <mergeCell ref="B1:O1"/>
    <mergeCell ref="G3:H3"/>
    <mergeCell ref="I3:J3"/>
    <mergeCell ref="K3:L3"/>
    <mergeCell ref="M3:N3"/>
  </mergeCells>
  <conditionalFormatting sqref="P44">
    <cfRule type="cellIs" dxfId="30" priority="1" operator="greaterThan">
      <formula>0</formula>
    </cfRule>
  </conditionalFormatting>
  <pageMargins left="0.7" right="0.7" top="0.75" bottom="0.75" header="0.3" footer="0.3"/>
  <pageSetup orientation="portrait" r:id="rId1"/>
  <legacyDrawing r:id="rId2"/>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34BD7-4FA4-49D0-9E4B-D6E45E5AD145}">
  <dimension ref="A1:T103"/>
  <sheetViews>
    <sheetView topLeftCell="E1" zoomScale="90" zoomScaleNormal="90" workbookViewId="0">
      <selection activeCell="F15" sqref="F15"/>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0" ht="25.5" customHeight="1">
      <c r="A1" t="str">
        <f ca="1">UPPER(TEXT((1&amp;LEFT(B$1,3))-1,"MMM"))&amp;"-"&amp;UPPER(TEXT((1&amp;RIGHT(LEFT(B$1,7),3))-1,"MMM"))&amp;" "&amp;RIGHT(B$1,4)</f>
        <v>MAR-APR Y 25</v>
      </c>
      <c r="B1" s="730" t="str">
        <f ca="1">MID(CELL("filename",B1),FIND("]",CELL("filename",B1))+1,255)</f>
        <v>APR-MAY 25</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ROUND(O5+O41+O25+IF(O42&lt;0,0,O42)+O43+O4,2) &amp; " / " &amp; "£" &amp; E46</f>
        <v>£4664.77 / £13475.44</v>
      </c>
      <c r="G3" s="732">
        <v>45772</v>
      </c>
      <c r="H3" s="732"/>
      <c r="I3" s="732">
        <f>G3+7</f>
        <v>45779</v>
      </c>
      <c r="J3" s="732"/>
      <c r="K3" s="732">
        <f>I3+7</f>
        <v>45786</v>
      </c>
      <c r="L3" s="732"/>
      <c r="M3" s="732">
        <f>K3+7</f>
        <v>45793</v>
      </c>
      <c r="N3" s="732"/>
      <c r="O3" s="308">
        <v>0</v>
      </c>
      <c r="P3" s="325" t="s">
        <v>1224</v>
      </c>
      <c r="Q3" s="282"/>
    </row>
    <row r="4" spans="1:20" ht="15" customHeight="1">
      <c r="B4" s="727" t="str">
        <f>_xlfn.CONCAT("Expenses - 50 - ",G46*0.5," / Actual = ",ROUND(D5,2)," (",ROUND((D5/G46)*100,2),")")</f>
        <v>Expenses - 50 - 6737.72 / Actual = 3048.72 (22.62)</v>
      </c>
      <c r="C4" s="727"/>
      <c r="D4" s="727"/>
      <c r="E4" s="727"/>
      <c r="F4" s="318"/>
      <c r="G4" s="243"/>
      <c r="H4" s="304">
        <f>SUM(H5:H43)</f>
        <v>4275.6400000000003</v>
      </c>
      <c r="I4" s="243">
        <f>H4+H44+3800</f>
        <v>9013.9700000000012</v>
      </c>
      <c r="J4" s="304">
        <f>SUM(J5:J43)</f>
        <v>322.79999999999995</v>
      </c>
      <c r="K4" s="243"/>
      <c r="L4" s="304">
        <f>SUM(L5:L43)</f>
        <v>0</v>
      </c>
      <c r="M4" s="243"/>
      <c r="N4" s="304">
        <f>SUM(N5:N43)-SUM(N27:N33)</f>
        <v>0</v>
      </c>
      <c r="O4" s="308">
        <f>IF(H45&lt;&gt;"PAID",H4,0)+IF(J45&lt;&gt;"PAID",J4,0)+IF(L45&lt;&gt;"PAID",L4,0)+IF(N45&lt;&gt;"PAID",N4,0)</f>
        <v>4598.4400000000005</v>
      </c>
      <c r="P4" s="309" t="s">
        <v>973</v>
      </c>
      <c r="Q4" s="408"/>
      <c r="R4" s="243"/>
      <c r="S4" s="243"/>
    </row>
    <row r="5" spans="1:20" ht="15" customHeight="1">
      <c r="B5" s="733" t="str">
        <f>IF(D5&gt;E$46*0.5,ROUND(D5-E$46*0.5,2) &amp; " Over",ROUND(E$46*0.5-D5,2) &amp; " Under")</f>
        <v>3689 Under</v>
      </c>
      <c r="C5" s="733"/>
      <c r="D5" s="761">
        <f>ROUND(SUM(F6:F22),2)</f>
        <v>3048.72</v>
      </c>
      <c r="E5" s="761"/>
      <c r="F5" s="321"/>
      <c r="G5" s="284">
        <f>72.85-F14+50</f>
        <v>97.49</v>
      </c>
      <c r="H5" s="306"/>
      <c r="I5" s="390"/>
      <c r="J5" s="306"/>
      <c r="K5" s="390"/>
      <c r="L5" s="306"/>
      <c r="M5" s="79"/>
      <c r="N5" s="305"/>
      <c r="O5" s="285">
        <f>SUMIF(O6:O22,"&gt;0")</f>
        <v>27.269999999999968</v>
      </c>
      <c r="P5" s="285" t="s">
        <v>892</v>
      </c>
      <c r="Q5" s="282">
        <f>SUM(Q6:Q22)</f>
        <v>91.460000000000036</v>
      </c>
      <c r="R5" s="243"/>
    </row>
    <row r="6" spans="1:20" ht="15" customHeight="1">
      <c r="B6" s="734" t="str">
        <f>"50%: " &amp; E$46*0.5</f>
        <v>50%: 6737.72</v>
      </c>
      <c r="C6" s="734" t="str">
        <f>ROUND((D5/E$46)*100,2) &amp; "%: " &amp;D5</f>
        <v>22.62%: 3048.72</v>
      </c>
      <c r="D6" s="13" t="s">
        <v>805</v>
      </c>
      <c r="E6" s="523">
        <v>0</v>
      </c>
      <c r="F6" s="528">
        <v>150</v>
      </c>
      <c r="H6" s="304">
        <f>24.93+20.05+20+25.11+34.9+30.13</f>
        <v>155.12</v>
      </c>
      <c r="J6" s="305"/>
      <c r="L6" s="305"/>
      <c r="N6" s="305"/>
      <c r="O6" s="274">
        <f>SUM(E6:F6)-SUM(G6:N6)</f>
        <v>-5.1200000000000045</v>
      </c>
      <c r="P6" s="274" t="str">
        <f t="shared" ref="P6:P22" si="0">D6</f>
        <v>Car Petrol / commuting</v>
      </c>
      <c r="Q6" s="282">
        <f>IF(O6&lt;0,O6*-1,0)</f>
        <v>5.1200000000000045</v>
      </c>
      <c r="R6" s="243"/>
    </row>
    <row r="7" spans="1:20" ht="15" customHeight="1">
      <c r="B7" s="734"/>
      <c r="C7" s="734"/>
      <c r="D7" s="13" t="s">
        <v>169</v>
      </c>
      <c r="E7" s="523">
        <v>0</v>
      </c>
      <c r="F7" s="523">
        <v>400</v>
      </c>
      <c r="H7" s="304">
        <f>6.7+61.81+39.63+105.59+82.89+106.54-5.46+7+1.78+9.26+13.48</f>
        <v>429.22</v>
      </c>
      <c r="J7" s="305"/>
      <c r="L7" s="305"/>
      <c r="N7" s="305"/>
      <c r="O7" s="274">
        <f>SUM(E7:F7)-SUM(G7:N7)</f>
        <v>-29.220000000000027</v>
      </c>
      <c r="P7" s="274" t="str">
        <f t="shared" si="0"/>
        <v>Food</v>
      </c>
      <c r="Q7" s="282">
        <f>IF(O7&lt;0,O7*-1,0)</f>
        <v>29.220000000000027</v>
      </c>
      <c r="R7" s="243"/>
    </row>
    <row r="8" spans="1:20" ht="15" customHeight="1">
      <c r="B8" s="734"/>
      <c r="C8" s="734"/>
      <c r="D8" s="13" t="s">
        <v>153</v>
      </c>
      <c r="E8" s="523">
        <v>0</v>
      </c>
      <c r="F8" s="523">
        <v>90</v>
      </c>
      <c r="H8" s="305">
        <f>56.36</f>
        <v>56.36</v>
      </c>
      <c r="J8" s="305">
        <f>33.32+27.84</f>
        <v>61.16</v>
      </c>
      <c r="L8" s="305"/>
      <c r="N8" s="305"/>
      <c r="O8" s="274">
        <f>SUM(E8:F8)-SUM(G8:N8)</f>
        <v>-27.519999999999996</v>
      </c>
      <c r="P8" s="274" t="str">
        <f t="shared" si="0"/>
        <v>Luna</v>
      </c>
      <c r="Q8" s="282">
        <f>IF(O8&lt;0,O8*-1,0)</f>
        <v>27.519999999999996</v>
      </c>
    </row>
    <row r="9" spans="1:20" ht="15" customHeight="1">
      <c r="B9" s="734"/>
      <c r="C9" s="734"/>
      <c r="D9" s="13" t="s">
        <v>1079</v>
      </c>
      <c r="E9" s="523">
        <v>0</v>
      </c>
      <c r="F9" s="523">
        <f>30</f>
        <v>30</v>
      </c>
      <c r="H9" s="305">
        <f>3+16.98+3.14</f>
        <v>23.12</v>
      </c>
      <c r="J9" s="305">
        <f>11.68+12.34</f>
        <v>24.02</v>
      </c>
      <c r="L9" s="305"/>
      <c r="N9" s="305"/>
      <c r="O9" s="274">
        <f>SUM(E9:F9)-SUM(G9:N9)</f>
        <v>-17.14</v>
      </c>
      <c r="P9" s="274" t="str">
        <f t="shared" si="0"/>
        <v>Creamy</v>
      </c>
      <c r="Q9" s="282">
        <f>IF(O9&lt;0,O9*-1,0)</f>
        <v>17.14</v>
      </c>
      <c r="R9" s="243"/>
    </row>
    <row r="10" spans="1:20" ht="15" customHeight="1">
      <c r="B10" s="734"/>
      <c r="C10" s="734"/>
      <c r="D10" s="13" t="s">
        <v>189</v>
      </c>
      <c r="E10" s="735">
        <f>SUM(F11:F22)</f>
        <v>2378.7199999999998</v>
      </c>
      <c r="F10" s="735"/>
      <c r="G10" s="243"/>
      <c r="H10" s="305"/>
      <c r="J10" s="305"/>
      <c r="L10" s="305"/>
      <c r="N10" s="305"/>
      <c r="O10" s="274"/>
      <c r="P10" s="274" t="str">
        <f t="shared" si="0"/>
        <v>Direct debits</v>
      </c>
      <c r="Q10" s="282"/>
      <c r="R10" s="243"/>
    </row>
    <row r="11" spans="1:20" ht="15" customHeight="1" outlineLevel="1">
      <c r="B11" s="734"/>
      <c r="C11" s="734"/>
      <c r="D11" s="201" t="s">
        <v>595</v>
      </c>
      <c r="E11" s="523">
        <v>0</v>
      </c>
      <c r="F11" s="523">
        <v>838</v>
      </c>
      <c r="G11">
        <v>838</v>
      </c>
      <c r="H11" s="304"/>
      <c r="J11" s="305"/>
      <c r="L11" s="305"/>
      <c r="N11" s="305"/>
      <c r="O11" s="274">
        <f t="shared" ref="O11:O22" si="1">SUM(E11:F11)-SUM(G11:N11)</f>
        <v>0</v>
      </c>
      <c r="P11" s="274" t="str">
        <f t="shared" si="0"/>
        <v>Mortgage</v>
      </c>
      <c r="Q11" s="282">
        <f t="shared" ref="Q11:Q22" si="2">IF(O11&lt;0,O11*-1,0)</f>
        <v>0</v>
      </c>
      <c r="R11" s="243"/>
      <c r="S11" s="11"/>
    </row>
    <row r="12" spans="1:20" ht="15" customHeight="1" outlineLevel="1">
      <c r="B12" s="734"/>
      <c r="C12" s="734"/>
      <c r="D12" s="201" t="s">
        <v>596</v>
      </c>
      <c r="E12" s="523">
        <v>0</v>
      </c>
      <c r="F12" s="523">
        <v>166.43</v>
      </c>
      <c r="G12">
        <v>166.43</v>
      </c>
      <c r="H12" s="305"/>
      <c r="J12" s="305"/>
      <c r="L12" s="305"/>
      <c r="N12" s="305"/>
      <c r="O12" s="274">
        <f t="shared" si="1"/>
        <v>0</v>
      </c>
      <c r="P12" s="274" t="str">
        <f t="shared" si="0"/>
        <v>Council tax</v>
      </c>
      <c r="Q12" s="282">
        <f t="shared" si="2"/>
        <v>0</v>
      </c>
      <c r="S12" s="349"/>
    </row>
    <row r="13" spans="1:20" ht="15" customHeight="1" outlineLevel="1">
      <c r="B13" s="734"/>
      <c r="C13" s="734"/>
      <c r="D13" s="201" t="s">
        <v>1002</v>
      </c>
      <c r="E13" s="523">
        <v>0</v>
      </c>
      <c r="F13" s="523">
        <f>49+107.15</f>
        <v>156.15</v>
      </c>
      <c r="G13">
        <f>49+107.15</f>
        <v>156.15</v>
      </c>
      <c r="H13" s="305"/>
      <c r="J13" s="305"/>
      <c r="L13" s="305"/>
      <c r="N13" s="305"/>
      <c r="O13" s="274">
        <f t="shared" si="1"/>
        <v>0</v>
      </c>
      <c r="P13" s="274" t="str">
        <f t="shared" si="0"/>
        <v>Utilities (G,W,E,HTB)</v>
      </c>
      <c r="Q13" s="282">
        <f t="shared" si="2"/>
        <v>0</v>
      </c>
    </row>
    <row r="14" spans="1:20" ht="15" customHeight="1" outlineLevel="1">
      <c r="B14" s="734"/>
      <c r="C14" s="734"/>
      <c r="D14" s="201" t="s">
        <v>996</v>
      </c>
      <c r="E14" s="523">
        <v>0</v>
      </c>
      <c r="F14" s="523">
        <v>25.36</v>
      </c>
      <c r="H14" s="305"/>
      <c r="J14" s="305"/>
      <c r="L14" s="305"/>
      <c r="N14" s="305"/>
      <c r="O14" s="274">
        <f t="shared" si="1"/>
        <v>25.36</v>
      </c>
      <c r="P14" s="274" t="str">
        <f t="shared" si="0"/>
        <v>Home Insurance</v>
      </c>
      <c r="Q14" s="282">
        <f t="shared" si="2"/>
        <v>0</v>
      </c>
    </row>
    <row r="15" spans="1:20" ht="15" customHeight="1" outlineLevel="1">
      <c r="B15" s="734"/>
      <c r="C15" s="734"/>
      <c r="D15" s="201" t="s">
        <v>1056</v>
      </c>
      <c r="E15" s="523">
        <v>0</v>
      </c>
      <c r="F15" s="523">
        <f>9.99+31.99+20.99</f>
        <v>62.97</v>
      </c>
      <c r="G15">
        <f>20.99+31.99+9.99</f>
        <v>62.97</v>
      </c>
      <c r="H15" s="305"/>
      <c r="J15" s="305"/>
      <c r="L15" s="305"/>
      <c r="N15" s="305"/>
      <c r="O15" s="274">
        <f t="shared" si="1"/>
        <v>0</v>
      </c>
      <c r="P15" s="274" t="str">
        <f t="shared" si="0"/>
        <v>Pet Health / Insurance</v>
      </c>
      <c r="Q15" s="282">
        <f t="shared" si="2"/>
        <v>0</v>
      </c>
    </row>
    <row r="16" spans="1:20" ht="15" customHeight="1" outlineLevel="1">
      <c r="B16" s="734"/>
      <c r="C16" s="734"/>
      <c r="D16" s="201" t="s">
        <v>1057</v>
      </c>
      <c r="E16" s="523">
        <v>0</v>
      </c>
      <c r="F16" s="523">
        <f>30.8+62.08</f>
        <v>92.88</v>
      </c>
      <c r="G16">
        <v>92.88</v>
      </c>
      <c r="H16" s="305"/>
      <c r="I16" s="11"/>
      <c r="J16" s="305"/>
      <c r="L16" s="305"/>
      <c r="N16" s="305"/>
      <c r="O16" s="274">
        <f t="shared" si="1"/>
        <v>0</v>
      </c>
      <c r="P16" s="274" t="str">
        <f t="shared" si="0"/>
        <v>Life / Income Insurance</v>
      </c>
      <c r="Q16" s="282">
        <f t="shared" si="2"/>
        <v>0</v>
      </c>
    </row>
    <row r="17" spans="2:20" ht="15" customHeight="1" outlineLevel="1">
      <c r="B17" s="734"/>
      <c r="C17" s="734"/>
      <c r="D17" s="201" t="s">
        <v>602</v>
      </c>
      <c r="E17" s="523">
        <v>0</v>
      </c>
      <c r="F17" s="523">
        <v>37</v>
      </c>
      <c r="G17">
        <v>37</v>
      </c>
      <c r="H17" s="305"/>
      <c r="J17" s="305"/>
      <c r="L17" s="305"/>
      <c r="N17" s="305"/>
      <c r="O17" s="274">
        <f t="shared" si="1"/>
        <v>0</v>
      </c>
      <c r="P17" s="274" t="str">
        <f t="shared" si="0"/>
        <v>Broadband / TV</v>
      </c>
      <c r="Q17" s="282">
        <f t="shared" si="2"/>
        <v>0</v>
      </c>
    </row>
    <row r="18" spans="2:20" ht="15" customHeight="1" outlineLevel="1">
      <c r="B18" s="734"/>
      <c r="C18" s="734"/>
      <c r="D18" s="201" t="s">
        <v>788</v>
      </c>
      <c r="E18" s="523">
        <v>0</v>
      </c>
      <c r="F18" s="523">
        <v>26</v>
      </c>
      <c r="G18">
        <v>36.96</v>
      </c>
      <c r="H18" s="305"/>
      <c r="J18" s="305"/>
      <c r="L18" s="305"/>
      <c r="N18" s="305"/>
      <c r="O18" s="274">
        <f t="shared" si="1"/>
        <v>-10.96</v>
      </c>
      <c r="P18" s="274" t="str">
        <f t="shared" si="0"/>
        <v>Matt Phone</v>
      </c>
      <c r="Q18" s="282">
        <f t="shared" si="2"/>
        <v>10.96</v>
      </c>
    </row>
    <row r="19" spans="2:20" ht="15" customHeight="1" outlineLevel="1">
      <c r="B19" s="734"/>
      <c r="C19" s="734"/>
      <c r="D19" s="201" t="s">
        <v>690</v>
      </c>
      <c r="E19" s="523">
        <v>0</v>
      </c>
      <c r="F19" s="523">
        <f>14+48.17+270.97+487+73.32+19</f>
        <v>912.46</v>
      </c>
      <c r="G19">
        <f>48.17+14+16.62+73.44+270.97+487.35</f>
        <v>910.55000000000007</v>
      </c>
      <c r="H19" s="305"/>
      <c r="J19" s="305"/>
      <c r="L19" s="305"/>
      <c r="N19" s="305"/>
      <c r="O19" s="274">
        <f t="shared" si="1"/>
        <v>1.9099999999999682</v>
      </c>
      <c r="P19" s="274" t="str">
        <f t="shared" si="0"/>
        <v>Cars</v>
      </c>
      <c r="Q19" s="282">
        <f t="shared" si="2"/>
        <v>0</v>
      </c>
    </row>
    <row r="20" spans="2:20" ht="15" customHeight="1" outlineLevel="1">
      <c r="B20" s="734"/>
      <c r="C20" s="734"/>
      <c r="D20" s="201" t="s">
        <v>944</v>
      </c>
      <c r="E20" s="523">
        <v>0</v>
      </c>
      <c r="F20" s="523">
        <v>15</v>
      </c>
      <c r="G20">
        <v>15</v>
      </c>
      <c r="H20" s="305"/>
      <c r="J20" s="305"/>
      <c r="L20" s="305"/>
      <c r="N20" s="305"/>
      <c r="O20" s="274">
        <f t="shared" si="1"/>
        <v>0</v>
      </c>
      <c r="P20" s="274" t="str">
        <f t="shared" si="0"/>
        <v>Windows</v>
      </c>
      <c r="Q20" s="282">
        <f t="shared" si="2"/>
        <v>0</v>
      </c>
      <c r="R20" s="243"/>
    </row>
    <row r="21" spans="2:20" ht="15" customHeight="1" outlineLevel="1">
      <c r="B21" s="7"/>
      <c r="C21" s="7"/>
      <c r="D21" s="201" t="s">
        <v>2042</v>
      </c>
      <c r="E21" s="523">
        <v>0</v>
      </c>
      <c r="F21" s="523">
        <v>0</v>
      </c>
      <c r="H21" s="305"/>
      <c r="J21" s="305"/>
      <c r="L21" s="305"/>
      <c r="N21" s="305"/>
      <c r="O21" s="274">
        <f t="shared" si="1"/>
        <v>0</v>
      </c>
      <c r="P21" s="274" t="str">
        <f t="shared" si="0"/>
        <v>Health + Wellness</v>
      </c>
      <c r="Q21" s="282">
        <f t="shared" si="2"/>
        <v>0</v>
      </c>
      <c r="R21" s="243"/>
    </row>
    <row r="22" spans="2:20" ht="15" customHeight="1" outlineLevel="1">
      <c r="B22" s="7"/>
      <c r="C22" s="7"/>
      <c r="D22" s="201" t="s">
        <v>781</v>
      </c>
      <c r="E22" s="523">
        <v>0</v>
      </c>
      <c r="F22" s="523">
        <f>10.49+18+4.99+0.99+12</f>
        <v>46.470000000000006</v>
      </c>
      <c r="G22" s="11">
        <f>12+18+1.49+10.49+5.99</f>
        <v>47.97</v>
      </c>
      <c r="H22" s="305"/>
      <c r="J22" s="305"/>
      <c r="L22" s="305"/>
      <c r="N22" s="305"/>
      <c r="O22" s="274">
        <f t="shared" si="1"/>
        <v>-1.4999999999999929</v>
      </c>
      <c r="P22" s="274" t="str">
        <f t="shared" si="0"/>
        <v>Subscriptions</v>
      </c>
      <c r="Q22" s="282">
        <f t="shared" si="2"/>
        <v>1.4999999999999929</v>
      </c>
      <c r="R22" s="243"/>
    </row>
    <row r="23" spans="2:20" ht="15" customHeight="1">
      <c r="B23" s="118"/>
      <c r="C23" s="118"/>
      <c r="D23" s="188"/>
      <c r="H23" s="305"/>
      <c r="J23" s="305"/>
      <c r="L23" s="305"/>
      <c r="N23" s="305"/>
      <c r="O23" s="273"/>
      <c r="P23" s="273"/>
      <c r="Q23" s="282"/>
    </row>
    <row r="24" spans="2:20" ht="15" customHeight="1">
      <c r="B24" s="736" t="str">
        <f>_xlfn.CONCAT("Savings - 20 - ",G46*0.2," / Actual = ",D25," (",ROUND((D25/G46)*100,2),")")</f>
        <v>Savings - 20 - 2695.088 / Actual = 9231.07 (68.5)</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9231.07</v>
      </c>
      <c r="E25" s="759"/>
      <c r="F25" s="319"/>
      <c r="H25" s="305"/>
      <c r="J25" s="305"/>
      <c r="L25" s="305"/>
      <c r="N25" s="305"/>
      <c r="O25" s="285">
        <f>O26</f>
        <v>-6.9399999999993156</v>
      </c>
      <c r="P25" s="285" t="s">
        <v>895</v>
      </c>
      <c r="Q25" s="282">
        <f>SUM(Q26:Q26)</f>
        <v>0</v>
      </c>
    </row>
    <row r="26" spans="2:20" ht="15" customHeight="1" outlineLevel="1">
      <c r="B26" s="7" t="str">
        <f>"20% : " &amp; E$46*0.2</f>
        <v>20% : 2695.088</v>
      </c>
      <c r="C26" s="7" t="str">
        <f>"20% : " &amp; E$46*0.2</f>
        <v>20% : 2695.088</v>
      </c>
      <c r="D26" s="300" t="s">
        <v>183</v>
      </c>
      <c r="E26" s="523">
        <v>0</v>
      </c>
      <c r="F26" s="523">
        <f>SUM(F27:F38)</f>
        <v>9231.07</v>
      </c>
      <c r="G26" s="243"/>
      <c r="H26" s="305"/>
      <c r="J26" s="305"/>
      <c r="L26" s="305"/>
      <c r="N26" s="305"/>
      <c r="O26" s="274">
        <f>SUM(O27:O38)</f>
        <v>-6.9399999999993156</v>
      </c>
      <c r="P26" s="274" t="str">
        <f t="shared" ref="P26:P38" si="3">D26</f>
        <v>Savings</v>
      </c>
      <c r="Q26" s="282">
        <v>0</v>
      </c>
      <c r="R26" s="495"/>
      <c r="S26" s="243"/>
    </row>
    <row r="27" spans="2:20" ht="15" customHeight="1" outlineLevel="1">
      <c r="B27" s="7"/>
      <c r="C27" s="7"/>
      <c r="D27" s="300" t="s">
        <v>1485</v>
      </c>
      <c r="E27" s="523">
        <v>0</v>
      </c>
      <c r="F27" s="523">
        <v>40</v>
      </c>
      <c r="H27" s="305"/>
      <c r="J27" s="305"/>
      <c r="L27" s="362"/>
      <c r="N27" s="315"/>
      <c r="O27" s="274">
        <f>SUM(E27:F27)-SUM(G27:N27)</f>
        <v>40</v>
      </c>
      <c r="P27" s="274" t="str">
        <f t="shared" si="3"/>
        <v>MOT / Service</v>
      </c>
      <c r="Q27" s="282"/>
      <c r="R27" s="243"/>
    </row>
    <row r="28" spans="2:20" ht="15" customHeight="1" outlineLevel="1">
      <c r="B28" s="7"/>
      <c r="C28" s="7"/>
      <c r="D28" s="300" t="s">
        <v>690</v>
      </c>
      <c r="E28" s="523">
        <v>0</v>
      </c>
      <c r="F28" s="523">
        <f>-468.84-232.5</f>
        <v>-701.33999999999992</v>
      </c>
      <c r="H28" s="305"/>
      <c r="J28" s="305"/>
      <c r="L28" s="362"/>
      <c r="N28" s="315"/>
      <c r="O28" s="274">
        <f>SUM(E28:F28)-SUM(G28:N28)</f>
        <v>-701.33999999999992</v>
      </c>
      <c r="P28" s="274" t="str">
        <f t="shared" si="3"/>
        <v>Cars</v>
      </c>
      <c r="Q28" s="282"/>
      <c r="R28" s="243"/>
    </row>
    <row r="29" spans="2:20" ht="15" customHeight="1" outlineLevel="1">
      <c r="B29" s="7"/>
      <c r="C29" s="7"/>
      <c r="D29" s="300" t="s">
        <v>590</v>
      </c>
      <c r="E29" s="523">
        <v>0</v>
      </c>
      <c r="F29" s="523">
        <f>165+10.99+8.99+2.85+29.95+20+10.06</f>
        <v>247.84</v>
      </c>
      <c r="G29" s="305"/>
      <c r="H29">
        <f>6+5.25</f>
        <v>11.25</v>
      </c>
      <c r="J29" s="305"/>
      <c r="L29" s="362"/>
      <c r="N29" s="315"/>
      <c r="O29" s="274">
        <f>SUM(E29:F29)-SUM(G29:N29)-Q46</f>
        <v>145.12999999999997</v>
      </c>
      <c r="P29" s="274" t="str">
        <f t="shared" si="3"/>
        <v>Contingency</v>
      </c>
      <c r="Q29" s="282"/>
      <c r="T29" s="243"/>
    </row>
    <row r="30" spans="2:20" ht="15" customHeight="1" outlineLevel="1">
      <c r="B30" s="7"/>
      <c r="C30" s="7"/>
      <c r="D30" s="300" t="s">
        <v>1486</v>
      </c>
      <c r="E30" s="523">
        <v>0</v>
      </c>
      <c r="F30" s="523">
        <v>13.67</v>
      </c>
      <c r="G30">
        <v>44.89</v>
      </c>
      <c r="H30" s="305"/>
      <c r="J30" s="305"/>
      <c r="L30" s="362"/>
      <c r="N30" s="315"/>
      <c r="O30" s="274">
        <f t="shared" ref="O30:O38" si="4">SUM(E30:F30)-SUM(G30:N30)</f>
        <v>-31.22</v>
      </c>
      <c r="P30" s="274" t="str">
        <f t="shared" si="3"/>
        <v>TV</v>
      </c>
      <c r="Q30" s="282"/>
    </row>
    <row r="31" spans="2:20" ht="15" customHeight="1" outlineLevel="1">
      <c r="B31" s="7"/>
      <c r="C31" s="7"/>
      <c r="D31" s="300" t="s">
        <v>1296</v>
      </c>
      <c r="E31" s="523">
        <v>0</v>
      </c>
      <c r="F31" s="523">
        <v>95</v>
      </c>
      <c r="H31" s="305"/>
      <c r="J31" s="305"/>
      <c r="L31" s="362"/>
      <c r="N31" s="315"/>
      <c r="O31" s="274">
        <f t="shared" si="4"/>
        <v>95</v>
      </c>
      <c r="P31" s="274" t="str">
        <f t="shared" si="3"/>
        <v>Offset</v>
      </c>
      <c r="Q31" s="282"/>
    </row>
    <row r="32" spans="2:20" ht="15" customHeight="1" outlineLevel="1">
      <c r="B32" s="7"/>
      <c r="C32" s="7"/>
      <c r="D32" s="300" t="s">
        <v>354</v>
      </c>
      <c r="E32" s="523">
        <v>0</v>
      </c>
      <c r="F32" s="523">
        <f>650+55+80+32.14+100+40-271.13+140</f>
        <v>826.01</v>
      </c>
      <c r="J32" s="305"/>
      <c r="L32" s="362"/>
      <c r="N32" s="315"/>
      <c r="O32" s="274">
        <f t="shared" si="4"/>
        <v>826.01</v>
      </c>
      <c r="P32" s="274" t="str">
        <f t="shared" si="3"/>
        <v>Holiday</v>
      </c>
      <c r="Q32" s="282"/>
    </row>
    <row r="33" spans="2:19" ht="15" customHeight="1" outlineLevel="1">
      <c r="B33" s="7"/>
      <c r="C33" s="7"/>
      <c r="D33" s="300" t="s">
        <v>701</v>
      </c>
      <c r="E33" s="523">
        <v>0</v>
      </c>
      <c r="F33" s="523">
        <f>250+1800</f>
        <v>2050</v>
      </c>
      <c r="H33">
        <f>168+2000+96.99</f>
        <v>2264.9899999999998</v>
      </c>
      <c r="J33" s="305"/>
      <c r="L33" s="362"/>
      <c r="N33" s="315"/>
      <c r="O33" s="274">
        <f t="shared" si="4"/>
        <v>-214.98999999999978</v>
      </c>
      <c r="P33" s="274" t="str">
        <f t="shared" si="3"/>
        <v>Gift</v>
      </c>
      <c r="Q33" s="282"/>
    </row>
    <row r="34" spans="2:19" ht="15" customHeight="1" outlineLevel="1">
      <c r="B34" s="7"/>
      <c r="C34" s="7"/>
      <c r="D34" s="300" t="s">
        <v>1297</v>
      </c>
      <c r="E34" s="523">
        <v>0</v>
      </c>
      <c r="F34" s="523">
        <f>50+110+40</f>
        <v>200</v>
      </c>
      <c r="H34" s="305"/>
      <c r="L34" s="362"/>
      <c r="N34" s="315"/>
      <c r="O34" s="274">
        <f t="shared" si="4"/>
        <v>200</v>
      </c>
      <c r="P34" s="274" t="str">
        <f t="shared" si="3"/>
        <v>Skin</v>
      </c>
      <c r="Q34" s="282"/>
    </row>
    <row r="35" spans="2:19" ht="15" customHeight="1" outlineLevel="1">
      <c r="B35" s="7"/>
      <c r="C35" s="7"/>
      <c r="D35" s="300" t="s">
        <v>1391</v>
      </c>
      <c r="E35" s="523">
        <v>0</v>
      </c>
      <c r="F35" s="523">
        <v>75</v>
      </c>
      <c r="H35" s="305"/>
      <c r="J35" s="305"/>
      <c r="L35" s="362"/>
      <c r="N35" s="315"/>
      <c r="O35" s="274">
        <f t="shared" si="4"/>
        <v>75</v>
      </c>
      <c r="P35" s="274" t="str">
        <f t="shared" si="3"/>
        <v>Avios</v>
      </c>
      <c r="Q35" s="282"/>
    </row>
    <row r="36" spans="2:19" ht="15" customHeight="1" outlineLevel="1">
      <c r="B36" s="7"/>
      <c r="C36" s="7"/>
      <c r="D36" s="300" t="s">
        <v>772</v>
      </c>
      <c r="E36" s="523">
        <v>0</v>
      </c>
      <c r="F36" s="523">
        <v>0</v>
      </c>
      <c r="H36" s="305"/>
      <c r="J36" s="305"/>
      <c r="L36" s="362"/>
      <c r="N36" s="315"/>
      <c r="O36" s="274">
        <f t="shared" si="4"/>
        <v>0</v>
      </c>
      <c r="P36" s="274" t="str">
        <f t="shared" si="3"/>
        <v>Home</v>
      </c>
      <c r="Q36" s="282"/>
    </row>
    <row r="37" spans="2:19" ht="15" customHeight="1" outlineLevel="1">
      <c r="B37" s="7"/>
      <c r="C37" s="7"/>
      <c r="D37" s="300" t="s">
        <v>1226</v>
      </c>
      <c r="E37" s="523">
        <v>0</v>
      </c>
      <c r="F37" s="523">
        <v>0</v>
      </c>
      <c r="H37" s="305">
        <f>141.5+12.3+289+20.67+5.5+8.75+14.65-60</f>
        <v>432.37</v>
      </c>
      <c r="J37" s="305">
        <f>31.73+26.95</f>
        <v>58.68</v>
      </c>
      <c r="L37" s="362"/>
      <c r="N37" s="315"/>
      <c r="O37" s="274">
        <f t="shared" si="4"/>
        <v>-491.05</v>
      </c>
      <c r="P37" s="274" t="str">
        <f t="shared" si="3"/>
        <v>Lakes</v>
      </c>
      <c r="Q37" s="282"/>
    </row>
    <row r="38" spans="2:19" ht="15" customHeight="1" outlineLevel="1">
      <c r="B38" s="7"/>
      <c r="C38" s="7"/>
      <c r="D38" s="300" t="s">
        <v>1589</v>
      </c>
      <c r="E38" s="523">
        <v>0</v>
      </c>
      <c r="F38" s="523">
        <f>42.69+51.13+2491.07+3800</f>
        <v>6384.89</v>
      </c>
      <c r="G38">
        <f>5292+1042.37</f>
        <v>6334.37</v>
      </c>
      <c r="H38" s="305"/>
      <c r="J38" s="305"/>
      <c r="L38" s="362"/>
      <c r="N38" s="315"/>
      <c r="O38" s="274">
        <f t="shared" si="4"/>
        <v>50.520000000000437</v>
      </c>
      <c r="P38" s="274" t="str">
        <f t="shared" si="3"/>
        <v>Amex</v>
      </c>
      <c r="Q38" s="282"/>
    </row>
    <row r="39" spans="2:19" ht="15" customHeight="1">
      <c r="B39" s="118"/>
      <c r="C39" s="118"/>
      <c r="H39" s="305"/>
      <c r="J39" s="305"/>
      <c r="L39" s="305"/>
      <c r="N39" s="305"/>
      <c r="O39" s="273"/>
      <c r="P39" s="273"/>
      <c r="Q39" s="282"/>
      <c r="R39" s="243"/>
    </row>
    <row r="40" spans="2:19" ht="15" customHeight="1">
      <c r="B40" s="727" t="str">
        <f>_xlfn.CONCAT("Wants - 30 - ",G46*0.3," / Actual = ",D41," (",ROUND((D41/G46)*100,2),")")</f>
        <v>Wants - 30 - 4042.632 / Actual = 1195.65 (8.87)</v>
      </c>
      <c r="C40" s="727"/>
      <c r="D40" s="727"/>
      <c r="E40" s="727"/>
      <c r="F40" s="318"/>
      <c r="H40" s="305"/>
      <c r="J40" s="305"/>
      <c r="L40" s="305"/>
      <c r="N40" s="305"/>
      <c r="O40" s="273"/>
      <c r="P40" s="273"/>
      <c r="Q40" s="282"/>
      <c r="S40" s="243"/>
    </row>
    <row r="41" spans="2:19" ht="15" customHeight="1">
      <c r="B41" s="727" t="str">
        <f>IF(ISNUMBER((SEARCH("Over",B$5))),"Operating under budget","Operating over budget")</f>
        <v>Operating over budget</v>
      </c>
      <c r="C41" s="727"/>
      <c r="D41" s="759">
        <f>(E$46-D5-D25-E45)</f>
        <v>1195.6500000000015</v>
      </c>
      <c r="E41" s="727"/>
      <c r="F41" s="319">
        <f>F42</f>
        <v>481.15000000000146</v>
      </c>
      <c r="H41" s="305"/>
      <c r="J41" s="305"/>
      <c r="L41" s="305"/>
      <c r="N41" s="305"/>
      <c r="O41" s="285">
        <f>0</f>
        <v>0</v>
      </c>
      <c r="P41" s="285" t="s">
        <v>899</v>
      </c>
      <c r="Q41" s="282">
        <f>SUM(Q42:Q42)</f>
        <v>0</v>
      </c>
      <c r="S41" s="243"/>
    </row>
    <row r="42" spans="2:19" ht="18" outlineLevel="1">
      <c r="B42" s="7"/>
      <c r="C42" s="284"/>
      <c r="D42" s="13" t="s">
        <v>922</v>
      </c>
      <c r="E42" s="523">
        <v>0</v>
      </c>
      <c r="F42" s="523">
        <f>D41-F43</f>
        <v>481.15000000000146</v>
      </c>
      <c r="G42" s="11">
        <f>9.99+10.01+1+6.5</f>
        <v>27.5</v>
      </c>
      <c r="H42">
        <f>7.49+23.28+46.99+13.7+0.77+27.57+5.52+5.52+8.99+2.15-15.99+16.54+4.65+13.5+8.99+9.49+31.18</f>
        <v>210.34000000000006</v>
      </c>
      <c r="J42">
        <f>18.5+9.1+18+17+7.9+7.8+8.3+3.2+3.2+63.55+4</f>
        <v>160.55000000000001</v>
      </c>
      <c r="N42" s="305"/>
      <c r="O42" s="274">
        <f>SUM(E42:F42)-SUM(G42:N42)</f>
        <v>82.760000000001355</v>
      </c>
      <c r="P42" s="274" t="str">
        <f>D42</f>
        <v>Matt Fun</v>
      </c>
      <c r="Q42" s="282">
        <f>IF(SUM(E42:F42)-SUM(G42:N42)&lt;=0,(SUM(E42:F42)-SUM(G42:N42))*-1,0)</f>
        <v>0</v>
      </c>
    </row>
    <row r="43" spans="2:19" ht="18" outlineLevel="1">
      <c r="B43" s="7"/>
      <c r="C43" s="284"/>
      <c r="D43" s="13" t="s">
        <v>152</v>
      </c>
      <c r="E43" s="523">
        <v>0</v>
      </c>
      <c r="F43" s="523">
        <f>100+52+148.5+150+20+18+55+100+37+34</f>
        <v>714.5</v>
      </c>
      <c r="G43" s="11">
        <v>40</v>
      </c>
      <c r="H43" s="306">
        <f>15.99+72+21.53+1.99-4.95-68.05+103.67+250+51.75+148.5+(36.96)+4.49+17.99+3.99+55-17.99</f>
        <v>692.87000000000012</v>
      </c>
      <c r="J43" s="305">
        <f>-24.61+43</f>
        <v>18.39</v>
      </c>
      <c r="L43" s="305"/>
      <c r="N43" s="305"/>
      <c r="O43" s="274">
        <f>SUM(E43:F43)-SUM(G43:N43)</f>
        <v>-36.760000000000105</v>
      </c>
      <c r="P43" s="274" t="str">
        <f>D43</f>
        <v>Kris</v>
      </c>
      <c r="Q43" s="271">
        <f>IF(F43-SUM(G43:N43)&lt;=0,(F43-SUM(G43:N43))*-1,0)</f>
        <v>36.760000000000105</v>
      </c>
    </row>
    <row r="44" spans="2:19" ht="18" outlineLevel="1">
      <c r="B44" s="7"/>
      <c r="C44" s="284"/>
      <c r="D44" s="13" t="s">
        <v>1641</v>
      </c>
      <c r="E44" s="523">
        <v>0</v>
      </c>
      <c r="F44" s="523">
        <v>0</v>
      </c>
      <c r="G44" s="11"/>
      <c r="H44" s="306">
        <f>113.39+20+16.5+120.96+24.44+56.01+64.43+81.36+84.12+76+28.52+105.65+139.68+7.27</f>
        <v>938.32999999999993</v>
      </c>
      <c r="J44" s="305"/>
      <c r="L44" s="305"/>
      <c r="N44" s="305"/>
      <c r="O44" s="274">
        <f>SUM(G44:N44)</f>
        <v>938.32999999999993</v>
      </c>
      <c r="P44" s="274" t="str">
        <f>D44</f>
        <v>Work</v>
      </c>
      <c r="Q44" s="271"/>
    </row>
    <row r="45" spans="2:19">
      <c r="B45" s="118"/>
      <c r="C45" s="118"/>
      <c r="E45" s="523">
        <f>E26</f>
        <v>0</v>
      </c>
      <c r="G45" s="349"/>
      <c r="J45" s="7"/>
      <c r="L45" s="7"/>
      <c r="N45" s="7"/>
      <c r="O45" s="273"/>
      <c r="P45" s="273"/>
      <c r="Q45" s="282"/>
    </row>
    <row r="46" spans="2:19" ht="18">
      <c r="B46" s="728" t="s">
        <v>817</v>
      </c>
      <c r="C46" s="728"/>
      <c r="D46" s="728"/>
      <c r="E46" s="529">
        <f>G46+I46+K46+M46+N46+E45</f>
        <v>13475.44</v>
      </c>
      <c r="F46" s="530"/>
      <c r="G46" s="271">
        <f>2491.07+3579.87+910+3800+40+140+100+52+148.5+150+20+18+1800+55+37+34+100</f>
        <v>13475.44</v>
      </c>
      <c r="H46" s="282"/>
      <c r="I46" s="271"/>
      <c r="J46" s="271"/>
      <c r="K46" s="271"/>
      <c r="L46" s="271"/>
      <c r="M46" s="271"/>
      <c r="N46" s="271"/>
      <c r="O46" s="314">
        <f>ROUND(O5+O41+O25+IF(O42&lt;0,0,O42)+O43+O4,2)</f>
        <v>4664.7700000000004</v>
      </c>
      <c r="P46" s="274"/>
      <c r="Q46" s="282">
        <f>SUM(Q41,Q25,Q5)</f>
        <v>91.460000000000036</v>
      </c>
    </row>
    <row r="47" spans="2:19" ht="18">
      <c r="B47" s="118"/>
      <c r="C47" s="7"/>
      <c r="D47" s="13" t="s">
        <v>1451</v>
      </c>
      <c r="G47" s="523"/>
      <c r="H47" s="243"/>
      <c r="L47" s="243"/>
    </row>
    <row r="48" spans="2:19" ht="14.4">
      <c r="B48" s="729"/>
      <c r="C48" s="729"/>
      <c r="D48" s="729"/>
      <c r="E48" s="729"/>
      <c r="F48" s="729"/>
      <c r="G48" s="729"/>
      <c r="H48" s="297"/>
      <c r="K48" s="729"/>
      <c r="L48" s="729"/>
      <c r="M48" s="729"/>
      <c r="N48" s="729"/>
      <c r="O48" s="729"/>
      <c r="P48" s="297"/>
    </row>
    <row r="49" spans="2:18" ht="15" customHeight="1">
      <c r="B49" s="726" t="s">
        <v>955</v>
      </c>
      <c r="C49" s="726"/>
      <c r="E49"/>
      <c r="F49" s="348"/>
      <c r="H49" s="243"/>
      <c r="K49" s="212"/>
      <c r="L49" s="212"/>
      <c r="M49" s="243"/>
      <c r="N49" s="118" t="s">
        <v>2210</v>
      </c>
      <c r="O49" s="316">
        <v>45801</v>
      </c>
      <c r="P49" s="7">
        <f ca="1">DATEDIF(O49,NOW(),"d")</f>
        <v>450</v>
      </c>
      <c r="Q49">
        <v>487</v>
      </c>
      <c r="R49" t="s">
        <v>1233</v>
      </c>
    </row>
    <row r="50" spans="2:18">
      <c r="B50" s="523"/>
      <c r="C50" s="38"/>
      <c r="E50"/>
      <c r="F50" s="11"/>
      <c r="G50" s="531"/>
      <c r="I50" s="243"/>
      <c r="K50" s="11"/>
      <c r="L50" s="243"/>
      <c r="N50" s="483" t="s">
        <v>2202</v>
      </c>
      <c r="O50" s="42">
        <v>45795</v>
      </c>
      <c r="P50" s="7">
        <f ca="1">DATEDIF(O50,NOW(),"d")</f>
        <v>456</v>
      </c>
      <c r="Q50">
        <v>5.46</v>
      </c>
      <c r="R50" t="s">
        <v>2203</v>
      </c>
    </row>
    <row r="51" spans="2:18">
      <c r="E51" s="534"/>
      <c r="F51" s="534"/>
      <c r="G51" s="458"/>
      <c r="H51" s="445"/>
      <c r="I51" s="11"/>
      <c r="J51" s="243"/>
      <c r="L51" s="243"/>
      <c r="N51" s="358" t="s">
        <v>2204</v>
      </c>
      <c r="O51" s="316">
        <v>45795</v>
      </c>
      <c r="P51" s="7">
        <f ca="1">DATEDIF(O51,NOW(),"d")</f>
        <v>456</v>
      </c>
      <c r="Q51">
        <v>3.2</v>
      </c>
      <c r="R51" t="s">
        <v>2205</v>
      </c>
    </row>
    <row r="52" spans="2:18" ht="16.2" customHeight="1">
      <c r="E52" s="534"/>
      <c r="F52" s="540" t="s">
        <v>2185</v>
      </c>
      <c r="G52" s="458">
        <v>3800</v>
      </c>
      <c r="H52" s="243"/>
      <c r="I52" s="243"/>
      <c r="K52" s="213"/>
      <c r="L52" s="243"/>
      <c r="N52" t="s">
        <v>2206</v>
      </c>
    </row>
    <row r="53" spans="2:18">
      <c r="B53" s="532"/>
      <c r="D53" s="243"/>
      <c r="E53"/>
      <c r="F53" t="s">
        <v>2186</v>
      </c>
      <c r="G53">
        <v>6334</v>
      </c>
      <c r="H53" s="243"/>
      <c r="J53" s="243"/>
      <c r="M53" s="243"/>
      <c r="P53"/>
    </row>
    <row r="54" spans="2:18" ht="14.4">
      <c r="E54" s="11"/>
      <c r="F54" s="390" t="s">
        <v>2187</v>
      </c>
      <c r="G54">
        <f>787.36+525.3+980.14</f>
        <v>2292.7999999999997</v>
      </c>
      <c r="H54" s="243"/>
      <c r="I54" t="s">
        <v>2189</v>
      </c>
      <c r="J54" s="243">
        <f>3289.63</f>
        <v>3289.63</v>
      </c>
      <c r="M54" s="243"/>
      <c r="P54"/>
      <c r="Q54" s="243"/>
    </row>
    <row r="55" spans="2:18">
      <c r="E55" s="534"/>
      <c r="F55" s="492" t="s">
        <v>2188</v>
      </c>
      <c r="G55" s="515">
        <f>G52-G54</f>
        <v>1507.2000000000003</v>
      </c>
      <c r="H55" s="515"/>
      <c r="I55" t="s">
        <v>727</v>
      </c>
      <c r="J55" s="243">
        <f>I4</f>
        <v>9013.9700000000012</v>
      </c>
      <c r="K55" s="725"/>
      <c r="L55" s="725"/>
      <c r="M55" s="243"/>
      <c r="P55" s="292"/>
      <c r="Q55" s="212"/>
    </row>
    <row r="56" spans="2:18" ht="15" customHeight="1">
      <c r="F56" s="55"/>
      <c r="G56" s="243"/>
      <c r="H56" s="243"/>
      <c r="I56" t="s">
        <v>2190</v>
      </c>
      <c r="J56" s="243">
        <f>J55-J54</f>
        <v>5724.3400000000011</v>
      </c>
      <c r="K56" s="353"/>
      <c r="L56" t="s">
        <v>2198</v>
      </c>
      <c r="M56" s="243">
        <f>O46+J54</f>
        <v>7954.4000000000005</v>
      </c>
      <c r="N56" s="243"/>
      <c r="P56" s="56"/>
      <c r="Q56" s="38"/>
    </row>
    <row r="57" spans="2:18">
      <c r="F57" s="534" t="s">
        <v>1008</v>
      </c>
      <c r="G57">
        <v>25.11</v>
      </c>
      <c r="H57" s="243"/>
      <c r="I57" t="s">
        <v>2191</v>
      </c>
      <c r="J57" s="243">
        <f>J56</f>
        <v>5724.3400000000011</v>
      </c>
      <c r="L57" t="s">
        <v>2199</v>
      </c>
      <c r="M57" s="243">
        <f>M56-I4-J4-O42-O5</f>
        <v>-1492.4000000000019</v>
      </c>
      <c r="O57"/>
      <c r="P57"/>
    </row>
    <row r="58" spans="2:18" ht="15" customHeight="1">
      <c r="F58" t="s">
        <v>1226</v>
      </c>
      <c r="G58" s="243"/>
      <c r="I58" t="s">
        <v>2192</v>
      </c>
      <c r="J58" s="243">
        <f>J57-192</f>
        <v>5532.3400000000011</v>
      </c>
      <c r="L58" t="s">
        <v>2200</v>
      </c>
      <c r="M58" s="243">
        <f>M57+189</f>
        <v>-1303.4000000000019</v>
      </c>
    </row>
    <row r="59" spans="2:18" ht="16.2" customHeight="1">
      <c r="E59" s="781"/>
      <c r="F59"/>
      <c r="I59" t="s">
        <v>2193</v>
      </c>
      <c r="J59" s="243">
        <f>J58-1100</f>
        <v>4432.3400000000011</v>
      </c>
      <c r="L59" s="358" t="s">
        <v>2207</v>
      </c>
      <c r="M59" s="501">
        <f>M58+100</f>
        <v>-1203.4000000000019</v>
      </c>
      <c r="N59" t="s">
        <v>2208</v>
      </c>
    </row>
    <row r="60" spans="2:18">
      <c r="B60" s="11"/>
      <c r="E60" s="781"/>
      <c r="F60" s="534"/>
      <c r="H60" s="243"/>
      <c r="I60" s="243" t="s">
        <v>2194</v>
      </c>
      <c r="J60" s="390">
        <f>J59-100</f>
        <v>4332.3400000000011</v>
      </c>
      <c r="L60" s="242" t="s">
        <v>2201</v>
      </c>
      <c r="M60" s="500">
        <f>M59+560</f>
        <v>-643.40000000000191</v>
      </c>
      <c r="O60"/>
      <c r="P60"/>
    </row>
    <row r="61" spans="2:18">
      <c r="B61" s="11"/>
      <c r="E61" s="284"/>
      <c r="F61" s="534"/>
      <c r="G61" s="369"/>
      <c r="I61" s="248" t="s">
        <v>2195</v>
      </c>
      <c r="J61" s="390">
        <f>J60-24</f>
        <v>4308.3400000000011</v>
      </c>
      <c r="O61"/>
      <c r="P61"/>
    </row>
    <row r="62" spans="2:18">
      <c r="E62" s="534"/>
      <c r="F62" s="523">
        <f>I4+95.27+SUM(F69:F74)</f>
        <v>9495.4700000000012</v>
      </c>
      <c r="G62" s="369"/>
      <c r="I62" t="s">
        <v>2196</v>
      </c>
      <c r="J62" s="390">
        <f>J61-H4</f>
        <v>32.700000000000728</v>
      </c>
      <c r="L62" s="243"/>
      <c r="M62" s="243"/>
      <c r="O62"/>
      <c r="P62"/>
    </row>
    <row r="63" spans="2:18">
      <c r="B63" s="212"/>
      <c r="C63" s="212"/>
      <c r="F63" s="534"/>
      <c r="G63" s="532"/>
      <c r="I63" s="516" t="s">
        <v>2197</v>
      </c>
      <c r="J63" s="79">
        <f>J62-560</f>
        <v>-527.29999999999927</v>
      </c>
      <c r="K63" s="118"/>
      <c r="L63" s="243"/>
      <c r="O63"/>
      <c r="P63"/>
    </row>
    <row r="64" spans="2:18">
      <c r="C64" s="56"/>
      <c r="F64">
        <v>9464.2900000000009</v>
      </c>
      <c r="G64" s="243">
        <f>F64-95.27</f>
        <v>9369.02</v>
      </c>
      <c r="I64" s="494" t="s">
        <v>1226</v>
      </c>
      <c r="J64" s="79">
        <f>J63+250</f>
        <v>-277.29999999999927</v>
      </c>
      <c r="L64" s="243"/>
      <c r="O64"/>
      <c r="P64"/>
    </row>
    <row r="65" spans="2:16" ht="15.75" customHeight="1">
      <c r="C65" s="56"/>
      <c r="F65"/>
      <c r="G65" s="243"/>
      <c r="L65" s="243"/>
      <c r="M65" s="243"/>
      <c r="O65"/>
      <c r="P65"/>
    </row>
    <row r="66" spans="2:16">
      <c r="C66" s="56"/>
      <c r="E66"/>
      <c r="F66" s="534"/>
      <c r="G66" s="243"/>
      <c r="L66">
        <f>11714.86</f>
        <v>11714.86</v>
      </c>
      <c r="M66" s="243"/>
      <c r="O66"/>
      <c r="P66"/>
    </row>
    <row r="67" spans="2:16">
      <c r="C67" s="56"/>
      <c r="D67" s="188"/>
      <c r="E67" t="s">
        <v>782</v>
      </c>
      <c r="F67" s="534">
        <v>63.66</v>
      </c>
      <c r="G67" s="243"/>
      <c r="L67" s="243">
        <f>L66-G64-J4</f>
        <v>2023.0400000000002</v>
      </c>
      <c r="O67"/>
      <c r="P67"/>
    </row>
    <row r="68" spans="2:16">
      <c r="C68" s="56"/>
      <c r="G68" s="243"/>
      <c r="O68"/>
      <c r="P68"/>
    </row>
    <row r="69" spans="2:16">
      <c r="C69" s="56"/>
      <c r="E69" s="407" t="s">
        <v>1037</v>
      </c>
      <c r="F69" s="534">
        <v>93.96</v>
      </c>
      <c r="G69" s="243"/>
      <c r="I69">
        <v>93.96</v>
      </c>
      <c r="O69"/>
      <c r="P69"/>
    </row>
    <row r="70" spans="2:16">
      <c r="C70" s="56"/>
      <c r="E70" t="s">
        <v>2211</v>
      </c>
      <c r="F70" s="523">
        <v>75.900000000000006</v>
      </c>
      <c r="G70" t="s">
        <v>2212</v>
      </c>
      <c r="I70" s="407">
        <v>33.96</v>
      </c>
      <c r="J70" s="79"/>
      <c r="N70" s="288"/>
      <c r="O70"/>
      <c r="P70"/>
    </row>
    <row r="71" spans="2:16">
      <c r="C71" s="56"/>
      <c r="E71" s="347" t="s">
        <v>1251</v>
      </c>
      <c r="F71" s="523">
        <v>33.96</v>
      </c>
      <c r="I71">
        <v>75.900000000000006</v>
      </c>
      <c r="O71"/>
      <c r="P71"/>
    </row>
    <row r="72" spans="2:16">
      <c r="C72" s="56"/>
      <c r="E72" t="s">
        <v>2213</v>
      </c>
      <c r="F72" s="545">
        <v>149.01</v>
      </c>
      <c r="G72">
        <f>(F72-25)/2</f>
        <v>62.004999999999995</v>
      </c>
      <c r="J72" s="118"/>
      <c r="L72" s="243"/>
      <c r="O72"/>
      <c r="P72"/>
    </row>
    <row r="73" spans="2:16" ht="14.4">
      <c r="C73" s="56"/>
      <c r="E73" s="407" t="s">
        <v>1070</v>
      </c>
      <c r="F73">
        <f>4.66+14.49</f>
        <v>19.149999999999999</v>
      </c>
      <c r="G73" s="407"/>
      <c r="H73" s="407"/>
      <c r="I73" s="407"/>
      <c r="J73" s="407"/>
      <c r="O73"/>
      <c r="P73"/>
    </row>
    <row r="74" spans="2:16" ht="15.45" customHeight="1">
      <c r="C74" s="56"/>
      <c r="E74" s="407" t="s">
        <v>1075</v>
      </c>
      <c r="F74" s="11">
        <f>10.6+3.65</f>
        <v>14.25</v>
      </c>
      <c r="G74" s="407"/>
      <c r="H74" s="407"/>
      <c r="I74" s="407"/>
      <c r="J74" s="407"/>
      <c r="K74" s="407"/>
      <c r="L74" s="407"/>
      <c r="M74" s="407"/>
      <c r="O74"/>
      <c r="P74"/>
    </row>
    <row r="75" spans="2:16" ht="14.4">
      <c r="D75" s="459"/>
      <c r="E75" s="243"/>
      <c r="F75" s="459"/>
      <c r="G75" s="243"/>
      <c r="O75"/>
      <c r="P75"/>
    </row>
    <row r="76" spans="2:16">
      <c r="B76" s="212"/>
      <c r="C76" s="294"/>
      <c r="D76" s="188"/>
      <c r="E76" s="545" t="s">
        <v>1363</v>
      </c>
      <c r="O76"/>
      <c r="P76"/>
    </row>
    <row r="77" spans="2:16" ht="15.45" customHeight="1">
      <c r="C77" s="56"/>
      <c r="E77" t="s">
        <v>2214</v>
      </c>
      <c r="F77" s="188">
        <v>63.55</v>
      </c>
      <c r="G77">
        <f>F77/2</f>
        <v>31.774999999999999</v>
      </c>
      <c r="M77" s="243"/>
      <c r="O77"/>
      <c r="P77"/>
    </row>
    <row r="78" spans="2:16">
      <c r="C78" s="56"/>
      <c r="E78" s="532"/>
      <c r="F78"/>
      <c r="G78" s="532"/>
      <c r="O78"/>
      <c r="P78"/>
    </row>
    <row r="79" spans="2:16">
      <c r="C79" s="56"/>
      <c r="E79" s="523">
        <v>78</v>
      </c>
      <c r="F79" s="545" t="s">
        <v>1981</v>
      </c>
      <c r="L79" s="459"/>
      <c r="M79" s="461"/>
      <c r="O79"/>
      <c r="P79"/>
    </row>
    <row r="80" spans="2:16">
      <c r="C80" s="56"/>
      <c r="D80" s="426"/>
      <c r="E80" s="533">
        <v>30</v>
      </c>
      <c r="F80" s="545" t="s">
        <v>2215</v>
      </c>
      <c r="L80" s="188"/>
      <c r="M80" s="230"/>
      <c r="O80"/>
      <c r="P80"/>
    </row>
    <row r="81" spans="3:16">
      <c r="C81" s="56"/>
      <c r="D81" s="405"/>
      <c r="E81" s="407"/>
      <c r="L81" s="188"/>
      <c r="M81" s="230"/>
      <c r="O81"/>
      <c r="P81"/>
    </row>
    <row r="82" spans="3:16">
      <c r="C82" s="56"/>
      <c r="D82" s="532"/>
      <c r="E82"/>
      <c r="L82" s="188"/>
      <c r="M82" s="230"/>
      <c r="O82"/>
      <c r="P82"/>
    </row>
    <row r="83" spans="3:16">
      <c r="E83" s="533"/>
      <c r="L83" s="188"/>
      <c r="M83" s="230"/>
      <c r="O83"/>
      <c r="P83"/>
    </row>
    <row r="84" spans="3:16">
      <c r="E84" s="533"/>
      <c r="L84" s="532"/>
      <c r="M84" s="230"/>
      <c r="O84"/>
      <c r="P84"/>
    </row>
    <row r="85" spans="3:16">
      <c r="E85" s="533"/>
      <c r="F85" s="212"/>
      <c r="L85" s="405"/>
      <c r="M85" s="230"/>
      <c r="O85"/>
      <c r="P85"/>
    </row>
    <row r="86" spans="3:16" ht="14.4">
      <c r="E86"/>
      <c r="F86"/>
      <c r="L86" s="405"/>
      <c r="M86" s="462"/>
      <c r="O86"/>
      <c r="P86"/>
    </row>
    <row r="87" spans="3:16" ht="14.4">
      <c r="E87"/>
      <c r="F87"/>
      <c r="O87"/>
      <c r="P87"/>
    </row>
    <row r="88" spans="3:16" ht="14.4">
      <c r="E88"/>
      <c r="F88"/>
      <c r="O88"/>
      <c r="P88"/>
    </row>
    <row r="89" spans="3:16" ht="14.4">
      <c r="E89" s="292"/>
      <c r="F89" s="56"/>
      <c r="O89"/>
      <c r="P89"/>
    </row>
    <row r="90" spans="3:16" ht="14.4">
      <c r="E90" s="42"/>
      <c r="F90" s="56"/>
      <c r="O90"/>
      <c r="P90"/>
    </row>
    <row r="91" spans="3:16" ht="14.4">
      <c r="E91" s="56"/>
      <c r="F91" s="56"/>
      <c r="O91"/>
      <c r="P91"/>
    </row>
    <row r="92" spans="3:16">
      <c r="O92"/>
      <c r="P92"/>
    </row>
    <row r="93" spans="3:16" ht="14.4">
      <c r="E93" s="212"/>
      <c r="F93" s="212"/>
      <c r="O93"/>
      <c r="P93"/>
    </row>
    <row r="94" spans="3:16" ht="14.4">
      <c r="E94"/>
      <c r="F94" s="56"/>
      <c r="O94"/>
      <c r="P94"/>
    </row>
    <row r="95" spans="3:16" ht="14.4">
      <c r="E95" s="56"/>
      <c r="F95" s="56"/>
      <c r="O95"/>
      <c r="P95"/>
    </row>
    <row r="96" spans="3:16" ht="14.4">
      <c r="E96" s="56"/>
      <c r="F96" s="56"/>
      <c r="G96" s="407"/>
      <c r="O96"/>
      <c r="P96"/>
    </row>
    <row r="97" spans="5:16" ht="14.4">
      <c r="E97" s="56"/>
      <c r="F97" s="56"/>
      <c r="G97" s="407"/>
      <c r="O97"/>
      <c r="P97"/>
    </row>
    <row r="98" spans="5:16" ht="14.4">
      <c r="E98" s="56"/>
      <c r="F98" s="56"/>
      <c r="G98" s="407"/>
      <c r="O98"/>
      <c r="P98"/>
    </row>
    <row r="99" spans="5:16" ht="14.4">
      <c r="E99" s="56"/>
      <c r="F99" s="56"/>
      <c r="G99" s="407"/>
      <c r="O99"/>
      <c r="P99"/>
    </row>
    <row r="100" spans="5:16">
      <c r="G100" s="407"/>
      <c r="O100"/>
      <c r="P100"/>
    </row>
    <row r="101" spans="5:16">
      <c r="G101" s="407"/>
      <c r="O101"/>
      <c r="P101"/>
    </row>
    <row r="102" spans="5:16">
      <c r="G102" s="407"/>
      <c r="O102"/>
      <c r="P102"/>
    </row>
    <row r="103" spans="5:16">
      <c r="G103" s="407"/>
    </row>
  </sheetData>
  <mergeCells count="23">
    <mergeCell ref="B4:E4"/>
    <mergeCell ref="B1:O1"/>
    <mergeCell ref="G3:H3"/>
    <mergeCell ref="I3:J3"/>
    <mergeCell ref="K3:L3"/>
    <mergeCell ref="M3:N3"/>
    <mergeCell ref="B46:D46"/>
    <mergeCell ref="B5:C5"/>
    <mergeCell ref="D5:E5"/>
    <mergeCell ref="B6:B20"/>
    <mergeCell ref="C6:C20"/>
    <mergeCell ref="E10:F10"/>
    <mergeCell ref="B24:E24"/>
    <mergeCell ref="B25:C25"/>
    <mergeCell ref="D25:E25"/>
    <mergeCell ref="B40:E40"/>
    <mergeCell ref="B41:C41"/>
    <mergeCell ref="D41:E41"/>
    <mergeCell ref="B48:G48"/>
    <mergeCell ref="K48:O48"/>
    <mergeCell ref="B49:C49"/>
    <mergeCell ref="K55:L55"/>
    <mergeCell ref="E59:E60"/>
  </mergeCells>
  <pageMargins left="0.7" right="0.7" top="0.75" bottom="0.75" header="0.3" footer="0.3"/>
  <pageSetup orientation="portrait" r:id="rId1"/>
  <legacyDrawing r:id="rId2"/>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23C5B-71CB-F44B-BC61-8784626B9A2E}">
  <dimension ref="A1:T107"/>
  <sheetViews>
    <sheetView topLeftCell="D31" zoomScale="90" zoomScaleNormal="90" workbookViewId="0">
      <selection activeCell="H7" sqref="H7"/>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0" ht="25.5" customHeight="1">
      <c r="A1" t="str">
        <f ca="1">UPPER(TEXT((1&amp;LEFT(B$1,3))-1,"MMM"))&amp;"-"&amp;UPPER(TEXT((1&amp;RIGHT(LEFT(B$1,7),3))-1,"MMM"))&amp;" "&amp;RIGHT(B$1,4)</f>
        <v>APR-MAY N 25</v>
      </c>
      <c r="B1" s="730" t="str">
        <f ca="1">MID(CELL("filename",B1),FIND("]",CELL("filename",B1))+1,255)</f>
        <v>MAY-JUN 25</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ROUND(O5+O43+O27+IF(O44&lt;0,0,O44)+O45+O4,2) &amp; " / " &amp; "£" &amp; E47</f>
        <v>£1484.45 / £4566.69</v>
      </c>
      <c r="G3" s="732">
        <v>45772</v>
      </c>
      <c r="H3" s="732"/>
      <c r="I3" s="732">
        <f>G3+7</f>
        <v>45779</v>
      </c>
      <c r="J3" s="732"/>
      <c r="K3" s="732">
        <f>I3+7</f>
        <v>45786</v>
      </c>
      <c r="L3" s="732"/>
      <c r="M3" s="732">
        <f>K3+7</f>
        <v>45793</v>
      </c>
      <c r="N3" s="732"/>
      <c r="O3" s="308">
        <v>0</v>
      </c>
      <c r="P3" s="325" t="s">
        <v>1224</v>
      </c>
      <c r="Q3" s="282"/>
    </row>
    <row r="4" spans="1:20" ht="15" customHeight="1">
      <c r="B4" s="727" t="str">
        <f>_xlfn.CONCAT("Expenses - 50 - ",G47*0.5," / Actual = ",ROUND(D5,2)," (",ROUND((D5/G47)*100,2),")")</f>
        <v>Expenses - 50 - 2283.345 / Actual = 3451.5 (75.58)</v>
      </c>
      <c r="C4" s="727"/>
      <c r="D4" s="727"/>
      <c r="E4" s="727"/>
      <c r="F4" s="318"/>
      <c r="G4" s="243"/>
      <c r="H4" s="304">
        <f>SUM(H5:H45)-I4</f>
        <v>2889.7900000000004</v>
      </c>
      <c r="I4" s="243"/>
      <c r="J4" s="304">
        <f>SUM(J5:J45)</f>
        <v>532.59</v>
      </c>
      <c r="K4" s="243"/>
      <c r="L4" s="304">
        <f>SUM(L5:L45)</f>
        <v>0</v>
      </c>
      <c r="M4" s="243"/>
      <c r="N4" s="304">
        <f>SUM(N5:N45)-SUM(N29:N35)</f>
        <v>0</v>
      </c>
      <c r="O4" s="308">
        <f>IF(H46&lt;&gt;"PAID",H4,0)+IF(J46&lt;&gt;"PAID",J4,0)+IF(L46&lt;&gt;"PAID",L4,0)+IF(N46&lt;&gt;"PAID",N4,0)</f>
        <v>3422.3800000000006</v>
      </c>
      <c r="P4" s="309" t="s">
        <v>973</v>
      </c>
      <c r="Q4" s="408"/>
      <c r="R4" s="243"/>
      <c r="S4" s="243"/>
    </row>
    <row r="5" spans="1:20" ht="15" customHeight="1">
      <c r="B5" s="733" t="str">
        <f>IF(D5&gt;E$47*0.5,ROUND(D5-E$47*0.5,2) &amp; " Over",ROUND(E$47*0.5-D5,2) &amp; " Under")</f>
        <v>1168.16 Over</v>
      </c>
      <c r="C5" s="733"/>
      <c r="D5" s="761">
        <f>ROUND(SUM(F6:F24),2)</f>
        <v>3451.5</v>
      </c>
      <c r="E5" s="761"/>
      <c r="F5" s="321"/>
      <c r="G5" s="284"/>
      <c r="H5" s="306"/>
      <c r="I5" s="390"/>
      <c r="J5" s="306"/>
      <c r="K5" s="390"/>
      <c r="L5" s="306"/>
      <c r="M5" s="79"/>
      <c r="N5" s="305"/>
      <c r="O5" s="285">
        <f>SUMIF(O6:O24,"&gt;0")</f>
        <v>253.05999999999997</v>
      </c>
      <c r="P5" s="285" t="s">
        <v>892</v>
      </c>
      <c r="Q5" s="282">
        <f>SUM(Q6:Q24)</f>
        <v>121.89</v>
      </c>
      <c r="R5" s="243"/>
    </row>
    <row r="6" spans="1:20" ht="15" customHeight="1">
      <c r="B6" s="734" t="str">
        <f>"50%: " &amp; E$47*0.5</f>
        <v>50%: 2283.345</v>
      </c>
      <c r="C6" s="734" t="str">
        <f>ROUND((D5/E$47)*100,2) &amp; "%: " &amp;D5</f>
        <v>75.58%: 3451.5</v>
      </c>
      <c r="D6" s="13" t="s">
        <v>805</v>
      </c>
      <c r="E6" s="523">
        <v>0</v>
      </c>
      <c r="F6" s="528">
        <v>150</v>
      </c>
      <c r="H6" s="304">
        <f>27.14+20.04+30.44+21.66+20.04</f>
        <v>119.32</v>
      </c>
      <c r="J6" s="305"/>
      <c r="L6" s="305"/>
      <c r="N6" s="305"/>
      <c r="O6" s="274">
        <f>SUM(E6:F6)-SUM(G6:N6)</f>
        <v>30.680000000000007</v>
      </c>
      <c r="P6" s="274" t="str">
        <f t="shared" ref="P6:P24" si="0">D6</f>
        <v>Car Petrol / commuting</v>
      </c>
      <c r="Q6" s="282">
        <f>IF(O6&lt;0,O6*-1,0)</f>
        <v>0</v>
      </c>
      <c r="R6" s="243"/>
    </row>
    <row r="7" spans="1:20" ht="15" customHeight="1">
      <c r="B7" s="734"/>
      <c r="C7" s="734"/>
      <c r="D7" s="13" t="s">
        <v>169</v>
      </c>
      <c r="E7" s="523">
        <v>0</v>
      </c>
      <c r="F7" s="523">
        <v>400</v>
      </c>
      <c r="H7" s="304">
        <f>95.27+0.8+57.79+2.48+11.79+51.09+78.94+118.6+79.63</f>
        <v>496.39</v>
      </c>
      <c r="J7" s="305">
        <f>17.1</f>
        <v>17.100000000000001</v>
      </c>
      <c r="L7" s="305"/>
      <c r="N7" s="305"/>
      <c r="O7" s="274">
        <f>SUM(E7:F7)-SUM(G7:N7)</f>
        <v>-113.49000000000001</v>
      </c>
      <c r="P7" s="274" t="str">
        <f t="shared" si="0"/>
        <v>Food</v>
      </c>
      <c r="Q7" s="282">
        <f>IF(O7&lt;0,O7*-1,0)</f>
        <v>113.49000000000001</v>
      </c>
      <c r="R7" s="243"/>
    </row>
    <row r="8" spans="1:20" ht="15" customHeight="1">
      <c r="B8" s="734"/>
      <c r="C8" s="734"/>
      <c r="D8" s="13" t="s">
        <v>153</v>
      </c>
      <c r="E8" s="523">
        <v>0</v>
      </c>
      <c r="F8" s="523">
        <v>90</v>
      </c>
      <c r="H8" s="305"/>
      <c r="J8" s="305">
        <f>67.53</f>
        <v>67.53</v>
      </c>
      <c r="L8" s="305"/>
      <c r="N8" s="305"/>
      <c r="O8" s="274">
        <f>SUM(E8:F8)-SUM(G8:N8)</f>
        <v>22.47</v>
      </c>
      <c r="P8" s="274" t="str">
        <f t="shared" si="0"/>
        <v>Luna</v>
      </c>
      <c r="Q8" s="282">
        <f>IF(O8&lt;0,O8*-1,0)</f>
        <v>0</v>
      </c>
    </row>
    <row r="9" spans="1:20" ht="15" customHeight="1">
      <c r="B9" s="734"/>
      <c r="C9" s="734"/>
      <c r="D9" s="13" t="s">
        <v>1079</v>
      </c>
      <c r="E9" s="523">
        <v>0</v>
      </c>
      <c r="F9" s="523">
        <f>30</f>
        <v>30</v>
      </c>
      <c r="H9" s="305"/>
      <c r="J9" s="305"/>
      <c r="L9" s="305"/>
      <c r="N9" s="305"/>
      <c r="O9" s="274">
        <f>SUM(E9:F9)-SUM(G9:N9)</f>
        <v>30</v>
      </c>
      <c r="P9" s="274" t="str">
        <f t="shared" si="0"/>
        <v>Creamy</v>
      </c>
      <c r="Q9" s="282">
        <f>IF(O9&lt;0,O9*-1,0)</f>
        <v>0</v>
      </c>
      <c r="R9" s="243"/>
    </row>
    <row r="10" spans="1:20" ht="15" customHeight="1">
      <c r="B10" s="734"/>
      <c r="C10" s="734"/>
      <c r="D10" s="13" t="s">
        <v>189</v>
      </c>
      <c r="E10" s="735">
        <f>SUM(F11:F24)</f>
        <v>2781.4999999999995</v>
      </c>
      <c r="F10" s="735"/>
      <c r="G10" s="243"/>
      <c r="H10" s="305"/>
      <c r="J10" s="305"/>
      <c r="L10" s="305"/>
      <c r="N10" s="305"/>
      <c r="O10" s="274"/>
      <c r="P10" s="274" t="str">
        <f t="shared" si="0"/>
        <v>Direct debits</v>
      </c>
      <c r="Q10" s="282"/>
      <c r="R10" s="243"/>
    </row>
    <row r="11" spans="1:20" ht="15" customHeight="1" outlineLevel="1">
      <c r="B11" s="734"/>
      <c r="C11" s="734"/>
      <c r="D11" s="201" t="s">
        <v>595</v>
      </c>
      <c r="E11" s="523">
        <v>0</v>
      </c>
      <c r="F11" s="523">
        <v>838</v>
      </c>
      <c r="G11">
        <v>838</v>
      </c>
      <c r="H11" s="304"/>
      <c r="J11" s="305"/>
      <c r="L11" s="305"/>
      <c r="N11" s="305"/>
      <c r="O11" s="274">
        <f t="shared" ref="O11:O24" si="1">SUM(E11:F11)-SUM(G11:N11)</f>
        <v>0</v>
      </c>
      <c r="P11" s="274" t="str">
        <f t="shared" si="0"/>
        <v>Mortgage</v>
      </c>
      <c r="Q11" s="282">
        <f t="shared" ref="Q11:Q24" si="2">IF(O11&lt;0,O11*-1,0)</f>
        <v>0</v>
      </c>
      <c r="R11" s="243"/>
      <c r="S11" s="11"/>
    </row>
    <row r="12" spans="1:20" ht="15" customHeight="1" outlineLevel="1">
      <c r="B12" s="734"/>
      <c r="C12" s="734"/>
      <c r="D12" s="201" t="s">
        <v>596</v>
      </c>
      <c r="E12" s="523">
        <v>0</v>
      </c>
      <c r="F12" s="523">
        <v>168</v>
      </c>
      <c r="G12">
        <v>168</v>
      </c>
      <c r="H12" s="305"/>
      <c r="J12" s="305"/>
      <c r="L12" s="305"/>
      <c r="N12" s="305"/>
      <c r="O12" s="274">
        <f t="shared" si="1"/>
        <v>0</v>
      </c>
      <c r="P12" s="274" t="str">
        <f t="shared" si="0"/>
        <v>Council tax</v>
      </c>
      <c r="Q12" s="282">
        <f t="shared" si="2"/>
        <v>0</v>
      </c>
      <c r="S12" s="349"/>
    </row>
    <row r="13" spans="1:20" ht="15" customHeight="1" outlineLevel="1">
      <c r="B13" s="734"/>
      <c r="C13" s="734"/>
      <c r="D13" s="201" t="s">
        <v>1002</v>
      </c>
      <c r="E13" s="523">
        <v>0</v>
      </c>
      <c r="F13" s="523">
        <f>49+107.15</f>
        <v>156.15</v>
      </c>
      <c r="G13">
        <f>49+107.15</f>
        <v>156.15</v>
      </c>
      <c r="H13" s="305"/>
      <c r="J13" s="305"/>
      <c r="L13" s="305"/>
      <c r="N13" s="305"/>
      <c r="O13" s="274">
        <f t="shared" si="1"/>
        <v>0</v>
      </c>
      <c r="P13" s="274" t="str">
        <f t="shared" si="0"/>
        <v>Utilities (G,W,E,HTB)</v>
      </c>
      <c r="Q13" s="282">
        <f t="shared" si="2"/>
        <v>0</v>
      </c>
    </row>
    <row r="14" spans="1:20" ht="15" customHeight="1" outlineLevel="1">
      <c r="B14" s="734"/>
      <c r="C14" s="734"/>
      <c r="D14" s="201" t="s">
        <v>996</v>
      </c>
      <c r="E14" s="523">
        <v>0</v>
      </c>
      <c r="F14" s="523">
        <v>72.849999999999994</v>
      </c>
      <c r="H14" s="305"/>
      <c r="J14" s="305">
        <v>72.849999999999994</v>
      </c>
      <c r="L14" s="305"/>
      <c r="N14" s="305"/>
      <c r="O14" s="274">
        <f t="shared" si="1"/>
        <v>0</v>
      </c>
      <c r="P14" s="274" t="str">
        <f t="shared" si="0"/>
        <v>Home Insurance</v>
      </c>
      <c r="Q14" s="282">
        <f t="shared" si="2"/>
        <v>0</v>
      </c>
    </row>
    <row r="15" spans="1:20" ht="15" customHeight="1" outlineLevel="1">
      <c r="B15" s="734"/>
      <c r="C15" s="734"/>
      <c r="D15" s="201" t="s">
        <v>1056</v>
      </c>
      <c r="E15" s="523">
        <v>0</v>
      </c>
      <c r="F15" s="523">
        <f>9.99+31.99+20.99</f>
        <v>62.97</v>
      </c>
      <c r="G15">
        <f>31.99+22.99+9.99</f>
        <v>64.97</v>
      </c>
      <c r="H15" s="305"/>
      <c r="J15" s="305"/>
      <c r="L15" s="305"/>
      <c r="N15" s="305"/>
      <c r="O15" s="274">
        <f t="shared" si="1"/>
        <v>-2</v>
      </c>
      <c r="P15" s="274" t="str">
        <f t="shared" si="0"/>
        <v>Pet Health / Insurance</v>
      </c>
      <c r="Q15" s="282">
        <f t="shared" si="2"/>
        <v>2</v>
      </c>
    </row>
    <row r="16" spans="1:20" ht="15" customHeight="1" outlineLevel="1">
      <c r="B16" s="734"/>
      <c r="C16" s="734"/>
      <c r="D16" s="201" t="s">
        <v>1057</v>
      </c>
      <c r="E16" s="523">
        <v>0</v>
      </c>
      <c r="F16" s="523">
        <f>30.8+62.08</f>
        <v>92.88</v>
      </c>
      <c r="G16">
        <f>92.88</f>
        <v>92.88</v>
      </c>
      <c r="H16" s="305"/>
      <c r="I16" s="11"/>
      <c r="J16" s="305"/>
      <c r="L16" s="305"/>
      <c r="N16" s="305"/>
      <c r="O16" s="274">
        <f t="shared" si="1"/>
        <v>0</v>
      </c>
      <c r="P16" s="274" t="str">
        <f t="shared" si="0"/>
        <v>Life / Income Insurance</v>
      </c>
      <c r="Q16" s="282">
        <f t="shared" si="2"/>
        <v>0</v>
      </c>
    </row>
    <row r="17" spans="2:20" ht="15" customHeight="1" outlineLevel="1">
      <c r="B17" s="734"/>
      <c r="C17" s="734"/>
      <c r="D17" s="201" t="s">
        <v>602</v>
      </c>
      <c r="E17" s="523">
        <v>0</v>
      </c>
      <c r="F17" s="523">
        <v>37</v>
      </c>
      <c r="G17">
        <v>37</v>
      </c>
      <c r="H17" s="305"/>
      <c r="J17" s="305"/>
      <c r="L17" s="305"/>
      <c r="N17" s="305"/>
      <c r="O17" s="274">
        <f t="shared" si="1"/>
        <v>0</v>
      </c>
      <c r="P17" s="274" t="str">
        <f t="shared" si="0"/>
        <v>Broadband / TV</v>
      </c>
      <c r="Q17" s="282">
        <f t="shared" si="2"/>
        <v>0</v>
      </c>
    </row>
    <row r="18" spans="2:20" ht="15" customHeight="1" outlineLevel="1">
      <c r="B18" s="734"/>
      <c r="C18" s="734"/>
      <c r="D18" s="201" t="s">
        <v>788</v>
      </c>
      <c r="E18" s="523">
        <v>0</v>
      </c>
      <c r="F18" s="523">
        <v>26</v>
      </c>
      <c r="G18">
        <v>29.1</v>
      </c>
      <c r="H18" s="305"/>
      <c r="J18" s="305"/>
      <c r="L18" s="305"/>
      <c r="N18" s="305"/>
      <c r="O18" s="274">
        <f t="shared" si="1"/>
        <v>-3.1000000000000014</v>
      </c>
      <c r="P18" s="274" t="str">
        <f t="shared" si="0"/>
        <v>Matt Phone</v>
      </c>
      <c r="Q18" s="282">
        <f t="shared" si="2"/>
        <v>3.1000000000000014</v>
      </c>
    </row>
    <row r="19" spans="2:20" ht="15" customHeight="1" outlineLevel="1">
      <c r="B19" s="734"/>
      <c r="C19" s="734"/>
      <c r="D19" s="201" t="s">
        <v>690</v>
      </c>
      <c r="E19" s="523">
        <v>0</v>
      </c>
      <c r="F19" s="523">
        <f>14+48.17+270.97+487+73.32+19</f>
        <v>912.46</v>
      </c>
      <c r="G19">
        <f>48.17+14+16.62+73.44+270.97+487.35</f>
        <v>910.55000000000007</v>
      </c>
      <c r="H19" s="305"/>
      <c r="J19" s="305"/>
      <c r="L19" s="305"/>
      <c r="N19" s="305"/>
      <c r="O19" s="274">
        <f t="shared" si="1"/>
        <v>1.9099999999999682</v>
      </c>
      <c r="P19" s="274" t="str">
        <f t="shared" si="0"/>
        <v>Cars</v>
      </c>
      <c r="Q19" s="282">
        <f t="shared" si="2"/>
        <v>0</v>
      </c>
    </row>
    <row r="20" spans="2:20" ht="15" customHeight="1" outlineLevel="1">
      <c r="B20" s="734"/>
      <c r="C20" s="734"/>
      <c r="D20" s="201" t="s">
        <v>944</v>
      </c>
      <c r="E20" s="523">
        <v>0</v>
      </c>
      <c r="F20" s="523">
        <v>15</v>
      </c>
      <c r="G20">
        <v>15</v>
      </c>
      <c r="H20" s="305"/>
      <c r="J20" s="305"/>
      <c r="L20" s="305"/>
      <c r="N20" s="305"/>
      <c r="O20" s="274">
        <f t="shared" si="1"/>
        <v>0</v>
      </c>
      <c r="P20" s="274" t="str">
        <f t="shared" si="0"/>
        <v>Windows</v>
      </c>
      <c r="Q20" s="282">
        <f t="shared" si="2"/>
        <v>0</v>
      </c>
      <c r="R20" s="243"/>
    </row>
    <row r="21" spans="2:20" ht="15" customHeight="1" outlineLevel="1">
      <c r="B21" s="7"/>
      <c r="C21" s="7"/>
      <c r="D21" s="201" t="s">
        <v>2042</v>
      </c>
      <c r="E21" s="523">
        <v>0</v>
      </c>
      <c r="F21" s="523">
        <v>0</v>
      </c>
      <c r="H21" s="305"/>
      <c r="J21" s="305"/>
      <c r="L21" s="305"/>
      <c r="N21" s="305"/>
      <c r="O21" s="274">
        <f t="shared" si="1"/>
        <v>0</v>
      </c>
      <c r="P21" s="274" t="str">
        <f t="shared" si="0"/>
        <v>Health + Wellness</v>
      </c>
      <c r="Q21" s="282">
        <f t="shared" si="2"/>
        <v>0</v>
      </c>
      <c r="R21" s="243"/>
    </row>
    <row r="22" spans="2:20" ht="15" customHeight="1" outlineLevel="1">
      <c r="B22" s="7"/>
      <c r="C22" s="7"/>
      <c r="D22" s="201" t="s">
        <v>920</v>
      </c>
      <c r="E22" s="523">
        <v>0</v>
      </c>
      <c r="F22" s="523">
        <f>48.22+137.5</f>
        <v>185.72</v>
      </c>
      <c r="G22">
        <f>48.22+137.5</f>
        <v>185.72</v>
      </c>
      <c r="H22" s="305"/>
      <c r="J22" s="305"/>
      <c r="L22" s="305"/>
      <c r="N22" s="305"/>
      <c r="O22" s="274">
        <f t="shared" si="1"/>
        <v>0</v>
      </c>
      <c r="P22" s="274" t="str">
        <f t="shared" si="0"/>
        <v>Finance</v>
      </c>
      <c r="Q22" s="282"/>
      <c r="R22" s="243"/>
    </row>
    <row r="23" spans="2:20" ht="15" customHeight="1" outlineLevel="1">
      <c r="B23" s="7"/>
      <c r="C23" s="7"/>
      <c r="D23" s="201" t="s">
        <v>2218</v>
      </c>
      <c r="E23" s="523">
        <v>0</v>
      </c>
      <c r="F23" s="523">
        <f>28*6</f>
        <v>168</v>
      </c>
      <c r="H23" s="305"/>
      <c r="J23" s="305"/>
      <c r="L23" s="305"/>
      <c r="N23" s="305"/>
      <c r="O23" s="274">
        <f t="shared" si="1"/>
        <v>168</v>
      </c>
      <c r="P23" s="274" t="str">
        <f t="shared" si="0"/>
        <v>Coco</v>
      </c>
      <c r="Q23" s="282"/>
      <c r="R23" s="243"/>
    </row>
    <row r="24" spans="2:20" ht="15" customHeight="1" outlineLevel="1">
      <c r="B24" s="7"/>
      <c r="C24" s="7"/>
      <c r="D24" s="201" t="s">
        <v>781</v>
      </c>
      <c r="E24" s="523">
        <v>0</v>
      </c>
      <c r="F24" s="523">
        <f>10.49+18+4.99+0.99+12</f>
        <v>46.470000000000006</v>
      </c>
      <c r="G24" s="11">
        <f>12+18+3.29+10.49+5.99</f>
        <v>49.77</v>
      </c>
      <c r="H24" s="305"/>
      <c r="J24" s="305"/>
      <c r="L24" s="305"/>
      <c r="N24" s="305"/>
      <c r="O24" s="274">
        <f t="shared" si="1"/>
        <v>-3.2999999999999972</v>
      </c>
      <c r="P24" s="274" t="str">
        <f t="shared" si="0"/>
        <v>Subscriptions</v>
      </c>
      <c r="Q24" s="282">
        <f t="shared" si="2"/>
        <v>3.2999999999999972</v>
      </c>
      <c r="R24" s="243"/>
    </row>
    <row r="25" spans="2:20" ht="15" customHeight="1">
      <c r="B25" s="118"/>
      <c r="C25" s="118"/>
      <c r="D25" s="188"/>
      <c r="H25" s="305"/>
      <c r="J25" s="305"/>
      <c r="L25" s="305"/>
      <c r="N25" s="305"/>
      <c r="O25" s="273"/>
      <c r="P25" s="273"/>
      <c r="Q25" s="282"/>
    </row>
    <row r="26" spans="2:20" ht="15" customHeight="1">
      <c r="B26" s="736" t="str">
        <f>_xlfn.CONCAT("Savings - 20 - ",G47*0.2," / Actual = ",D27," (",ROUND((D27/G47)*100,2),")")</f>
        <v>Savings - 20 - 913.338 / Actual = 472.8 (10.35)</v>
      </c>
      <c r="C26" s="736"/>
      <c r="D26" s="736"/>
      <c r="E26" s="736"/>
      <c r="F26" s="320"/>
      <c r="H26" s="305"/>
      <c r="J26" s="305"/>
      <c r="L26" s="305"/>
      <c r="N26" s="305"/>
      <c r="O26" s="274"/>
      <c r="P26" s="274"/>
      <c r="Q26" s="282"/>
    </row>
    <row r="27" spans="2:20" ht="15" customHeight="1">
      <c r="B27" s="727" t="str">
        <f>IF(ISNUMBER((SEARCH("Over",C$5))),"Operating under budget","Operating over budget")</f>
        <v>Operating over budget</v>
      </c>
      <c r="C27" s="727"/>
      <c r="D27" s="759">
        <f>F28</f>
        <v>472.79999999999995</v>
      </c>
      <c r="E27" s="759"/>
      <c r="F27" s="319"/>
      <c r="H27" s="305"/>
      <c r="J27" s="305"/>
      <c r="L27" s="305"/>
      <c r="N27" s="305"/>
      <c r="O27" s="285">
        <f>O28</f>
        <v>-2309.0099999999993</v>
      </c>
      <c r="P27" s="285" t="s">
        <v>895</v>
      </c>
      <c r="Q27" s="282">
        <f>SUM(Q28:Q28)</f>
        <v>0</v>
      </c>
    </row>
    <row r="28" spans="2:20" ht="15" customHeight="1" outlineLevel="1">
      <c r="B28" s="7" t="str">
        <f>"20% : " &amp; E$47*0.2</f>
        <v>20% : 913.338</v>
      </c>
      <c r="C28" s="7" t="str">
        <f>"20% : " &amp; E$47*0.2</f>
        <v>20% : 913.338</v>
      </c>
      <c r="D28" s="300" t="s">
        <v>183</v>
      </c>
      <c r="E28" s="523">
        <v>0</v>
      </c>
      <c r="F28" s="523">
        <f>SUM(F29:F40)</f>
        <v>472.79999999999995</v>
      </c>
      <c r="G28" s="243"/>
      <c r="H28" s="305"/>
      <c r="J28" s="305"/>
      <c r="L28" s="305"/>
      <c r="N28" s="305"/>
      <c r="O28" s="274">
        <f>SUM(O29:O40)</f>
        <v>-2309.0099999999993</v>
      </c>
      <c r="P28" s="274" t="str">
        <f t="shared" ref="P28:P40" si="3">D28</f>
        <v>Savings</v>
      </c>
      <c r="Q28" s="282">
        <v>0</v>
      </c>
      <c r="R28" s="495"/>
      <c r="S28" s="243"/>
    </row>
    <row r="29" spans="2:20" ht="15" customHeight="1" outlineLevel="1">
      <c r="B29" s="7"/>
      <c r="C29" s="7"/>
      <c r="D29" s="300" t="s">
        <v>1485</v>
      </c>
      <c r="E29" s="523">
        <v>0</v>
      </c>
      <c r="F29" s="523">
        <v>40</v>
      </c>
      <c r="H29" s="305"/>
      <c r="J29" s="305"/>
      <c r="L29" s="362"/>
      <c r="N29" s="315"/>
      <c r="O29" s="274">
        <f>SUM(E29:F29)-SUM(G29:N29)</f>
        <v>40</v>
      </c>
      <c r="P29" s="274" t="str">
        <f t="shared" si="3"/>
        <v>MOT / Service</v>
      </c>
      <c r="Q29" s="282"/>
      <c r="R29" s="243"/>
    </row>
    <row r="30" spans="2:20" ht="15" customHeight="1" outlineLevel="1">
      <c r="B30" s="7"/>
      <c r="C30" s="7"/>
      <c r="D30" s="300" t="s">
        <v>690</v>
      </c>
      <c r="E30" s="523">
        <v>0</v>
      </c>
      <c r="F30" s="523">
        <f>-468.84-232.5</f>
        <v>-701.33999999999992</v>
      </c>
      <c r="H30" s="305"/>
      <c r="J30" s="305"/>
      <c r="L30" s="362"/>
      <c r="N30" s="315"/>
      <c r="O30" s="274">
        <f>SUM(E30:F30)-SUM(G30:N30)</f>
        <v>-701.33999999999992</v>
      </c>
      <c r="P30" s="274" t="str">
        <f t="shared" si="3"/>
        <v>Cars</v>
      </c>
      <c r="Q30" s="282"/>
      <c r="R30" s="243"/>
    </row>
    <row r="31" spans="2:20" ht="15" customHeight="1" outlineLevel="1">
      <c r="B31" s="7"/>
      <c r="C31" s="7"/>
      <c r="D31" s="300" t="s">
        <v>590</v>
      </c>
      <c r="E31" s="523">
        <v>0</v>
      </c>
      <c r="F31" s="523">
        <f>165+10.99+8.99+2.85+29.95</f>
        <v>217.78</v>
      </c>
      <c r="G31" s="305"/>
      <c r="H31">
        <v>239.23</v>
      </c>
      <c r="J31" s="305">
        <f>9.9+32.05</f>
        <v>41.949999999999996</v>
      </c>
      <c r="L31" s="362"/>
      <c r="N31" s="315"/>
      <c r="O31" s="274">
        <f>SUM(E31:F31)-SUM(G31:N31)-Q47</f>
        <v>-440.96999999999946</v>
      </c>
      <c r="P31" s="274" t="str">
        <f t="shared" si="3"/>
        <v>Contingency</v>
      </c>
      <c r="Q31" s="282"/>
      <c r="T31" s="243"/>
    </row>
    <row r="32" spans="2:20" ht="15" customHeight="1" outlineLevel="1">
      <c r="B32" s="7"/>
      <c r="C32" s="7"/>
      <c r="D32" s="300" t="s">
        <v>1486</v>
      </c>
      <c r="E32" s="523">
        <v>0</v>
      </c>
      <c r="F32" s="523">
        <v>13.67</v>
      </c>
      <c r="H32" s="305">
        <v>95</v>
      </c>
      <c r="J32" s="305"/>
      <c r="L32" s="362"/>
      <c r="N32" s="315"/>
      <c r="O32" s="274">
        <f t="shared" ref="O32:O40" si="4">SUM(E32:F32)-SUM(G32:N32)</f>
        <v>-81.33</v>
      </c>
      <c r="P32" s="274" t="str">
        <f t="shared" si="3"/>
        <v>TV</v>
      </c>
      <c r="Q32" s="282"/>
    </row>
    <row r="33" spans="2:19" ht="15" customHeight="1" outlineLevel="1">
      <c r="B33" s="7"/>
      <c r="C33" s="7"/>
      <c r="D33" s="300" t="s">
        <v>1296</v>
      </c>
      <c r="E33" s="523">
        <v>0</v>
      </c>
      <c r="F33" s="523">
        <v>95</v>
      </c>
      <c r="H33" s="305"/>
      <c r="J33" s="305"/>
      <c r="L33" s="362"/>
      <c r="N33" s="315"/>
      <c r="O33" s="274">
        <f t="shared" si="4"/>
        <v>95</v>
      </c>
      <c r="P33" s="274" t="str">
        <f t="shared" si="3"/>
        <v>Offset</v>
      </c>
      <c r="Q33" s="282"/>
    </row>
    <row r="34" spans="2:19" ht="15" customHeight="1" outlineLevel="1">
      <c r="B34" s="7"/>
      <c r="C34" s="7"/>
      <c r="D34" s="300" t="s">
        <v>354</v>
      </c>
      <c r="E34" s="523">
        <v>0</v>
      </c>
      <c r="F34" s="523">
        <f>650+55+80+32.14+100+40-271.13+140-16.12</f>
        <v>809.89</v>
      </c>
      <c r="H34">
        <f>(136.84+60.38)+(173.75+224.72)+(520.26)</f>
        <v>1115.95</v>
      </c>
      <c r="J34" s="305">
        <f>86.46</f>
        <v>86.46</v>
      </c>
      <c r="L34" s="362"/>
      <c r="N34" s="315"/>
      <c r="O34" s="274">
        <f t="shared" si="4"/>
        <v>-392.5200000000001</v>
      </c>
      <c r="P34" s="274" t="str">
        <f t="shared" si="3"/>
        <v>Holiday</v>
      </c>
      <c r="Q34" s="282"/>
    </row>
    <row r="35" spans="2:19" ht="15" customHeight="1" outlineLevel="1">
      <c r="B35" s="7"/>
      <c r="C35" s="7"/>
      <c r="D35" s="300" t="s">
        <v>701</v>
      </c>
      <c r="E35" s="523">
        <v>0</v>
      </c>
      <c r="F35" s="523">
        <f>250</f>
        <v>250</v>
      </c>
      <c r="H35">
        <f>(47.5+21)+41.8</f>
        <v>110.3</v>
      </c>
      <c r="J35" s="305">
        <f>27</f>
        <v>27</v>
      </c>
      <c r="L35" s="362"/>
      <c r="N35" s="315"/>
      <c r="O35" s="274">
        <f t="shared" si="4"/>
        <v>112.69999999999999</v>
      </c>
      <c r="P35" s="274" t="str">
        <f t="shared" si="3"/>
        <v>Gift</v>
      </c>
      <c r="Q35" s="282"/>
    </row>
    <row r="36" spans="2:19" ht="15" customHeight="1" outlineLevel="1">
      <c r="B36" s="7"/>
      <c r="C36" s="7"/>
      <c r="D36" s="300" t="s">
        <v>1297</v>
      </c>
      <c r="E36" s="523">
        <v>0</v>
      </c>
      <c r="F36" s="523">
        <f>50+110+40+150</f>
        <v>350</v>
      </c>
      <c r="G36">
        <v>150</v>
      </c>
      <c r="H36" s="305"/>
      <c r="L36" s="362"/>
      <c r="N36" s="315"/>
      <c r="O36" s="274">
        <f t="shared" si="4"/>
        <v>200</v>
      </c>
      <c r="P36" s="274" t="str">
        <f t="shared" si="3"/>
        <v>Skin</v>
      </c>
      <c r="Q36" s="282"/>
    </row>
    <row r="37" spans="2:19" ht="15" customHeight="1" outlineLevel="1">
      <c r="B37" s="7"/>
      <c r="C37" s="7"/>
      <c r="D37" s="300" t="s">
        <v>1391</v>
      </c>
      <c r="E37" s="523">
        <v>0</v>
      </c>
      <c r="F37" s="523">
        <v>75</v>
      </c>
      <c r="H37" s="305"/>
      <c r="J37" s="305"/>
      <c r="L37" s="362"/>
      <c r="N37" s="315"/>
      <c r="O37" s="274">
        <f t="shared" si="4"/>
        <v>75</v>
      </c>
      <c r="P37" s="274" t="str">
        <f t="shared" si="3"/>
        <v>Avios</v>
      </c>
      <c r="Q37" s="282"/>
    </row>
    <row r="38" spans="2:19" ht="15" customHeight="1" outlineLevel="1">
      <c r="B38" s="7"/>
      <c r="C38" s="7"/>
      <c r="D38" s="300" t="s">
        <v>772</v>
      </c>
      <c r="E38" s="523">
        <v>0</v>
      </c>
      <c r="F38" s="523">
        <v>322.8</v>
      </c>
      <c r="G38">
        <v>322.8</v>
      </c>
      <c r="H38" s="305">
        <f>194.95+18+35.38-116.03</f>
        <v>132.29999999999998</v>
      </c>
      <c r="J38" s="305">
        <f>38.25+45</f>
        <v>83.25</v>
      </c>
      <c r="L38" s="362"/>
      <c r="N38" s="315"/>
      <c r="O38" s="274">
        <f t="shared" si="4"/>
        <v>-215.55</v>
      </c>
      <c r="P38" s="274" t="str">
        <f t="shared" si="3"/>
        <v>Home</v>
      </c>
      <c r="Q38" s="282"/>
    </row>
    <row r="39" spans="2:19" ht="15" customHeight="1" outlineLevel="1">
      <c r="B39" s="7"/>
      <c r="C39" s="7"/>
      <c r="D39" s="300" t="s">
        <v>1226</v>
      </c>
      <c r="E39" s="523">
        <v>0</v>
      </c>
      <c r="F39" s="523">
        <v>-50</v>
      </c>
      <c r="H39" s="305"/>
      <c r="J39" s="305"/>
      <c r="L39" s="362"/>
      <c r="N39" s="315"/>
      <c r="O39" s="274">
        <f t="shared" si="4"/>
        <v>-50</v>
      </c>
      <c r="P39" s="274" t="str">
        <f t="shared" si="3"/>
        <v>Lakes</v>
      </c>
      <c r="Q39" s="282"/>
    </row>
    <row r="40" spans="2:19" ht="15" customHeight="1" outlineLevel="1">
      <c r="B40" s="7"/>
      <c r="C40" s="7"/>
      <c r="D40" s="300" t="s">
        <v>1589</v>
      </c>
      <c r="E40" s="523">
        <v>0</v>
      </c>
      <c r="F40" s="523">
        <v>-950</v>
      </c>
      <c r="H40" s="305"/>
      <c r="J40" s="305"/>
      <c r="L40" s="362"/>
      <c r="N40" s="315"/>
      <c r="O40" s="274">
        <f t="shared" si="4"/>
        <v>-950</v>
      </c>
      <c r="P40" s="274" t="str">
        <f t="shared" si="3"/>
        <v>Amex</v>
      </c>
      <c r="Q40" s="282"/>
    </row>
    <row r="41" spans="2:19" ht="15" customHeight="1">
      <c r="B41" s="118"/>
      <c r="C41" s="118"/>
      <c r="H41" s="305"/>
      <c r="J41" s="305"/>
      <c r="L41" s="305"/>
      <c r="N41" s="305"/>
      <c r="O41" s="273"/>
      <c r="P41" s="273"/>
      <c r="Q41" s="282"/>
      <c r="R41" s="243"/>
    </row>
    <row r="42" spans="2:19" ht="15" customHeight="1">
      <c r="B42" s="727" t="str">
        <f>_xlfn.CONCAT("Wants - 30 - ",G47*0.3," / Actual = ",D43," (",ROUND((D43/G47)*100,2),")")</f>
        <v>Wants - 30 - 1370.007 / Actual = 642.390000000001 (14.07)</v>
      </c>
      <c r="C42" s="727"/>
      <c r="D42" s="727"/>
      <c r="E42" s="727"/>
      <c r="F42" s="318"/>
      <c r="H42" s="305"/>
      <c r="J42" s="305"/>
      <c r="L42" s="305"/>
      <c r="N42" s="305"/>
      <c r="O42" s="273"/>
      <c r="P42" s="273"/>
      <c r="Q42" s="282"/>
      <c r="S42" s="243"/>
    </row>
    <row r="43" spans="2:19" ht="15" customHeight="1">
      <c r="B43" s="727" t="str">
        <f>IF(ISNUMBER((SEARCH("Over",B$5))),"Operating under budget","Operating over budget")</f>
        <v>Operating under budget</v>
      </c>
      <c r="C43" s="727"/>
      <c r="D43" s="759">
        <f>(E$47-D5-D27-E46)</f>
        <v>642.39000000000055</v>
      </c>
      <c r="E43" s="727"/>
      <c r="F43" s="319">
        <f>F44</f>
        <v>-22.609999999999445</v>
      </c>
      <c r="H43" s="305"/>
      <c r="J43" s="305"/>
      <c r="L43" s="305"/>
      <c r="N43" s="305"/>
      <c r="O43" s="285">
        <f>0</f>
        <v>0</v>
      </c>
      <c r="P43" s="285" t="s">
        <v>899</v>
      </c>
      <c r="Q43" s="282">
        <f>SUM(Q44:Q44)</f>
        <v>255.6799999999995</v>
      </c>
      <c r="S43" s="243"/>
    </row>
    <row r="44" spans="2:19" ht="18" outlineLevel="1">
      <c r="B44" s="7"/>
      <c r="C44" s="284"/>
      <c r="D44" s="13" t="s">
        <v>922</v>
      </c>
      <c r="E44" s="523">
        <v>0</v>
      </c>
      <c r="F44" s="523">
        <f>D43-F45</f>
        <v>-22.609999999999445</v>
      </c>
      <c r="G44" s="11">
        <f>9.99+1+9.68+3.2+17.49+10</f>
        <v>51.36</v>
      </c>
      <c r="H44">
        <f>7.49-12.22+38.85+63.98+71.99-20+3.99+4.11-75.9+3.25+0.8+2.25+8+6+28+3.8+1.86-0.01+13.69+1.12-28+4.75+4.95+5.99+1.86</f>
        <v>140.60000000000002</v>
      </c>
      <c r="J44">
        <f>1.3+2.75+8.8+8+8.98+3.18+7.1+1</f>
        <v>41.110000000000007</v>
      </c>
      <c r="N44" s="305"/>
      <c r="O44" s="274">
        <f>SUM(E44:F44)-SUM(G44:N44)</f>
        <v>-255.6799999999995</v>
      </c>
      <c r="P44" s="274" t="str">
        <f>D44</f>
        <v>Matt Fun</v>
      </c>
      <c r="Q44" s="282">
        <f>IF(SUM(E44:F44)-SUM(G44:N44)&lt;=0,(SUM(E44:F44)-SUM(G44:N44))*-1,0)</f>
        <v>255.6799999999995</v>
      </c>
    </row>
    <row r="45" spans="2:19" ht="18" outlineLevel="1">
      <c r="B45" s="7"/>
      <c r="C45" s="284"/>
      <c r="D45" s="13" t="s">
        <v>152</v>
      </c>
      <c r="E45" s="523">
        <v>0</v>
      </c>
      <c r="F45" s="523">
        <f>50+105+50+66+80+20+80+35+19+55+80+10+15</f>
        <v>665</v>
      </c>
      <c r="G45" s="11">
        <v>10.94</v>
      </c>
      <c r="H45" s="306">
        <f>88.93+68.93+50.52+(12.97+9.65+75.51+28.2+10.54)+79.99-57.04-25.99+19+55+9.49+15</f>
        <v>440.7</v>
      </c>
      <c r="J45" s="305">
        <f>83+12.34</f>
        <v>95.34</v>
      </c>
      <c r="L45" s="305"/>
      <c r="N45" s="305"/>
      <c r="O45" s="274">
        <f>SUM(E45:F45)-SUM(G45:N45)</f>
        <v>118.01999999999998</v>
      </c>
      <c r="P45" s="274" t="str">
        <f>D45</f>
        <v>Kris</v>
      </c>
      <c r="Q45" s="271">
        <f>IF(F45-SUM(G45:N45)&lt;=0,(F45-SUM(G45:N45))*-1,0)</f>
        <v>0</v>
      </c>
    </row>
    <row r="46" spans="2:19">
      <c r="B46" s="118"/>
      <c r="C46" s="118"/>
      <c r="E46" s="523">
        <f>E28</f>
        <v>0</v>
      </c>
      <c r="G46" s="349"/>
      <c r="J46" s="7"/>
      <c r="L46" s="7"/>
      <c r="N46" s="7"/>
      <c r="O46" s="273"/>
      <c r="P46" s="273"/>
      <c r="Q46" s="282"/>
    </row>
    <row r="47" spans="2:19" ht="18">
      <c r="B47" s="728" t="s">
        <v>817</v>
      </c>
      <c r="C47" s="728"/>
      <c r="D47" s="728"/>
      <c r="E47" s="529">
        <f>G47+I47+K47+M47+N47+E46</f>
        <v>4566.6900000000005</v>
      </c>
      <c r="F47" s="530"/>
      <c r="G47" s="271">
        <f>2196.81+104.88+910+360+50+105+50+66+80+30+100+20+80+35+19+55+80+10+15+200</f>
        <v>4566.6900000000005</v>
      </c>
      <c r="H47" s="282"/>
      <c r="I47" s="271"/>
      <c r="J47" s="271"/>
      <c r="K47" s="271"/>
      <c r="L47" s="271"/>
      <c r="M47" s="271"/>
      <c r="N47" s="271"/>
      <c r="O47" s="314">
        <f>ROUND(O5+O43+O27+IF(O44&lt;0,0,O44)+O45+O4,2)</f>
        <v>1484.45</v>
      </c>
      <c r="P47" s="274"/>
      <c r="Q47" s="282">
        <f>SUM(Q43,Q27,Q5)</f>
        <v>377.56999999999948</v>
      </c>
    </row>
    <row r="48" spans="2:19" ht="18">
      <c r="B48" s="118"/>
      <c r="C48" s="7"/>
      <c r="D48" s="13" t="s">
        <v>1451</v>
      </c>
      <c r="G48" s="523"/>
      <c r="H48" s="243"/>
      <c r="L48" s="243"/>
    </row>
    <row r="49" spans="2:18" ht="14.4">
      <c r="B49" s="729"/>
      <c r="C49" s="729"/>
      <c r="D49" s="729"/>
      <c r="E49" s="729"/>
      <c r="F49" s="729"/>
      <c r="G49" s="729"/>
      <c r="H49" s="297"/>
      <c r="K49" s="729"/>
      <c r="L49" s="729"/>
      <c r="M49" s="729"/>
      <c r="N49" s="729"/>
      <c r="O49" s="729"/>
      <c r="P49" s="297"/>
    </row>
    <row r="50" spans="2:18" ht="15" customHeight="1">
      <c r="B50" s="726" t="s">
        <v>955</v>
      </c>
      <c r="C50" s="726"/>
      <c r="E50"/>
      <c r="F50" s="348"/>
      <c r="H50" s="243"/>
      <c r="K50" s="212"/>
      <c r="L50" s="212"/>
      <c r="M50" s="243"/>
      <c r="N50" s="118" t="s">
        <v>2257</v>
      </c>
      <c r="O50" s="316">
        <v>45830</v>
      </c>
      <c r="P50" s="7">
        <f ca="1">DATEDIF(O50,NOW(),"d")</f>
        <v>421</v>
      </c>
      <c r="Q50">
        <v>10</v>
      </c>
      <c r="R50" t="s">
        <v>1342</v>
      </c>
    </row>
    <row r="51" spans="2:18">
      <c r="B51" s="523"/>
      <c r="C51" s="38"/>
      <c r="E51"/>
      <c r="F51" s="767" t="s">
        <v>2218</v>
      </c>
      <c r="G51" s="767"/>
      <c r="I51" s="243"/>
      <c r="K51" s="11"/>
      <c r="L51" s="243"/>
      <c r="N51" s="483" t="s">
        <v>2232</v>
      </c>
      <c r="O51" s="42">
        <v>45823</v>
      </c>
      <c r="P51" s="7">
        <f ca="1">DATEDIF(O51,NOW(),"d")</f>
        <v>428</v>
      </c>
      <c r="Q51">
        <v>41.8</v>
      </c>
      <c r="R51" t="s">
        <v>1233</v>
      </c>
    </row>
    <row r="52" spans="2:18">
      <c r="E52" s="534"/>
      <c r="F52" s="545">
        <f>23</f>
        <v>23</v>
      </c>
      <c r="G52" s="458">
        <f>1</f>
        <v>1</v>
      </c>
      <c r="H52" s="445"/>
      <c r="I52" s="11"/>
      <c r="J52" s="243"/>
      <c r="L52" s="243"/>
      <c r="N52" s="358" t="s">
        <v>2258</v>
      </c>
      <c r="O52" s="316">
        <v>45830</v>
      </c>
      <c r="P52" s="7">
        <f ca="1">DATEDIF(O52,NOW(),"d")</f>
        <v>421</v>
      </c>
      <c r="Q52">
        <v>1</v>
      </c>
      <c r="R52" t="s">
        <v>1441</v>
      </c>
    </row>
    <row r="53" spans="2:18" ht="16.2" customHeight="1">
      <c r="E53" s="534"/>
      <c r="F53" s="523">
        <v>26</v>
      </c>
      <c r="G53">
        <f>6</f>
        <v>6</v>
      </c>
      <c r="H53" s="243"/>
      <c r="I53" s="243"/>
      <c r="K53" s="213"/>
      <c r="L53" s="243"/>
      <c r="N53" t="s">
        <v>2227</v>
      </c>
    </row>
    <row r="54" spans="2:18">
      <c r="B54" s="532"/>
      <c r="D54" s="243"/>
      <c r="E54"/>
      <c r="G54" s="539">
        <f>(G53*F53)+(G52*F52)</f>
        <v>179</v>
      </c>
      <c r="H54" s="243"/>
      <c r="J54" s="243">
        <f>O47-O23</f>
        <v>1316.45</v>
      </c>
      <c r="M54" s="243"/>
      <c r="P54"/>
    </row>
    <row r="55" spans="2:18">
      <c r="E55" s="11"/>
      <c r="H55" s="243"/>
      <c r="M55" s="243"/>
      <c r="P55"/>
      <c r="Q55" s="243"/>
    </row>
    <row r="56" spans="2:18">
      <c r="E56" s="534"/>
      <c r="F56" s="492"/>
      <c r="G56" s="515"/>
      <c r="H56" s="515"/>
      <c r="J56" s="243"/>
      <c r="K56" s="725"/>
      <c r="L56" s="725"/>
      <c r="M56" s="243">
        <f>O47-1767.7</f>
        <v>-283.25</v>
      </c>
      <c r="P56" s="292"/>
      <c r="Q56" s="212"/>
    </row>
    <row r="57" spans="2:18" ht="15" customHeight="1">
      <c r="H57" s="243"/>
      <c r="J57" s="243"/>
      <c r="K57" s="353"/>
      <c r="M57" s="243"/>
      <c r="N57" s="243"/>
      <c r="P57" s="56"/>
      <c r="Q57" s="38"/>
    </row>
    <row r="58" spans="2:18">
      <c r="F58" s="390"/>
      <c r="H58" s="243"/>
      <c r="J58" s="243"/>
      <c r="M58" s="243"/>
      <c r="O58"/>
      <c r="P58"/>
    </row>
    <row r="59" spans="2:18" ht="15" customHeight="1">
      <c r="F59" s="726" t="s">
        <v>2220</v>
      </c>
      <c r="G59" s="726"/>
      <c r="J59" s="243"/>
      <c r="M59" s="243"/>
    </row>
    <row r="60" spans="2:18" ht="16.2" customHeight="1">
      <c r="E60" s="781"/>
      <c r="F60" s="546" t="s">
        <v>2242</v>
      </c>
      <c r="G60" s="458">
        <v>452</v>
      </c>
      <c r="J60" s="243"/>
      <c r="L60" s="358"/>
      <c r="M60" s="501"/>
    </row>
    <row r="61" spans="2:18" ht="14.4">
      <c r="B61" s="11"/>
      <c r="E61" s="781"/>
      <c r="F61" t="s">
        <v>2233</v>
      </c>
      <c r="G61">
        <v>70</v>
      </c>
      <c r="H61" s="243"/>
      <c r="I61" s="243"/>
      <c r="J61" s="390"/>
      <c r="L61" s="242"/>
      <c r="M61" s="500"/>
      <c r="O61"/>
      <c r="P61"/>
    </row>
    <row r="62" spans="2:18" ht="14.4">
      <c r="B62" s="11"/>
      <c r="E62" s="284"/>
      <c r="F62" t="s">
        <v>2234</v>
      </c>
      <c r="I62" s="248"/>
      <c r="J62" s="390"/>
      <c r="O62"/>
      <c r="P62"/>
    </row>
    <row r="63" spans="2:18">
      <c r="B63" s="11"/>
      <c r="E63" s="284"/>
      <c r="F63" s="545" t="s">
        <v>715</v>
      </c>
      <c r="G63" s="369"/>
      <c r="I63" s="248"/>
      <c r="J63" s="390"/>
      <c r="O63"/>
      <c r="P63"/>
    </row>
    <row r="64" spans="2:18">
      <c r="E64" s="534"/>
      <c r="F64" s="545" t="s">
        <v>1475</v>
      </c>
      <c r="G64">
        <v>300</v>
      </c>
      <c r="J64" s="390"/>
      <c r="L64" s="243"/>
      <c r="M64" s="243"/>
      <c r="O64"/>
      <c r="P64"/>
    </row>
    <row r="65" spans="2:16">
      <c r="E65" s="534"/>
      <c r="F65" t="s">
        <v>2235</v>
      </c>
      <c r="J65" s="390"/>
      <c r="L65" s="243"/>
      <c r="M65" s="243"/>
      <c r="O65"/>
      <c r="P65"/>
    </row>
    <row r="66" spans="2:16">
      <c r="E66" s="534"/>
      <c r="F66" t="s">
        <v>2236</v>
      </c>
      <c r="G66" s="243"/>
      <c r="J66" s="390"/>
      <c r="L66" s="243"/>
      <c r="M66" s="243"/>
      <c r="O66"/>
      <c r="P66"/>
    </row>
    <row r="67" spans="2:16">
      <c r="B67" s="212"/>
      <c r="C67" s="212"/>
      <c r="F67" s="545" t="s">
        <v>2241</v>
      </c>
      <c r="G67">
        <v>235</v>
      </c>
      <c r="I67" s="516"/>
      <c r="J67" s="79"/>
      <c r="K67" s="118"/>
      <c r="L67" s="243"/>
      <c r="O67"/>
      <c r="P67"/>
    </row>
    <row r="68" spans="2:16">
      <c r="C68" s="56"/>
      <c r="I68" s="494"/>
      <c r="J68" s="79"/>
      <c r="L68" s="243"/>
      <c r="O68"/>
      <c r="P68"/>
    </row>
    <row r="69" spans="2:16" ht="15.75" customHeight="1">
      <c r="C69" s="56"/>
      <c r="F69"/>
      <c r="G69" s="243"/>
      <c r="L69" s="243"/>
      <c r="M69" s="243"/>
      <c r="O69"/>
      <c r="P69"/>
    </row>
    <row r="70" spans="2:16" ht="14.4">
      <c r="C70" s="56"/>
      <c r="E70"/>
      <c r="F70" s="55" t="s">
        <v>2137</v>
      </c>
      <c r="G70" s="243">
        <f>O47-SUM(O4:O5)+SUM(G60:G67)</f>
        <v>-1133.9900000000007</v>
      </c>
      <c r="M70" s="243"/>
      <c r="O70"/>
      <c r="P70"/>
    </row>
    <row r="71" spans="2:16" ht="14.4">
      <c r="C71" s="56"/>
      <c r="D71" s="188"/>
      <c r="E71"/>
      <c r="F71" s="79"/>
      <c r="O71"/>
      <c r="P71"/>
    </row>
    <row r="72" spans="2:16">
      <c r="C72" s="56"/>
      <c r="E72"/>
      <c r="F72" s="545"/>
      <c r="I72" t="s">
        <v>1149</v>
      </c>
      <c r="J72">
        <v>12000</v>
      </c>
      <c r="K72">
        <f>14+48.17+270.97</f>
        <v>333.14000000000004</v>
      </c>
      <c r="O72"/>
      <c r="P72"/>
    </row>
    <row r="73" spans="2:16">
      <c r="C73" s="56"/>
      <c r="E73" s="407"/>
      <c r="F73" s="545"/>
      <c r="I73" t="s">
        <v>2226</v>
      </c>
      <c r="J73">
        <v>16000</v>
      </c>
      <c r="K73">
        <f>487+73.32+19</f>
        <v>579.31999999999994</v>
      </c>
      <c r="O73"/>
      <c r="P73"/>
    </row>
    <row r="74" spans="2:16">
      <c r="C74" s="56"/>
      <c r="E74"/>
      <c r="I74" s="407"/>
      <c r="J74" s="79">
        <f>SUM(J72:J73)</f>
        <v>28000</v>
      </c>
      <c r="N74" s="288"/>
      <c r="O74"/>
      <c r="P74"/>
    </row>
    <row r="75" spans="2:16">
      <c r="C75" s="56"/>
      <c r="E75" s="347"/>
      <c r="J75">
        <f>J74-18000</f>
        <v>10000</v>
      </c>
      <c r="O75"/>
      <c r="P75"/>
    </row>
    <row r="76" spans="2:16">
      <c r="C76" s="56"/>
      <c r="E76"/>
      <c r="F76" s="545"/>
      <c r="J76" s="118"/>
      <c r="L76" s="243"/>
      <c r="O76"/>
      <c r="P76"/>
    </row>
    <row r="77" spans="2:16" ht="14.4">
      <c r="C77" s="56"/>
      <c r="E77" s="407"/>
      <c r="F77"/>
      <c r="I77" s="407"/>
      <c r="J77" s="407"/>
      <c r="O77"/>
      <c r="P77"/>
    </row>
    <row r="78" spans="2:16" ht="15.45" customHeight="1">
      <c r="C78" s="56"/>
      <c r="D78" t="s">
        <v>2228</v>
      </c>
      <c r="E78" s="407">
        <v>370000</v>
      </c>
      <c r="F78" s="11"/>
      <c r="I78" s="407"/>
      <c r="J78" s="407"/>
      <c r="K78" s="407"/>
      <c r="L78" s="407"/>
      <c r="M78" s="407"/>
      <c r="O78"/>
      <c r="P78"/>
    </row>
    <row r="79" spans="2:16" ht="14.4">
      <c r="D79" s="459" t="s">
        <v>2231</v>
      </c>
      <c r="E79" s="243">
        <f>E78*0.85</f>
        <v>314500</v>
      </c>
      <c r="F79" s="459"/>
      <c r="O79"/>
      <c r="P79"/>
    </row>
    <row r="80" spans="2:16" ht="14.4">
      <c r="B80" s="212"/>
      <c r="C80" s="294"/>
      <c r="D80" s="188" t="s">
        <v>2229</v>
      </c>
      <c r="E80">
        <v>199000</v>
      </c>
      <c r="F80" s="188"/>
      <c r="O80"/>
      <c r="P80"/>
    </row>
    <row r="81" spans="3:16" ht="15.45" customHeight="1">
      <c r="C81" s="56"/>
      <c r="D81" t="s">
        <v>872</v>
      </c>
      <c r="E81" s="243">
        <f>E79-E80</f>
        <v>115500</v>
      </c>
      <c r="F81"/>
      <c r="M81" s="243"/>
      <c r="O81"/>
      <c r="P81"/>
    </row>
    <row r="82" spans="3:16">
      <c r="C82" s="56"/>
      <c r="D82" t="s">
        <v>591</v>
      </c>
      <c r="E82" s="532">
        <f>E78*0.2</f>
        <v>74000</v>
      </c>
      <c r="F82"/>
      <c r="G82" s="532"/>
      <c r="O82"/>
      <c r="P82"/>
    </row>
    <row r="83" spans="3:16">
      <c r="C83" s="56"/>
      <c r="D83" t="s">
        <v>2230</v>
      </c>
      <c r="E83" s="523">
        <f>E81-E82</f>
        <v>41500</v>
      </c>
      <c r="L83" s="459"/>
      <c r="M83" s="461"/>
      <c r="O83"/>
      <c r="P83"/>
    </row>
    <row r="84" spans="3:16">
      <c r="C84" s="56"/>
      <c r="D84" s="426"/>
      <c r="E84" s="533"/>
      <c r="L84" s="188"/>
      <c r="M84" s="230"/>
      <c r="O84"/>
      <c r="P84"/>
    </row>
    <row r="85" spans="3:16">
      <c r="C85" s="56"/>
      <c r="D85" s="405"/>
      <c r="E85" s="407"/>
      <c r="L85" s="188"/>
      <c r="M85" s="230"/>
      <c r="O85"/>
      <c r="P85"/>
    </row>
    <row r="86" spans="3:16">
      <c r="C86" s="56"/>
      <c r="D86" s="532"/>
      <c r="E86"/>
      <c r="L86" s="188"/>
      <c r="M86" s="230"/>
      <c r="O86"/>
      <c r="P86"/>
    </row>
    <row r="87" spans="3:16">
      <c r="E87" s="533"/>
      <c r="L87" s="188"/>
      <c r="M87" s="230"/>
      <c r="O87"/>
      <c r="P87"/>
    </row>
    <row r="88" spans="3:16">
      <c r="E88" s="533"/>
      <c r="L88" s="532"/>
      <c r="M88" s="230"/>
      <c r="O88"/>
      <c r="P88"/>
    </row>
    <row r="89" spans="3:16">
      <c r="E89" s="533"/>
      <c r="F89" s="212"/>
      <c r="L89" s="405"/>
      <c r="M89" s="230"/>
      <c r="O89"/>
      <c r="P89"/>
    </row>
    <row r="90" spans="3:16" ht="14.4">
      <c r="E90"/>
      <c r="F90"/>
      <c r="L90" s="405"/>
      <c r="M90" s="462"/>
      <c r="O90"/>
      <c r="P90"/>
    </row>
    <row r="91" spans="3:16" ht="14.4">
      <c r="E91"/>
      <c r="F91"/>
      <c r="O91"/>
      <c r="P91"/>
    </row>
    <row r="92" spans="3:16" ht="14.4">
      <c r="E92"/>
      <c r="F92"/>
      <c r="O92"/>
      <c r="P92"/>
    </row>
    <row r="93" spans="3:16" ht="14.4">
      <c r="E93" s="292"/>
      <c r="F93" s="56"/>
      <c r="O93"/>
      <c r="P93"/>
    </row>
    <row r="94" spans="3:16" ht="14.4">
      <c r="E94" s="42"/>
      <c r="F94" s="56"/>
      <c r="O94"/>
      <c r="P94"/>
    </row>
    <row r="95" spans="3:16" ht="14.4">
      <c r="E95" s="56"/>
      <c r="F95" s="56"/>
      <c r="O95"/>
      <c r="P95"/>
    </row>
    <row r="96" spans="3:16">
      <c r="O96"/>
      <c r="P96"/>
    </row>
    <row r="97" spans="5:16" ht="14.4">
      <c r="E97" s="212"/>
      <c r="F97" s="212"/>
      <c r="O97"/>
      <c r="P97"/>
    </row>
    <row r="98" spans="5:16" ht="14.4">
      <c r="E98"/>
      <c r="F98" s="56"/>
      <c r="O98"/>
      <c r="P98"/>
    </row>
    <row r="99" spans="5:16" ht="14.4">
      <c r="E99" s="56"/>
      <c r="F99" s="56"/>
      <c r="O99"/>
      <c r="P99"/>
    </row>
    <row r="100" spans="5:16" ht="14.4">
      <c r="E100" s="56"/>
      <c r="F100" s="56"/>
      <c r="G100" s="407"/>
      <c r="O100"/>
      <c r="P100"/>
    </row>
    <row r="101" spans="5:16" ht="14.4">
      <c r="E101" s="56"/>
      <c r="F101" s="56"/>
      <c r="G101" s="407"/>
      <c r="O101"/>
      <c r="P101"/>
    </row>
    <row r="102" spans="5:16" ht="14.4">
      <c r="E102" s="56"/>
      <c r="F102" s="56"/>
      <c r="G102" s="407"/>
      <c r="O102"/>
      <c r="P102"/>
    </row>
    <row r="103" spans="5:16" ht="14.4">
      <c r="E103" s="56"/>
      <c r="F103" s="56"/>
      <c r="G103" s="407"/>
      <c r="O103"/>
      <c r="P103"/>
    </row>
    <row r="104" spans="5:16">
      <c r="G104" s="407"/>
      <c r="O104"/>
      <c r="P104"/>
    </row>
    <row r="105" spans="5:16">
      <c r="G105" s="407"/>
      <c r="O105"/>
      <c r="P105"/>
    </row>
    <row r="106" spans="5:16">
      <c r="G106" s="407"/>
      <c r="O106"/>
      <c r="P106"/>
    </row>
    <row r="107" spans="5:16">
      <c r="G107" s="407"/>
    </row>
  </sheetData>
  <mergeCells count="25">
    <mergeCell ref="B4:E4"/>
    <mergeCell ref="B1:O1"/>
    <mergeCell ref="G3:H3"/>
    <mergeCell ref="I3:J3"/>
    <mergeCell ref="K3:L3"/>
    <mergeCell ref="M3:N3"/>
    <mergeCell ref="B47:D47"/>
    <mergeCell ref="B5:C5"/>
    <mergeCell ref="D5:E5"/>
    <mergeCell ref="B6:B20"/>
    <mergeCell ref="C6:C20"/>
    <mergeCell ref="E10:F10"/>
    <mergeCell ref="B26:E26"/>
    <mergeCell ref="B27:C27"/>
    <mergeCell ref="D27:E27"/>
    <mergeCell ref="B42:E42"/>
    <mergeCell ref="B43:C43"/>
    <mergeCell ref="D43:E43"/>
    <mergeCell ref="B49:G49"/>
    <mergeCell ref="K49:O49"/>
    <mergeCell ref="B50:C50"/>
    <mergeCell ref="K56:L56"/>
    <mergeCell ref="E60:E61"/>
    <mergeCell ref="F59:G59"/>
    <mergeCell ref="F51:G51"/>
  </mergeCells>
  <pageMargins left="0.7" right="0.7" top="0.75" bottom="0.75" header="0.3" footer="0.3"/>
  <pageSetup orientation="portrait" r:id="rId1"/>
  <legacyDrawing r:id="rId2"/>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581FC-98F8-4698-B763-EB3C73395338}">
  <dimension ref="A1:T105"/>
  <sheetViews>
    <sheetView topLeftCell="E1" zoomScale="90" zoomScaleNormal="90" workbookViewId="0">
      <selection activeCell="F64" sqref="F6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0" ht="25.5" customHeight="1">
      <c r="A1" t="str">
        <f ca="1">UPPER(TEXT((1&amp;LEFT(B$1,3))-1,"MMM"))&amp;"-"&amp;UPPER(TEXT((1&amp;RIGHT(LEFT(B$1,7),3))-1,"MMM"))&amp;" "&amp;RIGHT(B$1,4)</f>
        <v>MAY-JUN L 25</v>
      </c>
      <c r="B1" s="730" t="str">
        <f ca="1">MID(CELL("filename",B1),FIND("]",CELL("filename",B1))+1,255)</f>
        <v>JUN-JUL 25</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ROUND(O5+O43+O27+IF(O44&lt;0,0,O44)+O45+O4,2) &amp; " / " &amp; "£" &amp; E47</f>
        <v>£4157.09 / £7828.87</v>
      </c>
      <c r="G3" s="732">
        <v>45772</v>
      </c>
      <c r="H3" s="732"/>
      <c r="I3" s="732">
        <f>G3+7</f>
        <v>45779</v>
      </c>
      <c r="J3" s="732"/>
      <c r="K3" s="732">
        <f>I3+7</f>
        <v>45786</v>
      </c>
      <c r="L3" s="732"/>
      <c r="M3" s="732">
        <f>K3+7</f>
        <v>45793</v>
      </c>
      <c r="N3" s="732"/>
      <c r="O3" s="308">
        <v>0</v>
      </c>
      <c r="P3" s="325" t="s">
        <v>1224</v>
      </c>
      <c r="Q3" s="282"/>
    </row>
    <row r="4" spans="1:20" ht="15" customHeight="1">
      <c r="B4" s="727" t="str">
        <f>_xlfn.CONCAT("Expenses - 50 - ",G47*0.5," / Actual = ",ROUND(D5,2)," (",ROUND((D5/G47)*100,2),")")</f>
        <v>Expenses - 50 - 3914.435 / Actual = 3245.65 (41.46)</v>
      </c>
      <c r="C4" s="727"/>
      <c r="D4" s="727"/>
      <c r="E4" s="727"/>
      <c r="F4" s="318"/>
      <c r="G4" s="243"/>
      <c r="H4" s="304">
        <f>SUM(H5:H45)-I4</f>
        <v>235.98</v>
      </c>
      <c r="I4" s="243"/>
      <c r="J4" s="304">
        <v>99.06</v>
      </c>
      <c r="K4" s="243"/>
      <c r="L4" s="304">
        <f>SUM(L5:L45)</f>
        <v>4172.119999999999</v>
      </c>
      <c r="M4" s="243">
        <f>L4+1806.34+79.65</f>
        <v>6058.1099999999988</v>
      </c>
      <c r="N4" s="304">
        <f>SUM(N5:N45)-SUM(N29:N35)</f>
        <v>0</v>
      </c>
      <c r="O4" s="308">
        <f>IF(H46&lt;&gt;"PAID",H4,0)+IF(J46&lt;&gt;"PAID",J4,0)+IF(L46&lt;&gt;"PAID",L4,0)+IF(N46&lt;&gt;"PAID",N4,0)</f>
        <v>4507.1599999999989</v>
      </c>
      <c r="P4" s="309" t="s">
        <v>973</v>
      </c>
      <c r="Q4" s="408"/>
      <c r="S4" s="243"/>
    </row>
    <row r="5" spans="1:20" ht="15" customHeight="1">
      <c r="B5" s="733" t="str">
        <f>IF(D5&gt;E$47*0.5,ROUND(D5-E$47*0.5,2) &amp; " Over",ROUND(E$47*0.5-D5,2) &amp; " Under")</f>
        <v>668.79 Under</v>
      </c>
      <c r="C5" s="733"/>
      <c r="D5" s="761">
        <f>ROUND(SUM(F6:F24),2)</f>
        <v>3245.65</v>
      </c>
      <c r="E5" s="761"/>
      <c r="F5" s="321"/>
      <c r="G5" s="284"/>
      <c r="H5" s="306"/>
      <c r="I5" s="390"/>
      <c r="J5" s="306"/>
      <c r="K5" s="390"/>
      <c r="L5" s="306"/>
      <c r="M5" s="79"/>
      <c r="N5" s="305"/>
      <c r="O5" s="285">
        <f>SUMIF(O6:O24,"&gt;0")</f>
        <v>54.239999999999945</v>
      </c>
      <c r="P5" s="285" t="s">
        <v>892</v>
      </c>
      <c r="Q5" s="282">
        <f>SUM(Q6:Q24)</f>
        <v>66.599999999999994</v>
      </c>
      <c r="R5" s="243"/>
    </row>
    <row r="6" spans="1:20" ht="15" customHeight="1">
      <c r="B6" s="734" t="str">
        <f>"50%: " &amp; E$47*0.5</f>
        <v>50%: 3914.435</v>
      </c>
      <c r="C6" s="734" t="str">
        <f>ROUND((D5/E$47)*100,2) &amp; "%: " &amp;D5</f>
        <v>41.46%: 3245.65</v>
      </c>
      <c r="D6" s="13" t="s">
        <v>805</v>
      </c>
      <c r="E6" s="523">
        <v>0</v>
      </c>
      <c r="F6" s="528">
        <v>100</v>
      </c>
      <c r="H6" s="304"/>
      <c r="J6" s="305"/>
      <c r="L6" s="305">
        <f>25+35.08+25.35+31.27+20</f>
        <v>136.69999999999999</v>
      </c>
      <c r="N6" s="305"/>
      <c r="O6" s="274">
        <f>SUM(E6:F6)-SUM(G6:N6)</f>
        <v>-36.699999999999989</v>
      </c>
      <c r="P6" s="274" t="str">
        <f t="shared" ref="P6:P24" si="0">D6</f>
        <v>Car Petrol / commuting</v>
      </c>
      <c r="Q6" s="282">
        <f>IF(O6&lt;0,O6*-1,0)</f>
        <v>36.699999999999989</v>
      </c>
      <c r="R6" s="243"/>
    </row>
    <row r="7" spans="1:20" ht="15" customHeight="1">
      <c r="B7" s="734"/>
      <c r="C7" s="734"/>
      <c r="D7" s="13" t="s">
        <v>169</v>
      </c>
      <c r="E7" s="523">
        <v>0</v>
      </c>
      <c r="F7" s="523">
        <v>370</v>
      </c>
      <c r="H7" s="304">
        <f>171.21+4.99</f>
        <v>176.20000000000002</v>
      </c>
      <c r="J7" s="305"/>
      <c r="L7" s="305">
        <f>(120.36-20.36)+13.18+79.16</f>
        <v>192.34</v>
      </c>
      <c r="N7" s="305"/>
      <c r="O7" s="274">
        <f>SUM(E7:F7)-SUM(G7:N7)</f>
        <v>1.4599999999999795</v>
      </c>
      <c r="P7" s="274" t="str">
        <f t="shared" si="0"/>
        <v>Food</v>
      </c>
      <c r="Q7" s="282">
        <f>IF(O7&lt;0,O7*-1,0)</f>
        <v>0</v>
      </c>
      <c r="R7" s="243"/>
    </row>
    <row r="8" spans="1:20" ht="15" customHeight="1">
      <c r="B8" s="734"/>
      <c r="C8" s="734"/>
      <c r="D8" s="13" t="s">
        <v>153</v>
      </c>
      <c r="E8" s="523">
        <v>0</v>
      </c>
      <c r="F8" s="523">
        <f>90+50</f>
        <v>140</v>
      </c>
      <c r="H8" s="305"/>
      <c r="J8" s="305">
        <v>53.97</v>
      </c>
      <c r="L8" s="305">
        <f>32.56+28.7</f>
        <v>61.260000000000005</v>
      </c>
      <c r="N8" s="305"/>
      <c r="O8" s="274">
        <f>SUM(E8:F8)-SUM(G8:N8)</f>
        <v>24.769999999999996</v>
      </c>
      <c r="P8" s="274" t="str">
        <f t="shared" si="0"/>
        <v>Luna</v>
      </c>
      <c r="Q8" s="282">
        <f>IF(O8&lt;0,O8*-1,0)</f>
        <v>0</v>
      </c>
    </row>
    <row r="9" spans="1:20" ht="15" customHeight="1">
      <c r="B9" s="734"/>
      <c r="C9" s="734"/>
      <c r="D9" s="13" t="s">
        <v>1079</v>
      </c>
      <c r="E9" s="523">
        <v>0</v>
      </c>
      <c r="F9" s="523">
        <f>30</f>
        <v>30</v>
      </c>
      <c r="H9" s="305"/>
      <c r="J9" s="305"/>
      <c r="L9" s="305">
        <f>1.95+1.95</f>
        <v>3.9</v>
      </c>
      <c r="N9" s="305"/>
      <c r="O9" s="274">
        <f>SUM(E9:F9)-SUM(G9:N9)</f>
        <v>26.1</v>
      </c>
      <c r="P9" s="274" t="str">
        <f t="shared" si="0"/>
        <v>Creamy</v>
      </c>
      <c r="Q9" s="282">
        <f>IF(O9&lt;0,O9*-1,0)</f>
        <v>0</v>
      </c>
      <c r="R9" s="243"/>
    </row>
    <row r="10" spans="1:20" ht="15" customHeight="1">
      <c r="B10" s="734"/>
      <c r="C10" s="734"/>
      <c r="D10" s="13" t="s">
        <v>189</v>
      </c>
      <c r="E10" s="735">
        <f>SUM(F11:F24)</f>
        <v>2605.6499999999996</v>
      </c>
      <c r="F10" s="735"/>
      <c r="G10" s="243"/>
      <c r="H10" s="305"/>
      <c r="J10" s="305"/>
      <c r="L10" s="305"/>
      <c r="N10" s="305"/>
      <c r="O10" s="274"/>
      <c r="P10" s="274" t="str">
        <f t="shared" si="0"/>
        <v>Direct debits</v>
      </c>
      <c r="Q10" s="282"/>
      <c r="R10" s="243"/>
    </row>
    <row r="11" spans="1:20" ht="15" customHeight="1" outlineLevel="1">
      <c r="B11" s="734"/>
      <c r="C11" s="734"/>
      <c r="D11" s="201" t="s">
        <v>595</v>
      </c>
      <c r="E11" s="523">
        <v>0</v>
      </c>
      <c r="F11" s="523">
        <v>838</v>
      </c>
      <c r="G11">
        <v>838</v>
      </c>
      <c r="H11" s="304"/>
      <c r="J11" s="305"/>
      <c r="L11" s="305"/>
      <c r="N11" s="305"/>
      <c r="O11" s="274">
        <f t="shared" ref="O11:O24" si="1">SUM(E11:F11)-SUM(G11:N11)</f>
        <v>0</v>
      </c>
      <c r="P11" s="274" t="str">
        <f t="shared" si="0"/>
        <v>Mortgage</v>
      </c>
      <c r="Q11" s="282">
        <f t="shared" ref="Q11:Q24" si="2">IF(O11&lt;0,O11*-1,0)</f>
        <v>0</v>
      </c>
      <c r="R11" s="243"/>
      <c r="S11" s="11"/>
    </row>
    <row r="12" spans="1:20" ht="15" customHeight="1" outlineLevel="1">
      <c r="B12" s="734"/>
      <c r="C12" s="734"/>
      <c r="D12" s="201" t="s">
        <v>596</v>
      </c>
      <c r="E12" s="523">
        <v>0</v>
      </c>
      <c r="F12" s="523">
        <v>168</v>
      </c>
      <c r="G12">
        <v>168</v>
      </c>
      <c r="H12" s="305"/>
      <c r="J12" s="305"/>
      <c r="L12" s="305"/>
      <c r="N12" s="305"/>
      <c r="O12" s="274">
        <f t="shared" si="1"/>
        <v>0</v>
      </c>
      <c r="P12" s="274" t="str">
        <f t="shared" si="0"/>
        <v>Council tax</v>
      </c>
      <c r="Q12" s="282">
        <f t="shared" si="2"/>
        <v>0</v>
      </c>
      <c r="S12" s="349"/>
    </row>
    <row r="13" spans="1:20" ht="15" customHeight="1" outlineLevel="1">
      <c r="B13" s="734"/>
      <c r="C13" s="734"/>
      <c r="D13" s="201" t="s">
        <v>1002</v>
      </c>
      <c r="E13" s="523">
        <v>0</v>
      </c>
      <c r="F13" s="523">
        <f>49+107.15</f>
        <v>156.15</v>
      </c>
      <c r="G13">
        <f>49+107.15</f>
        <v>156.15</v>
      </c>
      <c r="H13" s="305"/>
      <c r="J13" s="305"/>
      <c r="L13" s="305"/>
      <c r="N13" s="305"/>
      <c r="O13" s="274">
        <f t="shared" si="1"/>
        <v>0</v>
      </c>
      <c r="P13" s="274" t="str">
        <f t="shared" si="0"/>
        <v>Utilities (G,W,E,HTB)</v>
      </c>
      <c r="Q13" s="282">
        <f t="shared" si="2"/>
        <v>0</v>
      </c>
    </row>
    <row r="14" spans="1:20" ht="15" customHeight="1" outlineLevel="1">
      <c r="B14" s="734"/>
      <c r="C14" s="734"/>
      <c r="D14" s="201" t="s">
        <v>996</v>
      </c>
      <c r="E14" s="523">
        <v>0</v>
      </c>
      <c r="F14" s="523">
        <v>0</v>
      </c>
      <c r="H14" s="305"/>
      <c r="J14" s="305"/>
      <c r="L14" s="305"/>
      <c r="N14" s="305"/>
      <c r="O14" s="274">
        <f t="shared" si="1"/>
        <v>0</v>
      </c>
      <c r="P14" s="274" t="str">
        <f t="shared" si="0"/>
        <v>Home Insurance</v>
      </c>
      <c r="Q14" s="282">
        <f t="shared" si="2"/>
        <v>0</v>
      </c>
    </row>
    <row r="15" spans="1:20" ht="15" customHeight="1" outlineLevel="1">
      <c r="B15" s="734"/>
      <c r="C15" s="734"/>
      <c r="D15" s="201" t="s">
        <v>1056</v>
      </c>
      <c r="E15" s="523">
        <v>0</v>
      </c>
      <c r="F15" s="523">
        <f>9.99+31.99+20.99</f>
        <v>62.97</v>
      </c>
      <c r="G15">
        <f>22.99+31.99+9.99</f>
        <v>64.97</v>
      </c>
      <c r="H15" s="305"/>
      <c r="J15" s="305"/>
      <c r="L15" s="305"/>
      <c r="N15" s="305"/>
      <c r="O15" s="274">
        <f t="shared" si="1"/>
        <v>-2</v>
      </c>
      <c r="P15" s="274" t="str">
        <f t="shared" si="0"/>
        <v>Pet Health / Insurance</v>
      </c>
      <c r="Q15" s="282">
        <f t="shared" si="2"/>
        <v>2</v>
      </c>
    </row>
    <row r="16" spans="1:20" ht="15" customHeight="1" outlineLevel="1">
      <c r="B16" s="734"/>
      <c r="C16" s="734"/>
      <c r="D16" s="201" t="s">
        <v>1057</v>
      </c>
      <c r="E16" s="523">
        <v>0</v>
      </c>
      <c r="F16" s="523">
        <f>30.8+62.08</f>
        <v>92.88</v>
      </c>
      <c r="G16">
        <v>92.88</v>
      </c>
      <c r="H16" s="305"/>
      <c r="I16" s="11"/>
      <c r="J16" s="305"/>
      <c r="L16" s="305"/>
      <c r="N16" s="305"/>
      <c r="O16" s="274">
        <f t="shared" si="1"/>
        <v>0</v>
      </c>
      <c r="P16" s="274" t="str">
        <f t="shared" si="0"/>
        <v>Life / Income Insurance</v>
      </c>
      <c r="Q16" s="282">
        <f t="shared" si="2"/>
        <v>0</v>
      </c>
    </row>
    <row r="17" spans="2:20" ht="15" customHeight="1" outlineLevel="1">
      <c r="B17" s="734"/>
      <c r="C17" s="734"/>
      <c r="D17" s="201" t="s">
        <v>602</v>
      </c>
      <c r="E17" s="523">
        <v>0</v>
      </c>
      <c r="F17" s="523">
        <v>37</v>
      </c>
      <c r="G17">
        <v>37</v>
      </c>
      <c r="H17" s="305"/>
      <c r="J17" s="305"/>
      <c r="L17" s="305"/>
      <c r="N17" s="305"/>
      <c r="O17" s="274">
        <f t="shared" si="1"/>
        <v>0</v>
      </c>
      <c r="P17" s="274" t="str">
        <f t="shared" si="0"/>
        <v>Broadband / TV</v>
      </c>
      <c r="Q17" s="282">
        <f t="shared" si="2"/>
        <v>0</v>
      </c>
    </row>
    <row r="18" spans="2:20" ht="15" customHeight="1" outlineLevel="1">
      <c r="B18" s="734"/>
      <c r="C18" s="734"/>
      <c r="D18" s="201" t="s">
        <v>788</v>
      </c>
      <c r="E18" s="523">
        <v>0</v>
      </c>
      <c r="F18" s="523">
        <v>26</v>
      </c>
      <c r="G18">
        <v>44.1</v>
      </c>
      <c r="H18" s="305"/>
      <c r="J18" s="305"/>
      <c r="L18" s="305"/>
      <c r="N18" s="305"/>
      <c r="O18" s="274">
        <f t="shared" si="1"/>
        <v>-18.100000000000001</v>
      </c>
      <c r="P18" s="274" t="str">
        <f t="shared" si="0"/>
        <v>Matt Phone</v>
      </c>
      <c r="Q18" s="282">
        <f t="shared" si="2"/>
        <v>18.100000000000001</v>
      </c>
    </row>
    <row r="19" spans="2:20" ht="15" customHeight="1" outlineLevel="1">
      <c r="B19" s="734"/>
      <c r="C19" s="734"/>
      <c r="D19" s="201" t="s">
        <v>690</v>
      </c>
      <c r="E19" s="523">
        <v>0</v>
      </c>
      <c r="F19" s="523">
        <f>14+48.17+270.97+487+73.32+19</f>
        <v>912.46</v>
      </c>
      <c r="G19">
        <f>48.17+14+16.62+73.44+270.97+487.35</f>
        <v>910.55000000000007</v>
      </c>
      <c r="H19" s="305"/>
      <c r="J19" s="305"/>
      <c r="L19" s="305"/>
      <c r="N19" s="305"/>
      <c r="O19" s="274">
        <f t="shared" si="1"/>
        <v>1.9099999999999682</v>
      </c>
      <c r="P19" s="274" t="str">
        <f t="shared" si="0"/>
        <v>Cars</v>
      </c>
      <c r="Q19" s="282">
        <f t="shared" si="2"/>
        <v>0</v>
      </c>
    </row>
    <row r="20" spans="2:20" ht="15" customHeight="1" outlineLevel="1">
      <c r="B20" s="734"/>
      <c r="C20" s="734"/>
      <c r="D20" s="201" t="s">
        <v>944</v>
      </c>
      <c r="E20" s="523">
        <v>0</v>
      </c>
      <c r="F20" s="523">
        <v>15</v>
      </c>
      <c r="G20">
        <v>15</v>
      </c>
      <c r="H20" s="305"/>
      <c r="J20" s="305"/>
      <c r="L20" s="305"/>
      <c r="N20" s="305"/>
      <c r="O20" s="274">
        <f t="shared" si="1"/>
        <v>0</v>
      </c>
      <c r="P20" s="274" t="str">
        <f t="shared" si="0"/>
        <v>Windows</v>
      </c>
      <c r="Q20" s="282">
        <f t="shared" si="2"/>
        <v>0</v>
      </c>
      <c r="R20" s="243"/>
    </row>
    <row r="21" spans="2:20" ht="15" customHeight="1" outlineLevel="1">
      <c r="B21" s="7"/>
      <c r="C21" s="7"/>
      <c r="D21" s="201" t="s">
        <v>2042</v>
      </c>
      <c r="E21" s="523">
        <v>0</v>
      </c>
      <c r="F21" s="523">
        <v>0</v>
      </c>
      <c r="H21" s="305"/>
      <c r="J21" s="305"/>
      <c r="L21" s="305"/>
      <c r="N21" s="305"/>
      <c r="O21" s="274">
        <f t="shared" si="1"/>
        <v>0</v>
      </c>
      <c r="P21" s="274" t="str">
        <f t="shared" si="0"/>
        <v>Health + Wellness</v>
      </c>
      <c r="Q21" s="282">
        <f t="shared" si="2"/>
        <v>0</v>
      </c>
      <c r="R21" s="243"/>
    </row>
    <row r="22" spans="2:20" ht="15" customHeight="1" outlineLevel="1">
      <c r="B22" s="7"/>
      <c r="C22" s="7"/>
      <c r="D22" s="201" t="s">
        <v>920</v>
      </c>
      <c r="E22" s="523">
        <v>0</v>
      </c>
      <c r="F22" s="523">
        <f>48.22+137.5</f>
        <v>185.72</v>
      </c>
      <c r="G22">
        <f>48.22+137.5</f>
        <v>185.72</v>
      </c>
      <c r="H22" s="305"/>
      <c r="J22" s="305"/>
      <c r="L22" s="305"/>
      <c r="N22" s="305"/>
      <c r="O22" s="274">
        <f t="shared" si="1"/>
        <v>0</v>
      </c>
      <c r="P22" s="274" t="str">
        <f t="shared" si="0"/>
        <v>Finance</v>
      </c>
      <c r="Q22" s="282"/>
      <c r="R22" s="243"/>
    </row>
    <row r="23" spans="2:20" ht="15" customHeight="1" outlineLevel="1">
      <c r="B23" s="7"/>
      <c r="C23" s="7"/>
      <c r="D23" s="201" t="s">
        <v>1297</v>
      </c>
      <c r="E23" s="523">
        <v>0</v>
      </c>
      <c r="F23" s="523">
        <v>50</v>
      </c>
      <c r="G23">
        <v>50</v>
      </c>
      <c r="H23" s="305"/>
      <c r="J23" s="305"/>
      <c r="L23" s="305"/>
      <c r="N23" s="305"/>
      <c r="O23" s="274">
        <f t="shared" si="1"/>
        <v>0</v>
      </c>
      <c r="P23" s="274" t="str">
        <f t="shared" si="0"/>
        <v>Skin</v>
      </c>
      <c r="Q23" s="282"/>
      <c r="R23" s="243"/>
    </row>
    <row r="24" spans="2:20" ht="15" customHeight="1" outlineLevel="1">
      <c r="B24" s="7"/>
      <c r="C24" s="7"/>
      <c r="D24" s="201" t="s">
        <v>781</v>
      </c>
      <c r="E24" s="523">
        <v>0</v>
      </c>
      <c r="F24" s="523">
        <f>10.49+18+4.99+0.99+12+15</f>
        <v>61.470000000000006</v>
      </c>
      <c r="G24" s="11">
        <f>18+12+4.79+10.49+5.99</f>
        <v>51.27</v>
      </c>
      <c r="H24" s="305"/>
      <c r="J24" s="305"/>
      <c r="L24" s="305">
        <v>20</v>
      </c>
      <c r="N24" s="305"/>
      <c r="O24" s="274">
        <f t="shared" si="1"/>
        <v>-9.8000000000000043</v>
      </c>
      <c r="P24" s="274" t="str">
        <f t="shared" si="0"/>
        <v>Subscriptions</v>
      </c>
      <c r="Q24" s="282">
        <f t="shared" si="2"/>
        <v>9.8000000000000043</v>
      </c>
      <c r="R24" s="243"/>
    </row>
    <row r="25" spans="2:20" ht="15" customHeight="1">
      <c r="B25" s="118"/>
      <c r="C25" s="118"/>
      <c r="D25" s="188"/>
      <c r="H25" s="305"/>
      <c r="J25" s="305"/>
      <c r="L25" s="305"/>
      <c r="N25" s="305"/>
      <c r="O25" s="273"/>
      <c r="P25" s="273"/>
      <c r="Q25" s="282"/>
    </row>
    <row r="26" spans="2:20" ht="15" customHeight="1">
      <c r="B26" s="736" t="str">
        <f>_xlfn.CONCAT("Savings - 20 - ",G47*0.2," / Actual = ",D27," (",ROUND((D27/G47)*100,2),")")</f>
        <v>Savings - 20 - 1565.774 / Actual = 3857.38 (49.27)</v>
      </c>
      <c r="C26" s="736"/>
      <c r="D26" s="736"/>
      <c r="E26" s="736"/>
      <c r="F26" s="320"/>
      <c r="H26" s="305"/>
      <c r="J26" s="305"/>
      <c r="L26" s="305"/>
      <c r="N26" s="305"/>
      <c r="O26" s="274"/>
      <c r="P26" s="274"/>
      <c r="Q26" s="282"/>
    </row>
    <row r="27" spans="2:20" ht="15" customHeight="1">
      <c r="B27" s="727" t="str">
        <f>IF(ISNUMBER((SEARCH("Over",C$5))),"Operating under budget","Operating over budget")</f>
        <v>Operating over budget</v>
      </c>
      <c r="C27" s="727"/>
      <c r="D27" s="759">
        <f>F28</f>
        <v>3857.38</v>
      </c>
      <c r="E27" s="759"/>
      <c r="F27" s="319"/>
      <c r="G27" s="243">
        <f>D27-G40</f>
        <v>3324.79</v>
      </c>
      <c r="H27" s="305"/>
      <c r="J27" s="305"/>
      <c r="L27" s="305"/>
      <c r="N27" s="305"/>
      <c r="O27" s="285">
        <f>O28</f>
        <v>-615.0600000000004</v>
      </c>
      <c r="P27" s="285" t="s">
        <v>895</v>
      </c>
      <c r="Q27" s="282">
        <f>SUM(Q28:Q28)</f>
        <v>0</v>
      </c>
      <c r="S27">
        <f>371.75-225.21</f>
        <v>146.54</v>
      </c>
    </row>
    <row r="28" spans="2:20" ht="15" customHeight="1" outlineLevel="1">
      <c r="B28" s="7" t="str">
        <f>"20% : " &amp; E$47*0.2</f>
        <v>20% : 1565.774</v>
      </c>
      <c r="C28" s="7" t="str">
        <f>"20% : " &amp; E$47*0.2</f>
        <v>20% : 1565.774</v>
      </c>
      <c r="D28" s="300" t="s">
        <v>183</v>
      </c>
      <c r="E28" s="523">
        <v>0</v>
      </c>
      <c r="F28" s="523">
        <f>SUM(F29:F40)</f>
        <v>3857.38</v>
      </c>
      <c r="G28" s="243"/>
      <c r="H28" s="305"/>
      <c r="J28" s="305"/>
      <c r="L28" s="305"/>
      <c r="N28" s="305"/>
      <c r="O28" s="274">
        <f>SUM(O29:O40)</f>
        <v>-615.0600000000004</v>
      </c>
      <c r="P28" s="274" t="str">
        <f t="shared" ref="P28:P40" si="3">D28</f>
        <v>Savings</v>
      </c>
      <c r="Q28" s="282">
        <v>0</v>
      </c>
      <c r="R28" s="495"/>
      <c r="S28" s="243"/>
    </row>
    <row r="29" spans="2:20" ht="15" customHeight="1" outlineLevel="1">
      <c r="B29" s="7"/>
      <c r="C29" s="7"/>
      <c r="D29" s="300" t="s">
        <v>1485</v>
      </c>
      <c r="E29" s="523">
        <v>0</v>
      </c>
      <c r="F29" s="523">
        <v>40</v>
      </c>
      <c r="H29" s="305"/>
      <c r="J29" s="305"/>
      <c r="L29" s="362"/>
      <c r="N29" s="315"/>
      <c r="O29" s="274">
        <f>SUM(E29:F29)-SUM(G29:N29)</f>
        <v>40</v>
      </c>
      <c r="P29" s="274" t="str">
        <f t="shared" si="3"/>
        <v>MOT / Service</v>
      </c>
      <c r="Q29" s="282"/>
      <c r="R29" s="243"/>
    </row>
    <row r="30" spans="2:20" ht="15" customHeight="1" outlineLevel="1">
      <c r="B30" s="7"/>
      <c r="C30" s="7"/>
      <c r="D30" s="300" t="s">
        <v>690</v>
      </c>
      <c r="E30" s="523">
        <v>0</v>
      </c>
      <c r="F30" s="523">
        <f>-468.84-232.5</f>
        <v>-701.33999999999992</v>
      </c>
      <c r="H30" s="305"/>
      <c r="J30" s="305"/>
      <c r="L30" s="362"/>
      <c r="N30" s="315"/>
      <c r="O30" s="274">
        <f>SUM(E30:F30)-SUM(G30:N30)</f>
        <v>-701.33999999999992</v>
      </c>
      <c r="P30" s="274" t="str">
        <f t="shared" si="3"/>
        <v>Cars</v>
      </c>
      <c r="Q30" s="282"/>
      <c r="R30" s="243"/>
    </row>
    <row r="31" spans="2:20" ht="15" customHeight="1" outlineLevel="1">
      <c r="B31" s="7"/>
      <c r="C31" s="7"/>
      <c r="D31" s="300" t="s">
        <v>590</v>
      </c>
      <c r="E31" s="523">
        <v>0</v>
      </c>
      <c r="F31" s="523">
        <f>165+10.99+8.99+2.85+29.95</f>
        <v>217.78</v>
      </c>
      <c r="G31" s="305"/>
      <c r="J31" s="305"/>
      <c r="L31" s="362">
        <v>280</v>
      </c>
      <c r="N31" s="315"/>
      <c r="O31" s="274">
        <f>SUM(E31:F31)-SUM(G31:N31)-Q47</f>
        <v>-128.82</v>
      </c>
      <c r="P31" s="274" t="str">
        <f t="shared" si="3"/>
        <v>Contingency</v>
      </c>
      <c r="Q31" s="282"/>
      <c r="T31" s="243"/>
    </row>
    <row r="32" spans="2:20" ht="15" customHeight="1" outlineLevel="1">
      <c r="B32" s="7"/>
      <c r="C32" s="7"/>
      <c r="D32" s="300" t="s">
        <v>1486</v>
      </c>
      <c r="E32" s="523">
        <v>0</v>
      </c>
      <c r="F32" s="523">
        <v>13.67</v>
      </c>
      <c r="H32" s="305"/>
      <c r="J32" s="305"/>
      <c r="L32" s="362"/>
      <c r="N32" s="315"/>
      <c r="O32" s="274">
        <f t="shared" ref="O32:O40" si="4">SUM(E32:F32)-SUM(G32:N32)</f>
        <v>13.67</v>
      </c>
      <c r="P32" s="274" t="str">
        <f t="shared" si="3"/>
        <v>TV</v>
      </c>
      <c r="Q32" s="282"/>
    </row>
    <row r="33" spans="2:19" ht="15" customHeight="1" outlineLevel="1">
      <c r="B33" s="7"/>
      <c r="C33" s="7"/>
      <c r="D33" s="300" t="s">
        <v>1296</v>
      </c>
      <c r="E33" s="523">
        <v>0</v>
      </c>
      <c r="F33" s="523">
        <v>95</v>
      </c>
      <c r="H33" s="305"/>
      <c r="J33" s="305"/>
      <c r="L33" s="362"/>
      <c r="N33" s="315"/>
      <c r="O33" s="274">
        <f t="shared" si="4"/>
        <v>95</v>
      </c>
      <c r="P33" s="274" t="str">
        <f t="shared" si="3"/>
        <v>Offset</v>
      </c>
      <c r="Q33" s="282"/>
    </row>
    <row r="34" spans="2:19" ht="15" customHeight="1" outlineLevel="1">
      <c r="B34" s="7"/>
      <c r="C34" s="7"/>
      <c r="D34" s="300" t="s">
        <v>354</v>
      </c>
      <c r="E34" s="523">
        <v>0</v>
      </c>
      <c r="F34" s="523">
        <f>650+55+80+32.14+100+40-271.13+140-16.12+72.85</f>
        <v>882.74</v>
      </c>
      <c r="G34">
        <f>4.47+43.43+208</f>
        <v>255.9</v>
      </c>
      <c r="H34">
        <f>247.73+119.99-(128.52+205.22)</f>
        <v>33.979999999999961</v>
      </c>
      <c r="J34" s="305"/>
      <c r="L34" s="362">
        <v>2320.9299999999998</v>
      </c>
      <c r="N34" s="315"/>
      <c r="O34" s="274">
        <f t="shared" si="4"/>
        <v>-1728.07</v>
      </c>
      <c r="P34" s="274" t="str">
        <f t="shared" si="3"/>
        <v>Holiday</v>
      </c>
      <c r="Q34" s="282"/>
    </row>
    <row r="35" spans="2:19" ht="15" customHeight="1" outlineLevel="1">
      <c r="B35" s="7"/>
      <c r="C35" s="7"/>
      <c r="D35" s="300" t="s">
        <v>701</v>
      </c>
      <c r="E35" s="523">
        <v>0</v>
      </c>
      <c r="F35" s="523">
        <f>250</f>
        <v>250</v>
      </c>
      <c r="G35">
        <v>264</v>
      </c>
      <c r="J35" s="305"/>
      <c r="L35" s="362">
        <f>44.99+18.99+31.6-18</f>
        <v>77.580000000000013</v>
      </c>
      <c r="N35" s="315"/>
      <c r="O35" s="274">
        <f t="shared" si="4"/>
        <v>-91.580000000000041</v>
      </c>
      <c r="P35" s="274" t="str">
        <f t="shared" si="3"/>
        <v>Gift</v>
      </c>
      <c r="Q35" s="282"/>
    </row>
    <row r="36" spans="2:19" ht="15" customHeight="1" outlineLevel="1">
      <c r="B36" s="7"/>
      <c r="C36" s="7"/>
      <c r="D36" s="300" t="s">
        <v>1391</v>
      </c>
      <c r="E36" s="523">
        <v>0</v>
      </c>
      <c r="F36" s="523">
        <f>375+110+30</f>
        <v>515</v>
      </c>
      <c r="H36" s="305"/>
      <c r="J36" s="305"/>
      <c r="L36" s="362">
        <f>124.67+49.14</f>
        <v>173.81</v>
      </c>
      <c r="N36" s="315"/>
      <c r="O36" s="274">
        <f t="shared" si="4"/>
        <v>341.19</v>
      </c>
      <c r="P36" s="274" t="str">
        <f t="shared" si="3"/>
        <v>Avios</v>
      </c>
      <c r="Q36" s="282"/>
    </row>
    <row r="37" spans="2:19" ht="15" customHeight="1" outlineLevel="1">
      <c r="B37" s="7"/>
      <c r="C37" s="7"/>
      <c r="D37" s="300" t="s">
        <v>772</v>
      </c>
      <c r="E37" s="523">
        <v>0</v>
      </c>
      <c r="F37" s="523">
        <v>322.8</v>
      </c>
      <c r="H37" s="305"/>
      <c r="J37" s="305"/>
      <c r="L37" s="362"/>
      <c r="N37" s="315"/>
      <c r="O37" s="274">
        <f t="shared" si="4"/>
        <v>322.8</v>
      </c>
      <c r="P37" s="274" t="str">
        <f t="shared" si="3"/>
        <v>Home</v>
      </c>
      <c r="Q37" s="282"/>
    </row>
    <row r="38" spans="2:19" ht="15" customHeight="1" outlineLevel="1">
      <c r="B38" s="7"/>
      <c r="C38" s="7"/>
      <c r="D38" s="300" t="s">
        <v>1226</v>
      </c>
      <c r="E38" s="523">
        <v>0</v>
      </c>
      <c r="F38" s="523">
        <f>-50-472.8</f>
        <v>-522.79999999999995</v>
      </c>
      <c r="H38" s="305"/>
      <c r="J38" s="305"/>
      <c r="L38" s="362"/>
      <c r="N38" s="315"/>
      <c r="O38" s="274">
        <f t="shared" si="4"/>
        <v>-522.79999999999995</v>
      </c>
      <c r="P38" s="274" t="str">
        <f t="shared" si="3"/>
        <v>Lakes</v>
      </c>
      <c r="Q38" s="282"/>
    </row>
    <row r="39" spans="2:19" ht="15" customHeight="1" outlineLevel="1">
      <c r="B39" s="7"/>
      <c r="C39" s="7"/>
      <c r="D39" s="300" t="s">
        <v>1239</v>
      </c>
      <c r="E39" s="523">
        <v>0</v>
      </c>
      <c r="F39" s="523">
        <v>370</v>
      </c>
      <c r="H39" s="305">
        <f>9.49</f>
        <v>9.49</v>
      </c>
      <c r="J39" s="305"/>
      <c r="L39" s="362">
        <f>13.45+89.89+5.25+20.36+13+35.41+100+29.3+90+13.4+22.75+0.6+9.4+11.25+3.5</f>
        <v>457.56</v>
      </c>
      <c r="N39" s="315"/>
      <c r="O39" s="274">
        <f>SUM(E39:F39)-SUM(G39:N39)</f>
        <v>-97.050000000000011</v>
      </c>
      <c r="P39" s="274" t="str">
        <f>D39</f>
        <v>Summer</v>
      </c>
      <c r="Q39" s="282"/>
    </row>
    <row r="40" spans="2:19" ht="15" customHeight="1" outlineLevel="1">
      <c r="B40" s="7"/>
      <c r="C40" s="7"/>
      <c r="D40" s="300" t="s">
        <v>1589</v>
      </c>
      <c r="E40" s="523">
        <v>0</v>
      </c>
      <c r="F40" s="523">
        <f>1217.61+491.92+200+115+300+50</f>
        <v>2374.5299999999997</v>
      </c>
      <c r="G40">
        <v>532.59</v>
      </c>
      <c r="H40" s="305"/>
      <c r="J40" s="305"/>
      <c r="L40" s="362"/>
      <c r="N40" s="315"/>
      <c r="O40" s="274">
        <f t="shared" si="4"/>
        <v>1841.9399999999996</v>
      </c>
      <c r="P40" s="274" t="str">
        <f t="shared" si="3"/>
        <v>Amex</v>
      </c>
      <c r="Q40" s="282"/>
    </row>
    <row r="41" spans="2:19" ht="15" customHeight="1">
      <c r="B41" s="118"/>
      <c r="C41" s="118"/>
      <c r="H41" s="305"/>
      <c r="J41" s="305"/>
      <c r="L41" s="305"/>
      <c r="N41" s="305"/>
      <c r="O41" s="273"/>
      <c r="P41" s="273"/>
      <c r="Q41" s="282"/>
      <c r="R41" s="243"/>
    </row>
    <row r="42" spans="2:19" ht="15" customHeight="1">
      <c r="B42" s="727" t="str">
        <f>_xlfn.CONCAT("Wants - 30 - ",G47*0.3," / Actual = ",D43," (",ROUND((D43/G47)*100,2),")")</f>
        <v>Wants - 30 - 2348.661 / Actual = 725.839999999999 (9.27)</v>
      </c>
      <c r="C42" s="727"/>
      <c r="D42" s="727"/>
      <c r="E42" s="727"/>
      <c r="F42" s="318"/>
      <c r="H42" s="305"/>
      <c r="J42" s="305"/>
      <c r="L42" s="305"/>
      <c r="N42" s="305"/>
      <c r="O42" s="273"/>
      <c r="P42" s="273"/>
      <c r="Q42" s="282"/>
      <c r="S42" s="243"/>
    </row>
    <row r="43" spans="2:19" ht="15" customHeight="1">
      <c r="B43" s="727" t="str">
        <f>IF(ISNUMBER((SEARCH("Over",B$5))),"Operating under budget","Operating over budget")</f>
        <v>Operating over budget</v>
      </c>
      <c r="C43" s="727"/>
      <c r="D43" s="759">
        <f>(E$47-D5-D27-E46)</f>
        <v>725.83999999999924</v>
      </c>
      <c r="E43" s="727"/>
      <c r="F43" s="319">
        <f>F44</f>
        <v>477.33999999999924</v>
      </c>
      <c r="H43" s="305"/>
      <c r="J43" s="305"/>
      <c r="L43" s="305"/>
      <c r="N43" s="305"/>
      <c r="O43" s="285">
        <f>0</f>
        <v>0</v>
      </c>
      <c r="P43" s="285" t="s">
        <v>899</v>
      </c>
      <c r="Q43" s="282">
        <f>SUM(Q44:Q44)</f>
        <v>0</v>
      </c>
      <c r="S43" s="243"/>
    </row>
    <row r="44" spans="2:19" ht="18" outlineLevel="1">
      <c r="B44" s="7"/>
      <c r="C44" s="284"/>
      <c r="D44" s="13" t="s">
        <v>922</v>
      </c>
      <c r="E44" s="523">
        <v>0</v>
      </c>
      <c r="F44" s="523">
        <f>D43-F45</f>
        <v>477.33999999999924</v>
      </c>
      <c r="G44" s="11">
        <f>17.99</f>
        <v>17.989999999999998</v>
      </c>
      <c r="H44">
        <f>14.75-12.74+4.31+9.99</f>
        <v>16.309999999999999</v>
      </c>
      <c r="J44">
        <f>17+15.75</f>
        <v>32.75</v>
      </c>
      <c r="L44">
        <f>43.4+64.26+7.6+5.35+4.09+8.65+16+2.95+5+3+11.55+7.45+4+7.99+0.99+8.76</f>
        <v>201.04</v>
      </c>
      <c r="N44" s="305"/>
      <c r="O44" s="274">
        <f>SUM(E44:F44)-SUM(G44:N44)</f>
        <v>209.24999999999926</v>
      </c>
      <c r="P44" s="274" t="str">
        <f>D44</f>
        <v>Matt Fun</v>
      </c>
      <c r="Q44" s="282">
        <f>IF(SUM(E44:F44)-SUM(G44:N44)&lt;=0,(SUM(E44:F44)-SUM(G44:N44))*-1,0)</f>
        <v>0</v>
      </c>
    </row>
    <row r="45" spans="2:19" ht="18" outlineLevel="1">
      <c r="B45" s="7"/>
      <c r="C45" s="284"/>
      <c r="D45" s="13" t="s">
        <v>152</v>
      </c>
      <c r="E45" s="523">
        <v>0</v>
      </c>
      <c r="F45" s="523">
        <f>148+44+16.5+30+10</f>
        <v>248.5</v>
      </c>
      <c r="G45" s="11"/>
      <c r="H45" s="306"/>
      <c r="J45" s="305"/>
      <c r="L45" s="305">
        <f>148.5+44+38+16.5</f>
        <v>247</v>
      </c>
      <c r="N45" s="305"/>
      <c r="O45" s="274">
        <f>SUM(E45:F45)-SUM(G45:N45)</f>
        <v>1.5</v>
      </c>
      <c r="P45" s="274" t="str">
        <f>D45</f>
        <v>Kris</v>
      </c>
      <c r="Q45" s="271">
        <f>IF(F45-SUM(G45:N45)&lt;=0,(F45-SUM(G45:N45))*-1,0)</f>
        <v>0</v>
      </c>
    </row>
    <row r="46" spans="2:19">
      <c r="B46" s="118"/>
      <c r="C46" s="118"/>
      <c r="E46" s="523">
        <f>E28</f>
        <v>0</v>
      </c>
      <c r="G46" s="349"/>
      <c r="J46" s="7"/>
      <c r="L46" s="7"/>
      <c r="N46" s="7"/>
      <c r="O46" s="273"/>
      <c r="P46" s="273"/>
      <c r="Q46" s="282"/>
    </row>
    <row r="47" spans="2:19" ht="18">
      <c r="B47" s="728" t="s">
        <v>817</v>
      </c>
      <c r="C47" s="728"/>
      <c r="D47" s="728"/>
      <c r="E47" s="529">
        <f>G47+I47+K47+M47+N47+E46</f>
        <v>7828.87</v>
      </c>
      <c r="F47" s="530"/>
      <c r="G47" s="271">
        <f>1217.61+3595.84+910+140+491.92+200+115+300+35+148+44+110+30+100+100+30+16.5+30+205+10</f>
        <v>7828.87</v>
      </c>
      <c r="H47" s="282"/>
      <c r="I47" s="271"/>
      <c r="J47" s="271"/>
      <c r="K47" s="271"/>
      <c r="L47" s="271"/>
      <c r="M47" s="271"/>
      <c r="N47" s="271"/>
      <c r="O47" s="314">
        <f>ROUND(O5+O43+O27+IF(O44&lt;0,0,O44)+O45+O4,2)</f>
        <v>4157.09</v>
      </c>
      <c r="P47" s="274"/>
      <c r="Q47" s="282">
        <f>SUM(Q43,Q27,Q5)</f>
        <v>66.599999999999994</v>
      </c>
    </row>
    <row r="48" spans="2:19" ht="18">
      <c r="B48" s="118"/>
      <c r="C48" s="7"/>
      <c r="D48" s="13" t="s">
        <v>1451</v>
      </c>
      <c r="G48" s="523"/>
      <c r="H48" s="243"/>
      <c r="L48" s="243"/>
    </row>
    <row r="49" spans="2:18" ht="14.4">
      <c r="B49" s="729"/>
      <c r="C49" s="729"/>
      <c r="D49" s="729"/>
      <c r="E49" s="729"/>
      <c r="F49" s="729"/>
      <c r="G49" s="729"/>
      <c r="H49" s="297"/>
      <c r="K49" s="729"/>
      <c r="L49" s="729"/>
      <c r="M49" s="729"/>
      <c r="N49" s="729"/>
      <c r="O49" s="729"/>
      <c r="P49" s="297"/>
    </row>
    <row r="50" spans="2:18" ht="15" customHeight="1">
      <c r="B50" s="726" t="s">
        <v>955</v>
      </c>
      <c r="C50" s="726"/>
      <c r="E50"/>
      <c r="F50" s="348"/>
      <c r="H50" s="243"/>
      <c r="K50" s="212"/>
      <c r="L50" s="212"/>
      <c r="M50" s="243"/>
      <c r="N50" s="118" t="s">
        <v>2365</v>
      </c>
      <c r="O50" s="316">
        <v>45863</v>
      </c>
      <c r="P50" s="7">
        <f ca="1">DATEDIF(O50,NOW(),"d")</f>
        <v>388</v>
      </c>
      <c r="Q50">
        <v>44</v>
      </c>
      <c r="R50" t="s">
        <v>2357</v>
      </c>
    </row>
    <row r="51" spans="2:18">
      <c r="B51" s="523"/>
      <c r="C51" s="38"/>
      <c r="E51"/>
      <c r="F51" s="767"/>
      <c r="G51" s="767"/>
      <c r="I51" s="243"/>
      <c r="K51" s="11"/>
      <c r="L51" s="243">
        <f>O47-4962.65</f>
        <v>-805.55999999999949</v>
      </c>
      <c r="N51" s="483" t="s">
        <v>2364</v>
      </c>
      <c r="O51" s="42">
        <v>45863</v>
      </c>
      <c r="P51" s="7">
        <f ca="1">DATEDIF(O51,NOW(),"d")</f>
        <v>388</v>
      </c>
      <c r="Q51">
        <v>9.99</v>
      </c>
      <c r="R51" t="s">
        <v>1317</v>
      </c>
    </row>
    <row r="52" spans="2:18">
      <c r="E52" s="534"/>
      <c r="F52" s="545"/>
      <c r="G52" s="458"/>
      <c r="H52" s="445"/>
      <c r="I52" s="726" t="s">
        <v>2220</v>
      </c>
      <c r="J52" s="726"/>
      <c r="L52" s="243"/>
      <c r="N52" s="358" t="s">
        <v>2275</v>
      </c>
      <c r="O52" s="316">
        <v>45858</v>
      </c>
      <c r="P52" s="7">
        <f ca="1">DATEDIF(O52,NOW(),"d")</f>
        <v>393</v>
      </c>
      <c r="Q52">
        <v>67</v>
      </c>
      <c r="R52" t="s">
        <v>1441</v>
      </c>
    </row>
    <row r="53" spans="2:18" ht="16.2" customHeight="1">
      <c r="D53" t="s">
        <v>2277</v>
      </c>
      <c r="E53" s="534"/>
      <c r="H53" s="243"/>
      <c r="I53" s="546"/>
      <c r="J53" s="458"/>
      <c r="K53" t="s">
        <v>2347</v>
      </c>
      <c r="L53" s="243"/>
      <c r="N53" t="s">
        <v>2358</v>
      </c>
      <c r="O53" s="316">
        <v>45858</v>
      </c>
      <c r="P53" s="7">
        <v>0</v>
      </c>
      <c r="Q53">
        <v>20.02</v>
      </c>
      <c r="R53" t="s">
        <v>2359</v>
      </c>
    </row>
    <row r="54" spans="2:18">
      <c r="B54" s="532"/>
      <c r="D54" s="284" t="s">
        <v>2276</v>
      </c>
      <c r="E54" s="267"/>
      <c r="G54" s="539"/>
      <c r="H54" s="243"/>
      <c r="I54" s="242" t="s">
        <v>2233</v>
      </c>
      <c r="J54" s="242">
        <v>70</v>
      </c>
      <c r="K54" s="243" t="s">
        <v>2348</v>
      </c>
      <c r="M54" s="243"/>
      <c r="P54"/>
    </row>
    <row r="55" spans="2:18">
      <c r="E55" s="11"/>
      <c r="H55" s="243"/>
      <c r="I55" s="601" t="s">
        <v>1475</v>
      </c>
      <c r="J55" s="448">
        <v>170</v>
      </c>
      <c r="M55" s="243"/>
      <c r="P55"/>
      <c r="Q55" s="243"/>
    </row>
    <row r="56" spans="2:18">
      <c r="E56" s="534"/>
      <c r="F56" s="492"/>
      <c r="G56" s="515"/>
      <c r="H56" s="515"/>
      <c r="I56" s="602" t="s">
        <v>2241</v>
      </c>
      <c r="J56" s="603">
        <v>200</v>
      </c>
      <c r="K56" t="s">
        <v>2349</v>
      </c>
      <c r="L56" s="243"/>
      <c r="M56" s="243"/>
      <c r="P56" s="292"/>
      <c r="Q56" s="212"/>
    </row>
    <row r="57" spans="2:18" ht="15" customHeight="1">
      <c r="H57" s="243"/>
      <c r="I57" s="602" t="s">
        <v>2299</v>
      </c>
      <c r="J57" s="242">
        <v>300</v>
      </c>
      <c r="K57" t="s">
        <v>2350</v>
      </c>
      <c r="M57" s="243">
        <v>50</v>
      </c>
      <c r="N57" s="243"/>
      <c r="P57" s="56"/>
      <c r="Q57" s="38"/>
    </row>
    <row r="58" spans="2:18">
      <c r="F58" s="390"/>
      <c r="H58" s="243"/>
      <c r="I58" s="605" t="s">
        <v>2300</v>
      </c>
      <c r="J58" s="358">
        <v>210</v>
      </c>
      <c r="K58" t="s">
        <v>2351</v>
      </c>
      <c r="M58" s="243"/>
      <c r="O58"/>
      <c r="P58"/>
    </row>
    <row r="59" spans="2:18" ht="15" customHeight="1">
      <c r="I59" s="601" t="s">
        <v>1538</v>
      </c>
      <c r="J59" s="448">
        <v>400</v>
      </c>
      <c r="K59" t="s">
        <v>2352</v>
      </c>
      <c r="M59" s="243">
        <v>375</v>
      </c>
    </row>
    <row r="60" spans="2:18" ht="16.2" customHeight="1">
      <c r="E60" s="781"/>
      <c r="I60" s="602" t="s">
        <v>2301</v>
      </c>
      <c r="J60" s="500">
        <v>200</v>
      </c>
      <c r="K60" t="s">
        <v>2349</v>
      </c>
      <c r="M60" s="243"/>
    </row>
    <row r="61" spans="2:18">
      <c r="B61" s="11"/>
      <c r="E61" s="781"/>
      <c r="J61" s="243"/>
      <c r="M61" s="243"/>
      <c r="O61"/>
      <c r="P61"/>
    </row>
    <row r="62" spans="2:18">
      <c r="B62" s="11"/>
      <c r="E62" s="284"/>
      <c r="K62">
        <v>180</v>
      </c>
      <c r="O62"/>
      <c r="P62"/>
    </row>
    <row r="63" spans="2:18">
      <c r="B63" s="11"/>
      <c r="E63" s="284"/>
      <c r="F63" s="625"/>
      <c r="J63" s="243"/>
      <c r="K63">
        <v>70</v>
      </c>
      <c r="O63"/>
      <c r="P63"/>
    </row>
    <row r="64" spans="2:18">
      <c r="E64" s="534"/>
      <c r="I64" s="248"/>
      <c r="K64">
        <v>200</v>
      </c>
      <c r="L64" s="243"/>
      <c r="M64" t="s">
        <v>2366</v>
      </c>
      <c r="N64">
        <f>4144.75-N76-N77+3800</f>
        <v>7609.71</v>
      </c>
      <c r="O64"/>
      <c r="P64"/>
    </row>
    <row r="65" spans="2:16">
      <c r="B65" s="212"/>
      <c r="C65" s="212"/>
      <c r="I65" s="516"/>
      <c r="J65" s="79"/>
      <c r="K65" s="118"/>
      <c r="L65" s="243"/>
      <c r="M65" t="s">
        <v>2369</v>
      </c>
      <c r="N65" s="243">
        <v>9934.1200000000008</v>
      </c>
      <c r="O65"/>
      <c r="P65"/>
    </row>
    <row r="66" spans="2:16">
      <c r="C66" s="56"/>
      <c r="I66" s="494"/>
      <c r="J66" s="79"/>
      <c r="L66" s="243"/>
      <c r="M66" t="s">
        <v>2137</v>
      </c>
      <c r="N66" s="243">
        <f>N65-N64</f>
        <v>2324.4100000000008</v>
      </c>
      <c r="O66"/>
      <c r="P66"/>
    </row>
    <row r="67" spans="2:16" ht="15.75" customHeight="1">
      <c r="C67" s="56"/>
      <c r="L67" s="243"/>
      <c r="M67" s="243" t="s">
        <v>183</v>
      </c>
      <c r="N67" s="243">
        <f>2774-N66+160</f>
        <v>609.58999999999924</v>
      </c>
      <c r="O67"/>
      <c r="P67"/>
    </row>
    <row r="68" spans="2:16">
      <c r="C68" s="56"/>
      <c r="E68"/>
      <c r="G68" s="243"/>
      <c r="M68" s="243" t="s">
        <v>2367</v>
      </c>
      <c r="N68" s="243">
        <f>N67-200</f>
        <v>409.58999999999924</v>
      </c>
      <c r="O68"/>
      <c r="P68"/>
    </row>
    <row r="69" spans="2:16" ht="14.4">
      <c r="C69" s="56"/>
      <c r="D69" s="188"/>
      <c r="E69"/>
      <c r="F69" s="79"/>
      <c r="M69" t="s">
        <v>2368</v>
      </c>
      <c r="N69" s="243">
        <f>N68-300</f>
        <v>109.58999999999924</v>
      </c>
      <c r="O69"/>
      <c r="P69"/>
    </row>
    <row r="70" spans="2:16">
      <c r="C70" s="56"/>
      <c r="E70" t="s">
        <v>2263</v>
      </c>
      <c r="F70" s="545">
        <v>161500</v>
      </c>
      <c r="G70">
        <v>838</v>
      </c>
      <c r="H70" t="s">
        <v>2261</v>
      </c>
      <c r="O70"/>
      <c r="P70"/>
    </row>
    <row r="71" spans="2:16" ht="14.4">
      <c r="C71" s="56"/>
      <c r="E71" s="407" t="s">
        <v>2262</v>
      </c>
      <c r="F71" s="55">
        <v>148000</v>
      </c>
      <c r="G71">
        <v>848</v>
      </c>
      <c r="H71" t="s">
        <v>2261</v>
      </c>
      <c r="O71"/>
      <c r="P71"/>
    </row>
    <row r="72" spans="2:16">
      <c r="C72" s="56"/>
      <c r="E72"/>
      <c r="I72" s="407"/>
      <c r="J72" s="79"/>
      <c r="N72" s="243"/>
      <c r="O72"/>
      <c r="P72"/>
    </row>
    <row r="73" spans="2:16">
      <c r="C73" s="56"/>
      <c r="E73" s="347"/>
      <c r="N73" s="243"/>
      <c r="O73"/>
      <c r="P73"/>
    </row>
    <row r="74" spans="2:16">
      <c r="C74" s="56"/>
      <c r="E74"/>
      <c r="F74" s="545"/>
      <c r="J74" s="118"/>
      <c r="L74" s="243"/>
      <c r="O74"/>
      <c r="P74"/>
    </row>
    <row r="75" spans="2:16" ht="14.4">
      <c r="C75" s="56"/>
      <c r="E75" s="407"/>
      <c r="F75"/>
      <c r="G75">
        <v>350</v>
      </c>
      <c r="H75" t="s">
        <v>2264</v>
      </c>
      <c r="I75" s="407"/>
      <c r="J75" s="407"/>
      <c r="O75"/>
      <c r="P75"/>
    </row>
    <row r="76" spans="2:16" ht="15.45" customHeight="1">
      <c r="C76" s="56"/>
      <c r="E76" s="407"/>
      <c r="F76" s="11"/>
      <c r="H76" t="s">
        <v>2265</v>
      </c>
      <c r="I76" s="407"/>
      <c r="J76" s="407"/>
      <c r="K76" s="407"/>
      <c r="L76" s="407"/>
      <c r="M76" s="606" t="s">
        <v>887</v>
      </c>
      <c r="N76" s="448">
        <v>235.98</v>
      </c>
      <c r="O76"/>
      <c r="P76"/>
    </row>
    <row r="77" spans="2:16" ht="14.4">
      <c r="D77" s="459"/>
      <c r="E77" s="243"/>
      <c r="F77" s="459"/>
      <c r="M77" s="448" t="s">
        <v>1363</v>
      </c>
      <c r="N77" s="448">
        <v>99.06</v>
      </c>
      <c r="O77"/>
      <c r="P77"/>
    </row>
    <row r="78" spans="2:16" ht="14.4">
      <c r="B78" s="212"/>
      <c r="C78" s="294"/>
      <c r="D78" s="188"/>
      <c r="E78"/>
      <c r="F78" s="188"/>
      <c r="M78" t="s">
        <v>1386</v>
      </c>
      <c r="N78" s="243">
        <f>10223.13-'JUL-AUG 25'!L4</f>
        <v>7662.8199999999988</v>
      </c>
      <c r="O78"/>
      <c r="P78"/>
    </row>
    <row r="79" spans="2:16" ht="15.45" customHeight="1">
      <c r="C79" s="56"/>
      <c r="E79" s="243"/>
      <c r="F79"/>
      <c r="M79" s="243"/>
      <c r="O79"/>
      <c r="P79"/>
    </row>
    <row r="80" spans="2:16">
      <c r="C80" s="56"/>
      <c r="E80" s="532"/>
      <c r="F80"/>
      <c r="O80"/>
      <c r="P80"/>
    </row>
    <row r="81" spans="3:16">
      <c r="C81" s="56"/>
      <c r="L81" s="459"/>
      <c r="M81" s="461"/>
      <c r="O81"/>
      <c r="P81"/>
    </row>
    <row r="82" spans="3:16">
      <c r="C82" s="56"/>
      <c r="D82" s="426"/>
      <c r="E82" s="533"/>
      <c r="L82" s="188"/>
      <c r="M82" s="230"/>
      <c r="O82"/>
      <c r="P82"/>
    </row>
    <row r="83" spans="3:16">
      <c r="C83" s="56"/>
      <c r="D83" s="405"/>
      <c r="E83" s="407"/>
      <c r="L83" s="188"/>
      <c r="M83" s="230"/>
      <c r="O83"/>
      <c r="P83"/>
    </row>
    <row r="84" spans="3:16">
      <c r="C84" s="56"/>
      <c r="D84" s="532"/>
      <c r="E84"/>
      <c r="L84" s="188"/>
      <c r="M84" s="230"/>
      <c r="O84"/>
      <c r="P84"/>
    </row>
    <row r="85" spans="3:16">
      <c r="E85" s="533"/>
      <c r="L85" s="188"/>
      <c r="M85" s="230"/>
      <c r="O85"/>
      <c r="P85"/>
    </row>
    <row r="86" spans="3:16">
      <c r="E86" s="533"/>
      <c r="L86" s="532"/>
      <c r="M86" s="230"/>
      <c r="O86"/>
      <c r="P86"/>
    </row>
    <row r="87" spans="3:16">
      <c r="E87" s="533"/>
      <c r="F87" s="212"/>
      <c r="L87" s="405"/>
      <c r="M87" s="230"/>
      <c r="O87"/>
      <c r="P87"/>
    </row>
    <row r="88" spans="3:16" ht="14.4">
      <c r="E88"/>
      <c r="F88"/>
      <c r="L88" s="405"/>
      <c r="M88" s="462"/>
      <c r="O88"/>
      <c r="P88"/>
    </row>
    <row r="89" spans="3:16" ht="14.4">
      <c r="E89"/>
      <c r="F89"/>
      <c r="O89"/>
      <c r="P89"/>
    </row>
    <row r="90" spans="3:16" ht="14.4">
      <c r="E90"/>
      <c r="F90"/>
      <c r="O90"/>
      <c r="P90"/>
    </row>
    <row r="91" spans="3:16" ht="14.4">
      <c r="E91" s="292"/>
      <c r="F91" s="56"/>
      <c r="O91"/>
      <c r="P91"/>
    </row>
    <row r="92" spans="3:16" ht="14.4">
      <c r="E92" s="42"/>
      <c r="F92" s="56"/>
      <c r="O92"/>
      <c r="P92"/>
    </row>
    <row r="93" spans="3:16" ht="14.4">
      <c r="E93" s="56"/>
      <c r="F93" s="56"/>
      <c r="O93"/>
      <c r="P93"/>
    </row>
    <row r="94" spans="3:16">
      <c r="O94"/>
      <c r="P94"/>
    </row>
    <row r="95" spans="3:16" ht="14.4">
      <c r="E95" s="212"/>
      <c r="F95" s="212"/>
      <c r="O95"/>
      <c r="P95"/>
    </row>
    <row r="96" spans="3:16" ht="14.4">
      <c r="E96"/>
      <c r="F96" s="56"/>
      <c r="O96"/>
      <c r="P96"/>
    </row>
    <row r="97" spans="5:16" ht="14.4">
      <c r="E97" s="56"/>
      <c r="F97" s="56"/>
      <c r="O97"/>
      <c r="P97"/>
    </row>
    <row r="98" spans="5:16" ht="14.4">
      <c r="E98" s="56"/>
      <c r="F98" s="56"/>
      <c r="G98" s="407"/>
      <c r="O98"/>
      <c r="P98"/>
    </row>
    <row r="99" spans="5:16" ht="14.4">
      <c r="E99" s="56"/>
      <c r="F99" s="56"/>
      <c r="G99" s="407"/>
      <c r="O99"/>
      <c r="P99"/>
    </row>
    <row r="100" spans="5:16" ht="14.4">
      <c r="E100" s="56"/>
      <c r="F100" s="56"/>
      <c r="G100" s="407"/>
      <c r="O100"/>
      <c r="P100"/>
    </row>
    <row r="101" spans="5:16" ht="14.4">
      <c r="E101" s="56"/>
      <c r="F101" s="56"/>
      <c r="G101" s="407"/>
      <c r="O101"/>
      <c r="P101"/>
    </row>
    <row r="102" spans="5:16">
      <c r="G102" s="407"/>
      <c r="O102"/>
      <c r="P102"/>
    </row>
    <row r="103" spans="5:16">
      <c r="G103" s="407"/>
      <c r="O103"/>
      <c r="P103"/>
    </row>
    <row r="104" spans="5:16">
      <c r="G104" s="407"/>
      <c r="O104"/>
      <c r="P104"/>
    </row>
    <row r="105" spans="5:16">
      <c r="G105" s="407"/>
    </row>
  </sheetData>
  <mergeCells count="24">
    <mergeCell ref="E60:E61"/>
    <mergeCell ref="B49:G49"/>
    <mergeCell ref="K49:O49"/>
    <mergeCell ref="B50:C50"/>
    <mergeCell ref="F51:G51"/>
    <mergeCell ref="I52:J52"/>
    <mergeCell ref="B47:D47"/>
    <mergeCell ref="B5:C5"/>
    <mergeCell ref="D5:E5"/>
    <mergeCell ref="B6:B20"/>
    <mergeCell ref="C6:C20"/>
    <mergeCell ref="E10:F10"/>
    <mergeCell ref="B26:E26"/>
    <mergeCell ref="B27:C27"/>
    <mergeCell ref="D27:E27"/>
    <mergeCell ref="B42:E42"/>
    <mergeCell ref="B43:C43"/>
    <mergeCell ref="D43:E43"/>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5E00B-538A-491C-A67A-6B93A9212E35}">
  <dimension ref="A1:X106"/>
  <sheetViews>
    <sheetView topLeftCell="D24" zoomScale="90" zoomScaleNormal="90" workbookViewId="0">
      <selection activeCell="L44" sqref="L4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str">
        <f ca="1">UPPER(TEXT((1&amp;LEFT(B$1,3))-1,"MMM"))&amp;"-"&amp;UPPER(TEXT((1&amp;RIGHT(LEFT(B$1,7),3))-1,"MMM"))&amp;" "&amp;RIGHT(B$1,4)</f>
        <v>JUN-JUL G 25</v>
      </c>
      <c r="B1" s="730" t="str">
        <f ca="1">MID(CELL("filename",B1),FIND("]",CELL("filename",B1))+1,255)</f>
        <v>JUL-AUG 25</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1424</v>
      </c>
      <c r="K2" s="79" t="s">
        <v>800</v>
      </c>
      <c r="L2" s="307" t="s">
        <v>1449</v>
      </c>
      <c r="M2" s="79" t="s">
        <v>801</v>
      </c>
      <c r="N2" s="307" t="s">
        <v>1450</v>
      </c>
      <c r="O2" s="273" t="s">
        <v>10</v>
      </c>
      <c r="P2" s="273"/>
      <c r="Q2" s="283" t="s">
        <v>803</v>
      </c>
    </row>
    <row r="3" spans="1:24">
      <c r="B3" s="118"/>
      <c r="C3" s="118"/>
      <c r="D3" s="290" t="str">
        <f>"£" &amp; ROUND(O5+O43+O27+IF(O44&lt;0,0,O44)+O46+O4,2) &amp; " / " &amp; "£" &amp; E48</f>
        <v>£1987.01 / £14927.25</v>
      </c>
      <c r="G3" s="732">
        <v>45772</v>
      </c>
      <c r="H3" s="732"/>
      <c r="I3" s="732">
        <f>G3+7</f>
        <v>45779</v>
      </c>
      <c r="J3" s="732"/>
      <c r="K3" s="732">
        <f>I3+7</f>
        <v>45786</v>
      </c>
      <c r="L3" s="732"/>
      <c r="M3" s="732">
        <f>K3+7</f>
        <v>45793</v>
      </c>
      <c r="N3" s="732"/>
      <c r="O3" s="308">
        <v>0</v>
      </c>
      <c r="P3" s="325" t="s">
        <v>1224</v>
      </c>
      <c r="Q3" s="282"/>
    </row>
    <row r="4" spans="1:24" ht="15" customHeight="1">
      <c r="B4" s="727" t="str">
        <f>_xlfn.CONCAT("Expenses - 50 - ",G48*0.5," / Actual = ",ROUND(D5,2)," (",ROUND((D5/G48)*100,2),")")</f>
        <v>Expenses - 50 - 7463.625 / Actual = 3338.61 (22.37)</v>
      </c>
      <c r="C4" s="727"/>
      <c r="D4" s="727"/>
      <c r="E4" s="727"/>
      <c r="F4" s="318"/>
      <c r="G4" s="243"/>
      <c r="H4" s="304">
        <f>SUM(H5:H46)-I4</f>
        <v>382.30000000000007</v>
      </c>
      <c r="I4" s="243"/>
      <c r="J4" s="304">
        <f>SUM(J5:J46)</f>
        <v>0</v>
      </c>
      <c r="K4" s="243"/>
      <c r="L4" s="304">
        <f>SUM(L5:L46)</f>
        <v>2560.3100000000004</v>
      </c>
      <c r="M4" s="243">
        <f>2636.8-L4</f>
        <v>76.489999999999782</v>
      </c>
      <c r="N4" s="304">
        <f>SUM(N5:N46)-SUM(N29:N35)</f>
        <v>0</v>
      </c>
      <c r="O4" s="308">
        <f>IF(H47&lt;&gt;"PAID",H4,0)+IF(J47&lt;&gt;"PAID",J4,0)+IF(L47&lt;&gt;"PAID",L4,0)+IF(N47&lt;&gt;"PAID",N4,0)</f>
        <v>2942.6100000000006</v>
      </c>
      <c r="P4" s="309" t="s">
        <v>973</v>
      </c>
      <c r="Q4" s="408"/>
      <c r="R4" s="243"/>
      <c r="S4" s="607"/>
      <c r="T4" s="306"/>
      <c r="U4" s="390"/>
      <c r="V4" s="306"/>
      <c r="W4" s="390"/>
      <c r="X4" s="306"/>
    </row>
    <row r="5" spans="1:24" ht="15" customHeight="1">
      <c r="B5" s="733" t="str">
        <f>IF(D5&gt;E$48*0.5,ROUND(D5-E$48*0.5,2) &amp; " Over",ROUND(E$48*0.5-D5,2) &amp; " Under")</f>
        <v>4125.02 Under</v>
      </c>
      <c r="C5" s="733"/>
      <c r="D5" s="761">
        <f>ROUND(SUM(F6:F24),2)</f>
        <v>3338.61</v>
      </c>
      <c r="E5" s="761"/>
      <c r="F5" s="321"/>
      <c r="G5" s="284"/>
      <c r="H5" s="306"/>
      <c r="I5" s="390"/>
      <c r="J5" s="306"/>
      <c r="K5" s="390"/>
      <c r="L5" s="306"/>
      <c r="M5" s="79"/>
      <c r="N5" s="305"/>
      <c r="O5" s="285">
        <f>SUMIF(O6:O24,"&gt;0")</f>
        <v>17.829999999999998</v>
      </c>
      <c r="P5" s="285" t="s">
        <v>892</v>
      </c>
      <c r="Q5" s="282">
        <f>SUM(Q6:Q24)</f>
        <v>169.16000000000003</v>
      </c>
      <c r="R5" s="243"/>
      <c r="T5" s="304"/>
      <c r="V5" s="305"/>
      <c r="X5" s="305">
        <f>31.27</f>
        <v>31.27</v>
      </c>
    </row>
    <row r="6" spans="1:24" ht="15" customHeight="1">
      <c r="B6" s="734" t="str">
        <f>"50%: " &amp; E$48*0.5</f>
        <v>50%: 7463.625</v>
      </c>
      <c r="C6" s="734" t="str">
        <f>ROUND((D5/E$48)*100,2) &amp; "%: " &amp;D5</f>
        <v>22.37%: 3338.61</v>
      </c>
      <c r="D6" s="13" t="s">
        <v>805</v>
      </c>
      <c r="E6" s="523">
        <v>0</v>
      </c>
      <c r="F6" s="528">
        <v>150</v>
      </c>
      <c r="H6" s="304"/>
      <c r="J6" s="305"/>
      <c r="L6" s="305">
        <f>31.27+34.25+31.18+20.02+30.05</f>
        <v>146.76999999999998</v>
      </c>
      <c r="N6" s="305"/>
      <c r="O6" s="274">
        <f>SUM(E6:F6)-SUM(G6:N6)</f>
        <v>3.2300000000000182</v>
      </c>
      <c r="P6" s="274" t="str">
        <f t="shared" ref="P6:P24" si="0">D6</f>
        <v>Car Petrol / commuting</v>
      </c>
      <c r="Q6" s="282">
        <f>IF(O6&lt;0,O6*-1,0)</f>
        <v>0</v>
      </c>
      <c r="R6" s="243"/>
      <c r="T6" s="304"/>
      <c r="V6" s="305"/>
      <c r="X6" s="305">
        <f>86.93+1+0.59</f>
        <v>88.52000000000001</v>
      </c>
    </row>
    <row r="7" spans="1:24" ht="15" customHeight="1">
      <c r="B7" s="734"/>
      <c r="C7" s="734"/>
      <c r="D7" s="13" t="s">
        <v>169</v>
      </c>
      <c r="E7" s="523">
        <v>0</v>
      </c>
      <c r="F7" s="523">
        <f>445</f>
        <v>445</v>
      </c>
      <c r="H7" s="304">
        <f>4.99</f>
        <v>4.99</v>
      </c>
      <c r="J7" s="305"/>
      <c r="L7" s="305">
        <f>88.52-12.28+3.9+2.35+43.08+133.29+12.42+92.34+191.02</f>
        <v>554.64</v>
      </c>
      <c r="N7" s="305"/>
      <c r="O7" s="274">
        <f>SUM(E7:F7)-SUM(G7:N7)</f>
        <v>-114.63</v>
      </c>
      <c r="P7" s="274" t="str">
        <f t="shared" si="0"/>
        <v>Food</v>
      </c>
      <c r="Q7" s="282">
        <f>IF(O7&lt;0,O7*-1,0)</f>
        <v>114.63</v>
      </c>
      <c r="R7" s="243"/>
      <c r="T7" s="305"/>
      <c r="V7" s="305"/>
      <c r="X7" s="305">
        <f>69.37</f>
        <v>69.37</v>
      </c>
    </row>
    <row r="8" spans="1:24" ht="15" customHeight="1">
      <c r="B8" s="734"/>
      <c r="C8" s="734"/>
      <c r="D8" s="13" t="s">
        <v>153</v>
      </c>
      <c r="E8" s="523">
        <v>0</v>
      </c>
      <c r="F8" s="523">
        <v>95</v>
      </c>
      <c r="H8" s="305"/>
      <c r="J8" s="305"/>
      <c r="L8" s="305">
        <f>69.37+41.33+7.59+22.44</f>
        <v>140.73000000000002</v>
      </c>
      <c r="N8" s="305"/>
      <c r="O8" s="274">
        <f>SUM(E8:F8)-SUM(G8:N8)</f>
        <v>-45.730000000000018</v>
      </c>
      <c r="P8" s="274" t="str">
        <f t="shared" si="0"/>
        <v>Luna</v>
      </c>
      <c r="Q8" s="282">
        <f>IF(O8&lt;0,O8*-1,0)</f>
        <v>45.730000000000018</v>
      </c>
      <c r="T8" s="305"/>
      <c r="V8" s="305"/>
      <c r="X8" s="305">
        <f>4.99+6.74</f>
        <v>11.73</v>
      </c>
    </row>
    <row r="9" spans="1:24" ht="15" customHeight="1">
      <c r="B9" s="734"/>
      <c r="C9" s="734"/>
      <c r="D9" s="13" t="s">
        <v>1079</v>
      </c>
      <c r="E9" s="523">
        <v>0</v>
      </c>
      <c r="F9" s="523">
        <f>25</f>
        <v>25</v>
      </c>
      <c r="H9" s="305"/>
      <c r="J9" s="305"/>
      <c r="L9" s="305">
        <f>11.73+49.55-27.48</f>
        <v>33.799999999999997</v>
      </c>
      <c r="N9" s="305"/>
      <c r="O9" s="274">
        <f>SUM(E9:F9)-SUM(G9:N9)</f>
        <v>-8.7999999999999972</v>
      </c>
      <c r="P9" s="274" t="str">
        <f t="shared" si="0"/>
        <v>Creamy</v>
      </c>
      <c r="Q9" s="282">
        <f>IF(O9&lt;0,O9*-1,0)</f>
        <v>8.7999999999999972</v>
      </c>
      <c r="R9" s="243"/>
      <c r="S9" s="243"/>
      <c r="T9" s="305"/>
      <c r="V9" s="305"/>
      <c r="X9" s="305"/>
    </row>
    <row r="10" spans="1:24" ht="15" customHeight="1">
      <c r="B10" s="734"/>
      <c r="C10" s="734"/>
      <c r="D10" s="13" t="s">
        <v>189</v>
      </c>
      <c r="E10" s="735">
        <f>SUM(F11:F24)</f>
        <v>2623.6099999999997</v>
      </c>
      <c r="F10" s="735"/>
      <c r="G10" s="243"/>
      <c r="H10" s="305"/>
      <c r="J10" s="305"/>
      <c r="L10" s="305"/>
      <c r="N10" s="305"/>
      <c r="O10" s="274"/>
      <c r="P10" s="274" t="str">
        <f t="shared" si="0"/>
        <v>Direct debits</v>
      </c>
      <c r="Q10" s="282"/>
      <c r="R10" s="243"/>
      <c r="T10" s="304"/>
      <c r="V10" s="305"/>
      <c r="X10" s="305"/>
    </row>
    <row r="11" spans="1:24" ht="15" customHeight="1" outlineLevel="1">
      <c r="B11" s="734"/>
      <c r="C11" s="734"/>
      <c r="D11" s="201" t="s">
        <v>595</v>
      </c>
      <c r="E11" s="523">
        <v>0</v>
      </c>
      <c r="F11" s="523">
        <v>838</v>
      </c>
      <c r="G11">
        <v>838</v>
      </c>
      <c r="H11" s="304"/>
      <c r="J11" s="305"/>
      <c r="L11" s="305"/>
      <c r="N11" s="305"/>
      <c r="O11" s="274">
        <f t="shared" ref="O11:O24" si="1">SUM(E11:F11)-SUM(G11:N11)</f>
        <v>0</v>
      </c>
      <c r="P11" s="274" t="str">
        <f t="shared" si="0"/>
        <v>Mortgage</v>
      </c>
      <c r="Q11" s="282">
        <f t="shared" ref="Q11:Q24" si="2">IF(O11&lt;0,O11*-1,0)</f>
        <v>0</v>
      </c>
      <c r="R11" s="243"/>
      <c r="T11" s="305"/>
      <c r="V11" s="305"/>
      <c r="X11" s="305"/>
    </row>
    <row r="12" spans="1:24" ht="15" customHeight="1" outlineLevel="1">
      <c r="B12" s="734"/>
      <c r="C12" s="734"/>
      <c r="D12" s="201" t="s">
        <v>596</v>
      </c>
      <c r="E12" s="523">
        <v>0</v>
      </c>
      <c r="F12" s="523">
        <v>168</v>
      </c>
      <c r="G12">
        <v>168</v>
      </c>
      <c r="H12" s="305"/>
      <c r="J12" s="305"/>
      <c r="L12" s="305"/>
      <c r="N12" s="305"/>
      <c r="O12" s="274">
        <f t="shared" si="1"/>
        <v>0</v>
      </c>
      <c r="P12" s="274" t="str">
        <f t="shared" si="0"/>
        <v>Council tax</v>
      </c>
      <c r="Q12" s="282">
        <f t="shared" si="2"/>
        <v>0</v>
      </c>
      <c r="T12" s="305"/>
      <c r="V12" s="305"/>
      <c r="X12" s="305"/>
    </row>
    <row r="13" spans="1:24" ht="15" customHeight="1" outlineLevel="1">
      <c r="B13" s="734"/>
      <c r="C13" s="734"/>
      <c r="D13" s="201" t="s">
        <v>1002</v>
      </c>
      <c r="E13" s="523">
        <v>0</v>
      </c>
      <c r="F13" s="523">
        <f>49+107.15</f>
        <v>156.15</v>
      </c>
      <c r="G13">
        <f>49+107.15</f>
        <v>156.15</v>
      </c>
      <c r="H13" s="305"/>
      <c r="J13" s="305"/>
      <c r="L13" s="305"/>
      <c r="N13" s="305"/>
      <c r="O13" s="274">
        <f t="shared" si="1"/>
        <v>0</v>
      </c>
      <c r="P13" s="274" t="str">
        <f t="shared" si="0"/>
        <v>Utilities (G,W,E,HTB)</v>
      </c>
      <c r="Q13" s="282">
        <f t="shared" si="2"/>
        <v>0</v>
      </c>
      <c r="T13" s="305"/>
      <c r="V13" s="305"/>
      <c r="X13" s="305"/>
    </row>
    <row r="14" spans="1:24" ht="15" customHeight="1" outlineLevel="1">
      <c r="B14" s="734"/>
      <c r="C14" s="734"/>
      <c r="D14" s="201" t="s">
        <v>996</v>
      </c>
      <c r="E14" s="523">
        <v>0</v>
      </c>
      <c r="F14" s="523">
        <v>72.849999999999994</v>
      </c>
      <c r="G14">
        <v>72.84</v>
      </c>
      <c r="H14" s="305"/>
      <c r="J14" s="305"/>
      <c r="L14" s="305"/>
      <c r="N14" s="305"/>
      <c r="O14" s="274">
        <f t="shared" si="1"/>
        <v>9.9999999999909051E-3</v>
      </c>
      <c r="P14" s="274" t="str">
        <f t="shared" si="0"/>
        <v>Home Insurance</v>
      </c>
      <c r="Q14" s="282">
        <f t="shared" si="2"/>
        <v>0</v>
      </c>
      <c r="T14" s="305"/>
      <c r="V14" s="305"/>
      <c r="X14" s="305"/>
    </row>
    <row r="15" spans="1:24" ht="15" customHeight="1" outlineLevel="1">
      <c r="B15" s="734"/>
      <c r="C15" s="734"/>
      <c r="D15" s="201" t="s">
        <v>1056</v>
      </c>
      <c r="E15" s="523">
        <v>0</v>
      </c>
      <c r="F15" s="523">
        <f>9.99+31.99+20.99-7.99</f>
        <v>54.98</v>
      </c>
      <c r="G15">
        <f>31.99+22.99</f>
        <v>54.98</v>
      </c>
      <c r="H15" s="305"/>
      <c r="J15" s="305"/>
      <c r="L15" s="305"/>
      <c r="N15" s="305"/>
      <c r="O15" s="274">
        <f t="shared" si="1"/>
        <v>0</v>
      </c>
      <c r="P15" s="274" t="str">
        <f t="shared" si="0"/>
        <v>Pet Health / Insurance</v>
      </c>
      <c r="Q15" s="282">
        <f t="shared" si="2"/>
        <v>0</v>
      </c>
      <c r="T15" s="305"/>
      <c r="U15" s="11"/>
      <c r="V15" s="305"/>
      <c r="X15" s="305"/>
    </row>
    <row r="16" spans="1:24" ht="15" customHeight="1" outlineLevel="1">
      <c r="B16" s="734"/>
      <c r="C16" s="734"/>
      <c r="D16" s="201" t="s">
        <v>1057</v>
      </c>
      <c r="E16" s="523">
        <v>0</v>
      </c>
      <c r="F16" s="523">
        <f>30.8+62.08</f>
        <v>92.88</v>
      </c>
      <c r="G16">
        <v>92.88</v>
      </c>
      <c r="H16" s="305"/>
      <c r="I16" s="11"/>
      <c r="J16" s="305"/>
      <c r="L16" s="305"/>
      <c r="N16" s="305"/>
      <c r="O16" s="274">
        <f t="shared" si="1"/>
        <v>0</v>
      </c>
      <c r="P16" s="274" t="str">
        <f t="shared" si="0"/>
        <v>Life / Income Insurance</v>
      </c>
      <c r="Q16" s="282">
        <f t="shared" si="2"/>
        <v>0</v>
      </c>
      <c r="T16" s="305"/>
      <c r="V16" s="305"/>
      <c r="X16" s="305"/>
    </row>
    <row r="17" spans="2:24" ht="15" customHeight="1" outlineLevel="1">
      <c r="B17" s="734"/>
      <c r="C17" s="734"/>
      <c r="D17" s="201" t="s">
        <v>602</v>
      </c>
      <c r="E17" s="523">
        <v>0</v>
      </c>
      <c r="F17" s="523">
        <v>37</v>
      </c>
      <c r="G17">
        <v>37</v>
      </c>
      <c r="H17" s="305"/>
      <c r="J17" s="305"/>
      <c r="L17" s="305"/>
      <c r="N17" s="305"/>
      <c r="O17" s="274">
        <f t="shared" si="1"/>
        <v>0</v>
      </c>
      <c r="P17" s="274" t="str">
        <f t="shared" si="0"/>
        <v>Broadband / TV</v>
      </c>
      <c r="Q17" s="282">
        <f t="shared" si="2"/>
        <v>0</v>
      </c>
      <c r="T17" s="305"/>
      <c r="V17" s="305"/>
      <c r="X17" s="305"/>
    </row>
    <row r="18" spans="2:24" ht="15" customHeight="1" outlineLevel="1">
      <c r="B18" s="734"/>
      <c r="C18" s="734"/>
      <c r="D18" s="201" t="s">
        <v>788</v>
      </c>
      <c r="E18" s="523">
        <v>0</v>
      </c>
      <c r="F18" s="523">
        <v>29.1</v>
      </c>
      <c r="G18">
        <v>29.1</v>
      </c>
      <c r="H18" s="305"/>
      <c r="J18" s="305"/>
      <c r="L18" s="305"/>
      <c r="N18" s="305"/>
      <c r="O18" s="274">
        <f t="shared" si="1"/>
        <v>0</v>
      </c>
      <c r="P18" s="274" t="str">
        <f t="shared" si="0"/>
        <v>Matt Phone</v>
      </c>
      <c r="Q18" s="282">
        <f t="shared" si="2"/>
        <v>0</v>
      </c>
      <c r="T18" s="305"/>
      <c r="V18" s="305"/>
      <c r="X18" s="305"/>
    </row>
    <row r="19" spans="2:24" ht="15" customHeight="1" outlineLevel="1">
      <c r="B19" s="734"/>
      <c r="C19" s="734"/>
      <c r="D19" s="201" t="s">
        <v>690</v>
      </c>
      <c r="E19" s="523">
        <v>0</v>
      </c>
      <c r="F19" s="523">
        <f>14+48.17+73.32+19+270.97+487</f>
        <v>912.46</v>
      </c>
      <c r="G19">
        <f>48.17+73.44+16.62+14.52+270.97+487.35</f>
        <v>911.07</v>
      </c>
      <c r="H19" s="305"/>
      <c r="J19" s="305"/>
      <c r="L19" s="305"/>
      <c r="N19" s="305"/>
      <c r="O19" s="274">
        <f t="shared" si="1"/>
        <v>1.3899999999999864</v>
      </c>
      <c r="P19" s="274" t="str">
        <f t="shared" si="0"/>
        <v>Cars</v>
      </c>
      <c r="Q19" s="282">
        <f t="shared" si="2"/>
        <v>0</v>
      </c>
      <c r="T19" s="305"/>
      <c r="V19" s="305"/>
      <c r="X19" s="305"/>
    </row>
    <row r="20" spans="2:24" ht="15" customHeight="1" outlineLevel="1">
      <c r="B20" s="734"/>
      <c r="C20" s="734"/>
      <c r="D20" s="201" t="s">
        <v>944</v>
      </c>
      <c r="E20" s="523">
        <v>0</v>
      </c>
      <c r="F20" s="523">
        <v>15</v>
      </c>
      <c r="G20">
        <v>15</v>
      </c>
      <c r="H20" s="305"/>
      <c r="J20" s="305"/>
      <c r="L20" s="305"/>
      <c r="N20" s="305"/>
      <c r="O20" s="274">
        <f t="shared" si="1"/>
        <v>0</v>
      </c>
      <c r="P20" s="274" t="str">
        <f t="shared" si="0"/>
        <v>Windows</v>
      </c>
      <c r="Q20" s="282">
        <f t="shared" si="2"/>
        <v>0</v>
      </c>
      <c r="R20" s="243"/>
      <c r="T20" s="305"/>
      <c r="V20" s="305"/>
      <c r="X20" s="305"/>
    </row>
    <row r="21" spans="2:24" ht="15" customHeight="1" outlineLevel="1">
      <c r="B21" s="7"/>
      <c r="C21" s="7"/>
      <c r="D21" s="201" t="s">
        <v>2042</v>
      </c>
      <c r="E21" s="523">
        <v>0</v>
      </c>
      <c r="F21" s="523">
        <v>0</v>
      </c>
      <c r="H21" s="305"/>
      <c r="J21" s="305"/>
      <c r="L21" s="305"/>
      <c r="N21" s="305"/>
      <c r="O21" s="274">
        <f t="shared" si="1"/>
        <v>0</v>
      </c>
      <c r="P21" s="274" t="str">
        <f t="shared" si="0"/>
        <v>Health + Wellness</v>
      </c>
      <c r="Q21" s="282">
        <f t="shared" si="2"/>
        <v>0</v>
      </c>
      <c r="R21" s="243"/>
      <c r="T21" s="305"/>
      <c r="V21" s="305"/>
      <c r="X21" s="305"/>
    </row>
    <row r="22" spans="2:24" ht="15" customHeight="1" outlineLevel="1">
      <c r="B22" s="7"/>
      <c r="C22" s="7"/>
      <c r="D22" s="201" t="s">
        <v>920</v>
      </c>
      <c r="E22" s="523">
        <v>0</v>
      </c>
      <c r="F22" s="523">
        <f>48.22+137.5</f>
        <v>185.72</v>
      </c>
      <c r="G22">
        <f>48.22+137.5</f>
        <v>185.72</v>
      </c>
      <c r="H22" s="305"/>
      <c r="J22" s="305"/>
      <c r="L22" s="305"/>
      <c r="N22" s="305"/>
      <c r="O22" s="274">
        <f t="shared" si="1"/>
        <v>0</v>
      </c>
      <c r="P22" s="274" t="str">
        <f t="shared" si="0"/>
        <v>Finance</v>
      </c>
      <c r="Q22" s="282"/>
      <c r="R22" s="243"/>
      <c r="T22" s="305"/>
      <c r="V22" s="305"/>
      <c r="X22" s="305"/>
    </row>
    <row r="23" spans="2:24" ht="15" customHeight="1" outlineLevel="1">
      <c r="B23" s="7"/>
      <c r="C23" s="7"/>
      <c r="D23" s="201" t="s">
        <v>1297</v>
      </c>
      <c r="E23" s="523">
        <v>0</v>
      </c>
      <c r="F23" s="523">
        <v>0</v>
      </c>
      <c r="H23" s="305"/>
      <c r="J23" s="305"/>
      <c r="L23" s="305"/>
      <c r="N23" s="305"/>
      <c r="O23" s="274">
        <f t="shared" si="1"/>
        <v>0</v>
      </c>
      <c r="P23" s="274" t="str">
        <f t="shared" si="0"/>
        <v>Skin</v>
      </c>
      <c r="Q23" s="282"/>
      <c r="R23" s="243"/>
      <c r="S23" s="11"/>
      <c r="T23" s="305"/>
      <c r="V23" s="305"/>
      <c r="X23" s="305"/>
    </row>
    <row r="24" spans="2:24" ht="15" customHeight="1" outlineLevel="1">
      <c r="B24" s="7"/>
      <c r="C24" s="7"/>
      <c r="D24" s="201" t="s">
        <v>781</v>
      </c>
      <c r="E24" s="523">
        <v>0</v>
      </c>
      <c r="F24" s="523">
        <f>10.49+18+4.99+0.99+12+15</f>
        <v>61.470000000000006</v>
      </c>
      <c r="G24" s="11">
        <f>12+18+1.79+10.49+5.99</f>
        <v>48.27</v>
      </c>
      <c r="H24" s="305"/>
      <c r="J24" s="305"/>
      <c r="L24" s="305"/>
      <c r="N24" s="305"/>
      <c r="O24" s="274">
        <f t="shared" si="1"/>
        <v>13.200000000000003</v>
      </c>
      <c r="P24" s="274" t="str">
        <f t="shared" si="0"/>
        <v>Subscriptions</v>
      </c>
      <c r="Q24" s="282">
        <f t="shared" si="2"/>
        <v>0</v>
      </c>
      <c r="R24" s="243"/>
      <c r="T24" s="305"/>
      <c r="V24" s="305"/>
      <c r="X24" s="305"/>
    </row>
    <row r="25" spans="2:24" ht="15" customHeight="1">
      <c r="B25" s="118"/>
      <c r="C25" s="118"/>
      <c r="D25" s="188"/>
      <c r="H25" s="305"/>
      <c r="J25" s="305"/>
      <c r="L25" s="305"/>
      <c r="N25" s="305"/>
      <c r="O25" s="273"/>
      <c r="P25" s="273"/>
      <c r="Q25" s="282"/>
      <c r="T25" s="305"/>
      <c r="V25" s="305"/>
      <c r="X25" s="305"/>
    </row>
    <row r="26" spans="2:24" ht="15" customHeight="1">
      <c r="B26" s="736" t="str">
        <f>_xlfn.CONCAT("Savings - 20 - ",G48*0.2," / Actual = ",D27," (",ROUND((D27/G48)*100,2),")")</f>
        <v>Savings - 20 - 2985.45 / Actual = 807.59 (5.41)</v>
      </c>
      <c r="C26" s="736"/>
      <c r="D26" s="736"/>
      <c r="E26" s="736"/>
      <c r="F26" s="320"/>
      <c r="H26" s="305"/>
      <c r="J26" s="305"/>
      <c r="L26" s="305"/>
      <c r="N26" s="305"/>
      <c r="O26" s="274"/>
      <c r="P26" s="274"/>
      <c r="Q26" s="282"/>
      <c r="T26" s="305"/>
      <c r="V26" s="305"/>
      <c r="X26" s="305"/>
    </row>
    <row r="27" spans="2:24" ht="15" customHeight="1">
      <c r="B27" s="727" t="str">
        <f>IF(ISNUMBER((SEARCH("Over",C$5))),"Operating under budget","Operating over budget")</f>
        <v>Operating over budget</v>
      </c>
      <c r="C27" s="727"/>
      <c r="D27" s="759">
        <f>F28</f>
        <v>807.58999999999992</v>
      </c>
      <c r="E27" s="759"/>
      <c r="F27" s="319"/>
      <c r="H27" s="305"/>
      <c r="J27" s="305"/>
      <c r="L27" s="305"/>
      <c r="N27" s="305"/>
      <c r="O27" s="285">
        <f>O28</f>
        <v>-11309.880000000001</v>
      </c>
      <c r="P27" s="285" t="s">
        <v>895</v>
      </c>
      <c r="Q27" s="282">
        <f>SUM(Q28:Q28)</f>
        <v>0</v>
      </c>
      <c r="S27" s="243"/>
      <c r="T27" s="305"/>
      <c r="V27" s="305"/>
      <c r="X27" s="305"/>
    </row>
    <row r="28" spans="2:24" ht="15" customHeight="1" outlineLevel="1">
      <c r="B28" s="7" t="str">
        <f>"20% : " &amp; E$48*0.2</f>
        <v>20% : 2985.45</v>
      </c>
      <c r="C28" s="7" t="str">
        <f>"20% : " &amp; E$48*0.2</f>
        <v>20% : 2985.45</v>
      </c>
      <c r="D28" s="300" t="s">
        <v>183</v>
      </c>
      <c r="E28" s="523">
        <v>0</v>
      </c>
      <c r="F28" s="523">
        <f>SUM(F29:F40)</f>
        <v>807.58999999999992</v>
      </c>
      <c r="G28" s="243"/>
      <c r="H28" s="305"/>
      <c r="J28" s="305"/>
      <c r="L28" s="305"/>
      <c r="N28" s="305"/>
      <c r="O28" s="274">
        <f>SUM(O29:O40)</f>
        <v>-11309.880000000001</v>
      </c>
      <c r="P28" s="274" t="str">
        <f t="shared" ref="P28:P40" si="3">D28</f>
        <v>Savings</v>
      </c>
      <c r="Q28" s="282">
        <v>0</v>
      </c>
      <c r="R28" s="495"/>
      <c r="T28" s="305"/>
      <c r="V28" s="305"/>
      <c r="X28" s="362"/>
    </row>
    <row r="29" spans="2:24" ht="15" customHeight="1" outlineLevel="1">
      <c r="B29" s="7"/>
      <c r="C29" s="7"/>
      <c r="D29" s="300" t="s">
        <v>1485</v>
      </c>
      <c r="E29" s="523">
        <v>0</v>
      </c>
      <c r="F29" s="523">
        <v>90</v>
      </c>
      <c r="H29" s="305"/>
      <c r="J29" s="305"/>
      <c r="L29" s="362"/>
      <c r="N29" s="315"/>
      <c r="O29" s="274">
        <f>SUM(E29:F29)-SUM(G29:N29)</f>
        <v>90</v>
      </c>
      <c r="P29" s="274" t="str">
        <f t="shared" si="3"/>
        <v>MOT / Service</v>
      </c>
      <c r="Q29" s="282"/>
      <c r="R29" s="243"/>
      <c r="T29" s="305"/>
      <c r="V29" s="305"/>
      <c r="X29" s="362"/>
    </row>
    <row r="30" spans="2:24" ht="15" customHeight="1" outlineLevel="1">
      <c r="B30" s="7"/>
      <c r="C30" s="7"/>
      <c r="D30" s="300" t="s">
        <v>690</v>
      </c>
      <c r="E30" s="523">
        <v>0</v>
      </c>
      <c r="F30" s="523">
        <f>-468.84-232.5</f>
        <v>-701.33999999999992</v>
      </c>
      <c r="H30" s="305"/>
      <c r="J30" s="305"/>
      <c r="L30" s="362"/>
      <c r="N30" s="315"/>
      <c r="O30" s="274">
        <f>SUM(E30:F30)-SUM(G30:N30)</f>
        <v>-701.33999999999992</v>
      </c>
      <c r="P30" s="274" t="str">
        <f t="shared" si="3"/>
        <v>Cars</v>
      </c>
      <c r="Q30" s="282"/>
      <c r="R30" s="243"/>
      <c r="S30" s="305"/>
      <c r="V30" s="305"/>
      <c r="X30" s="362"/>
    </row>
    <row r="31" spans="2:24" ht="15" customHeight="1" outlineLevel="1">
      <c r="B31" s="7"/>
      <c r="C31" s="7"/>
      <c r="D31" s="300" t="s">
        <v>590</v>
      </c>
      <c r="E31" s="523">
        <v>0</v>
      </c>
      <c r="F31" s="523">
        <f>165+10.99+8.99+2.85+29.95</f>
        <v>217.78</v>
      </c>
      <c r="G31" s="305"/>
      <c r="J31" s="305"/>
      <c r="L31" s="362">
        <f>93.95+224.56</f>
        <v>318.51</v>
      </c>
      <c r="N31" s="315"/>
      <c r="O31" s="274">
        <f>SUM(E31:F31)-SUM(G31:N31)-Q48</f>
        <v>-269.89</v>
      </c>
      <c r="P31" s="274" t="str">
        <f t="shared" si="3"/>
        <v>Contingency</v>
      </c>
      <c r="Q31" s="282"/>
      <c r="T31" s="305"/>
      <c r="V31" s="305"/>
      <c r="X31" s="362"/>
    </row>
    <row r="32" spans="2:24" ht="15" customHeight="1" outlineLevel="1">
      <c r="B32" s="7"/>
      <c r="C32" s="7"/>
      <c r="D32" s="300" t="s">
        <v>1486</v>
      </c>
      <c r="E32" s="523">
        <v>0</v>
      </c>
      <c r="F32" s="523">
        <v>13.67</v>
      </c>
      <c r="G32">
        <v>44.87</v>
      </c>
      <c r="H32" s="305"/>
      <c r="J32" s="305"/>
      <c r="L32" s="362"/>
      <c r="N32" s="315"/>
      <c r="O32" s="274">
        <f t="shared" ref="O32:O40" si="4">SUM(E32:F32)-SUM(G32:N32)</f>
        <v>-31.199999999999996</v>
      </c>
      <c r="P32" s="274" t="str">
        <f t="shared" si="3"/>
        <v>TV</v>
      </c>
      <c r="Q32" s="282"/>
      <c r="T32" s="305"/>
      <c r="V32" s="305"/>
      <c r="X32" s="362"/>
    </row>
    <row r="33" spans="2:24" ht="15" customHeight="1" outlineLevel="1">
      <c r="B33" s="7"/>
      <c r="C33" s="7"/>
      <c r="D33" s="300" t="s">
        <v>1296</v>
      </c>
      <c r="E33" s="523">
        <v>0</v>
      </c>
      <c r="F33" s="523">
        <v>95</v>
      </c>
      <c r="H33" s="305"/>
      <c r="J33" s="305"/>
      <c r="L33" s="362"/>
      <c r="N33" s="315"/>
      <c r="O33" s="274">
        <f t="shared" si="4"/>
        <v>95</v>
      </c>
      <c r="P33" s="274" t="str">
        <f t="shared" si="3"/>
        <v>Offset</v>
      </c>
      <c r="Q33" s="282"/>
      <c r="V33" s="305"/>
      <c r="X33" s="362"/>
    </row>
    <row r="34" spans="2:24" ht="15" customHeight="1" outlineLevel="1">
      <c r="B34" s="7"/>
      <c r="C34" s="7"/>
      <c r="D34" s="300" t="s">
        <v>354</v>
      </c>
      <c r="E34" s="523">
        <v>0</v>
      </c>
      <c r="F34" s="523">
        <f>650+55+80+32.14+100+40-271.13+140-16.12</f>
        <v>809.89</v>
      </c>
      <c r="J34" s="305"/>
      <c r="L34" s="362">
        <f>117+89+89+117</f>
        <v>412</v>
      </c>
      <c r="N34" s="315"/>
      <c r="O34" s="274">
        <f t="shared" si="4"/>
        <v>397.89</v>
      </c>
      <c r="P34" s="274" t="str">
        <f t="shared" si="3"/>
        <v>Holiday</v>
      </c>
      <c r="Q34" s="282"/>
      <c r="V34" s="305"/>
      <c r="X34" s="362">
        <f>43.99+19.99</f>
        <v>63.980000000000004</v>
      </c>
    </row>
    <row r="35" spans="2:24" ht="15" customHeight="1" outlineLevel="1">
      <c r="B35" s="7"/>
      <c r="C35" s="7"/>
      <c r="D35" s="300" t="s">
        <v>701</v>
      </c>
      <c r="E35" s="523">
        <v>0</v>
      </c>
      <c r="F35" s="523">
        <f>250</f>
        <v>250</v>
      </c>
      <c r="J35" s="305"/>
      <c r="L35" s="362">
        <v>63.980000000000004</v>
      </c>
      <c r="N35" s="315"/>
      <c r="O35" s="274">
        <f t="shared" si="4"/>
        <v>186.01999999999998</v>
      </c>
      <c r="P35" s="274" t="str">
        <f t="shared" si="3"/>
        <v>Gift</v>
      </c>
      <c r="Q35" s="282"/>
      <c r="T35" s="305"/>
      <c r="V35" s="305"/>
      <c r="X35" s="362"/>
    </row>
    <row r="36" spans="2:24" ht="15" customHeight="1" outlineLevel="1">
      <c r="B36" s="7"/>
      <c r="C36" s="7"/>
      <c r="D36" s="300" t="s">
        <v>1391</v>
      </c>
      <c r="E36" s="523">
        <v>0</v>
      </c>
      <c r="F36" s="523">
        <v>375</v>
      </c>
      <c r="H36" s="305"/>
      <c r="J36" s="305"/>
      <c r="L36" s="362"/>
      <c r="N36" s="315"/>
      <c r="O36" s="274">
        <f t="shared" si="4"/>
        <v>375</v>
      </c>
      <c r="P36" s="274" t="str">
        <f t="shared" si="3"/>
        <v>Avios</v>
      </c>
      <c r="Q36" s="282"/>
      <c r="T36" s="305"/>
      <c r="V36" s="305"/>
      <c r="X36" s="362"/>
    </row>
    <row r="37" spans="2:24" ht="15" customHeight="1" outlineLevel="1">
      <c r="B37" s="7"/>
      <c r="C37" s="7"/>
      <c r="D37" s="300" t="s">
        <v>772</v>
      </c>
      <c r="E37" s="523">
        <v>0</v>
      </c>
      <c r="F37" s="523">
        <f>-1072.41</f>
        <v>-1072.4100000000001</v>
      </c>
      <c r="H37" s="305"/>
      <c r="J37" s="305"/>
      <c r="L37" s="362"/>
      <c r="N37" s="315"/>
      <c r="O37" s="274">
        <f t="shared" si="4"/>
        <v>-1072.4100000000001</v>
      </c>
      <c r="P37" s="274" t="str">
        <f t="shared" si="3"/>
        <v>Home</v>
      </c>
      <c r="Q37" s="282"/>
      <c r="T37" s="305"/>
      <c r="V37" s="305"/>
      <c r="X37" s="362"/>
    </row>
    <row r="38" spans="2:24" ht="15" customHeight="1" outlineLevel="1">
      <c r="B38" s="7"/>
      <c r="C38" s="7"/>
      <c r="D38" s="300" t="s">
        <v>2278</v>
      </c>
      <c r="E38" s="523">
        <v>0</v>
      </c>
      <c r="F38" s="523">
        <f>170+160</f>
        <v>330</v>
      </c>
      <c r="H38" s="305">
        <v>300</v>
      </c>
      <c r="J38" s="305"/>
      <c r="L38" s="362"/>
      <c r="N38" s="315"/>
      <c r="O38" s="274">
        <f t="shared" si="4"/>
        <v>30</v>
      </c>
      <c r="P38" s="274" t="str">
        <f t="shared" si="3"/>
        <v>Balance Transfer</v>
      </c>
      <c r="Q38" s="282"/>
      <c r="T38" s="305"/>
      <c r="V38" s="305"/>
      <c r="X38" s="362"/>
    </row>
    <row r="39" spans="2:24" ht="15" customHeight="1" outlineLevel="1">
      <c r="B39" s="7"/>
      <c r="C39" s="7"/>
      <c r="D39" s="300" t="s">
        <v>2370</v>
      </c>
      <c r="E39" s="523">
        <v>0</v>
      </c>
      <c r="F39" s="523">
        <v>400</v>
      </c>
      <c r="G39">
        <v>30</v>
      </c>
      <c r="H39" s="305">
        <f>10+26.09</f>
        <v>36.090000000000003</v>
      </c>
      <c r="J39" s="305"/>
      <c r="L39" s="362">
        <f>2.38+35+7.13+(150+54.56+15.15+9.25+91.03+6.75+12+9.6+10+35+12.85+8+15)</f>
        <v>473.70000000000005</v>
      </c>
      <c r="N39" s="315"/>
      <c r="O39" s="274">
        <f t="shared" si="4"/>
        <v>-139.79000000000008</v>
      </c>
      <c r="P39" s="274" t="str">
        <f t="shared" si="3"/>
        <v>Summer Budget</v>
      </c>
      <c r="Q39" s="282"/>
      <c r="T39" s="305"/>
      <c r="V39" s="305"/>
      <c r="X39" s="362"/>
    </row>
    <row r="40" spans="2:24" ht="15" customHeight="1" outlineLevel="1">
      <c r="B40" s="7"/>
      <c r="C40" s="7"/>
      <c r="D40" s="300" t="s">
        <v>2377</v>
      </c>
      <c r="E40" s="523">
        <v>0</v>
      </c>
      <c r="F40" s="390">
        <v>0</v>
      </c>
      <c r="G40">
        <f>235.98+99.06+9934.12</f>
        <v>10269.16</v>
      </c>
      <c r="H40" s="305"/>
      <c r="J40" s="305"/>
      <c r="L40" s="362"/>
      <c r="N40" s="315"/>
      <c r="O40" s="274">
        <f t="shared" si="4"/>
        <v>-10269.16</v>
      </c>
      <c r="P40" s="274" t="str">
        <f t="shared" si="3"/>
        <v>Credit Cards</v>
      </c>
      <c r="Q40" s="282"/>
      <c r="T40" s="305"/>
      <c r="V40" s="305"/>
      <c r="X40" s="305"/>
    </row>
    <row r="41" spans="2:24" ht="15" customHeight="1">
      <c r="B41" s="118"/>
      <c r="C41" s="118"/>
      <c r="H41" s="305"/>
      <c r="J41" s="305"/>
      <c r="L41" s="305"/>
      <c r="N41" s="305"/>
      <c r="O41" s="273"/>
      <c r="P41" s="273"/>
      <c r="Q41" s="282"/>
      <c r="R41" s="243"/>
      <c r="T41" s="305"/>
      <c r="V41" s="305"/>
      <c r="X41" s="305"/>
    </row>
    <row r="42" spans="2:24" ht="15" customHeight="1">
      <c r="B42" s="727" t="str">
        <f>_xlfn.CONCAT("Wants - 30 - ",G48*0.3," / Actual = ",D43," (",ROUND((D43/G48)*100,2),")")</f>
        <v>Wants - 30 - 4478.175 / Actual = 10781.05 (72.22)</v>
      </c>
      <c r="C42" s="727"/>
      <c r="D42" s="727"/>
      <c r="E42" s="727"/>
      <c r="F42" s="318"/>
      <c r="H42" s="305"/>
      <c r="J42" s="305"/>
      <c r="L42" s="305"/>
      <c r="N42" s="305"/>
      <c r="O42" s="273"/>
      <c r="P42" s="273"/>
      <c r="Q42" s="282"/>
      <c r="T42" s="305"/>
      <c r="V42" s="305"/>
      <c r="X42" s="305"/>
    </row>
    <row r="43" spans="2:24" ht="15" customHeight="1">
      <c r="B43" s="727" t="str">
        <f>IF(ISNUMBER((SEARCH("Over",B$5))),"Operating under budget","Operating over budget")</f>
        <v>Operating over budget</v>
      </c>
      <c r="C43" s="727"/>
      <c r="D43" s="759">
        <f>(E$48-D5-D27-E47)</f>
        <v>10781.05</v>
      </c>
      <c r="E43" s="727"/>
      <c r="F43" s="319">
        <f>F44</f>
        <v>10375.099999999999</v>
      </c>
      <c r="H43" s="305"/>
      <c r="J43" s="305"/>
      <c r="L43" s="305"/>
      <c r="N43" s="305"/>
      <c r="O43" s="285">
        <f>0</f>
        <v>0</v>
      </c>
      <c r="P43" s="285" t="s">
        <v>899</v>
      </c>
      <c r="Q43" s="282">
        <f>SUM(Q44:Q44)</f>
        <v>0</v>
      </c>
      <c r="S43" s="11"/>
      <c r="X43">
        <f>1.16</f>
        <v>1.1599999999999999</v>
      </c>
    </row>
    <row r="44" spans="2:24" ht="18" outlineLevel="1">
      <c r="B44" s="7"/>
      <c r="C44" s="284"/>
      <c r="D44" s="13" t="s">
        <v>922</v>
      </c>
      <c r="E44" s="523">
        <v>0</v>
      </c>
      <c r="F44" s="523">
        <f>D43-F46-F45</f>
        <v>10375.099999999999</v>
      </c>
      <c r="G44" s="11">
        <v>4.29</v>
      </c>
      <c r="H44">
        <v>13.5</v>
      </c>
      <c r="L44">
        <f>3.1+8.5+9.35+4.9+2.16+7.13+0.99</f>
        <v>36.130000000000003</v>
      </c>
      <c r="N44" s="305"/>
      <c r="O44" s="274">
        <f>SUM(E44:F44)-SUM(G44:N44)</f>
        <v>10321.179999999998</v>
      </c>
      <c r="P44" s="274" t="str">
        <f>D44</f>
        <v>Matt Fun</v>
      </c>
      <c r="Q44" s="282">
        <f>IF(SUM(E44:F44)-SUM(G44:N44)&lt;=0,(SUM(E44:F44)-SUM(G44:N44))*-1,0)</f>
        <v>0</v>
      </c>
      <c r="S44" s="11"/>
    </row>
    <row r="45" spans="2:24" ht="18" outlineLevel="1">
      <c r="B45" s="7"/>
      <c r="C45" s="284"/>
      <c r="D45" s="13" t="s">
        <v>2375</v>
      </c>
      <c r="E45" s="523">
        <v>0</v>
      </c>
      <c r="F45" s="523">
        <v>28.95</v>
      </c>
      <c r="G45" s="11"/>
      <c r="L45">
        <f>9+5.5+4.15+2.2+5.2+2.9+(15.29+13.8+28)</f>
        <v>86.039999999999992</v>
      </c>
      <c r="N45" s="305"/>
      <c r="O45" s="274">
        <f>SUM(E45:F45)-SUM(G45:N45)</f>
        <v>-57.089999999999989</v>
      </c>
      <c r="P45" s="274" t="str">
        <f>D45</f>
        <v>Planned Outings</v>
      </c>
      <c r="Q45" s="282">
        <f>IF(SUM(E45:F45)-SUM(G45:N45)&lt;=0,(SUM(E45:F45)-SUM(G45:N45))*-1,0)</f>
        <v>57.089999999999989</v>
      </c>
      <c r="S45" s="11"/>
      <c r="T45" s="306"/>
      <c r="V45" s="305"/>
      <c r="X45" s="305">
        <v>22.98</v>
      </c>
    </row>
    <row r="46" spans="2:24" ht="18" outlineLevel="1">
      <c r="B46" s="7"/>
      <c r="C46" s="284"/>
      <c r="D46" s="13" t="s">
        <v>152</v>
      </c>
      <c r="E46" s="523">
        <v>0</v>
      </c>
      <c r="F46" s="523">
        <f>15+23+50+50+55+42+60+40+42</f>
        <v>377</v>
      </c>
      <c r="G46" s="11">
        <v>40</v>
      </c>
      <c r="H46" s="306">
        <f>18.23+9.49</f>
        <v>27.72</v>
      </c>
      <c r="J46" s="305"/>
      <c r="L46" s="305">
        <f>22.98+115.2+55-1.16+41.99+60</f>
        <v>294.01</v>
      </c>
      <c r="N46" s="305"/>
      <c r="O46" s="274">
        <f>SUM(E46:F46)-SUM(G46:N46)</f>
        <v>15.269999999999982</v>
      </c>
      <c r="P46" s="274" t="str">
        <f>D46</f>
        <v>Kris</v>
      </c>
      <c r="Q46" s="271">
        <f>IF(F46-SUM(G46:N46)&lt;=0,(F46-SUM(G46:N46))*-1,0)</f>
        <v>0</v>
      </c>
    </row>
    <row r="47" spans="2:24">
      <c r="B47" s="118"/>
      <c r="C47" s="118"/>
      <c r="E47" s="523">
        <f>E28</f>
        <v>0</v>
      </c>
      <c r="G47" s="349"/>
      <c r="J47" s="7"/>
      <c r="L47" s="7"/>
      <c r="N47" s="7"/>
      <c r="O47" s="273"/>
      <c r="P47" s="273"/>
      <c r="Q47" s="282"/>
    </row>
    <row r="48" spans="2:24" ht="18">
      <c r="B48" s="728" t="s">
        <v>817</v>
      </c>
      <c r="C48" s="728"/>
      <c r="D48" s="728"/>
      <c r="E48" s="529">
        <f>G48+I48+K48+M48+N48+E47</f>
        <v>14927.25</v>
      </c>
      <c r="F48" s="530"/>
      <c r="G48" s="271">
        <f>4144.75+3800+5370.5+15+910+140+100+23+10+30+50+55+15+42+60+40+40+40+42</f>
        <v>14927.25</v>
      </c>
      <c r="H48" s="282"/>
      <c r="I48" s="271"/>
      <c r="J48" s="271"/>
      <c r="K48" s="271"/>
      <c r="L48" s="271"/>
      <c r="M48" s="271"/>
      <c r="N48" s="271"/>
      <c r="O48" s="314">
        <f>ROUND(O5+O43+O27+O45+IF(O44&lt;0,0,O44)+O46+O4,2)</f>
        <v>1929.92</v>
      </c>
      <c r="P48" s="274"/>
      <c r="Q48" s="282">
        <f>SUM(Q43,Q27,Q5)</f>
        <v>169.16000000000003</v>
      </c>
    </row>
    <row r="49" spans="2:18" ht="18">
      <c r="B49" s="118"/>
      <c r="C49" s="7"/>
      <c r="D49" s="13" t="s">
        <v>1451</v>
      </c>
      <c r="G49" s="545" t="s">
        <v>98</v>
      </c>
      <c r="H49" s="243"/>
      <c r="L49" s="243"/>
      <c r="O49" s="343">
        <f>SUM(O4:O5)-O48-SUM(P60:P61)</f>
        <v>455.26000000000045</v>
      </c>
      <c r="P49" s="7" t="s">
        <v>2137</v>
      </c>
    </row>
    <row r="50" spans="2:18" ht="14.4">
      <c r="B50" s="729"/>
      <c r="C50" s="729"/>
      <c r="D50" s="729"/>
      <c r="E50" s="729"/>
      <c r="F50" s="729"/>
      <c r="G50" s="729"/>
      <c r="H50" s="297"/>
      <c r="K50" s="729"/>
      <c r="L50" s="729"/>
      <c r="M50" s="729"/>
      <c r="N50" s="729"/>
      <c r="O50" s="729"/>
      <c r="P50" s="297"/>
    </row>
    <row r="51" spans="2:18" ht="15" customHeight="1">
      <c r="B51" s="726" t="s">
        <v>955</v>
      </c>
      <c r="C51" s="726"/>
      <c r="E51"/>
      <c r="F51" s="348"/>
      <c r="H51" s="243"/>
      <c r="K51" s="212"/>
      <c r="L51" s="212"/>
      <c r="M51" s="243"/>
      <c r="N51" s="118" t="s">
        <v>2398</v>
      </c>
      <c r="O51" s="316">
        <v>45886</v>
      </c>
      <c r="P51" s="7">
        <f ca="1">DATEDIF(O51,NOW(),"d")</f>
        <v>365</v>
      </c>
      <c r="Q51">
        <v>40</v>
      </c>
      <c r="R51" t="s">
        <v>1342</v>
      </c>
    </row>
    <row r="52" spans="2:18">
      <c r="B52" s="523"/>
      <c r="C52" s="38"/>
      <c r="E52"/>
      <c r="F52" s="767"/>
      <c r="G52" s="767"/>
      <c r="I52" s="243"/>
      <c r="K52" s="11"/>
      <c r="L52" s="243">
        <f>O48-2654.73</f>
        <v>-724.81</v>
      </c>
      <c r="N52" s="483" t="s">
        <v>2397</v>
      </c>
      <c r="O52" s="42">
        <v>45881</v>
      </c>
      <c r="P52" s="7">
        <f ca="1">DATEDIF(O52,NOW(),"d")</f>
        <v>370</v>
      </c>
      <c r="Q52">
        <v>26.09</v>
      </c>
      <c r="R52" t="s">
        <v>2392</v>
      </c>
    </row>
    <row r="53" spans="2:18">
      <c r="E53" s="534"/>
      <c r="F53" s="545"/>
      <c r="G53" s="458"/>
      <c r="H53" s="445"/>
      <c r="I53" s="11"/>
      <c r="J53" s="243"/>
      <c r="K53" s="349"/>
      <c r="L53" s="243"/>
      <c r="N53" s="358" t="s">
        <v>2371</v>
      </c>
      <c r="O53" s="316">
        <v>45872</v>
      </c>
      <c r="P53" s="7">
        <f ca="1">DATEDIF(O53,NOW(),"d")</f>
        <v>379</v>
      </c>
    </row>
    <row r="54" spans="2:18" ht="16.2" customHeight="1">
      <c r="E54" s="534"/>
      <c r="G54" s="243"/>
      <c r="H54" s="243"/>
      <c r="I54" s="243"/>
      <c r="K54" s="213"/>
      <c r="L54" s="243"/>
      <c r="N54" t="s">
        <v>2391</v>
      </c>
      <c r="O54" s="316">
        <v>45881</v>
      </c>
      <c r="P54" s="7">
        <v>0</v>
      </c>
      <c r="Q54">
        <v>7.13</v>
      </c>
      <c r="R54" t="s">
        <v>1099</v>
      </c>
    </row>
    <row r="55" spans="2:18">
      <c r="B55" s="532"/>
      <c r="D55" s="284"/>
      <c r="E55" s="267"/>
      <c r="G55" s="539"/>
      <c r="H55" s="243"/>
      <c r="I55" s="349">
        <f>313.5+68.8</f>
        <v>382.3</v>
      </c>
      <c r="M55" s="243"/>
      <c r="P55"/>
    </row>
    <row r="56" spans="2:18">
      <c r="E56" s="11"/>
      <c r="H56" s="243"/>
      <c r="J56" s="243"/>
      <c r="M56" s="243"/>
      <c r="P56"/>
      <c r="Q56" s="243"/>
    </row>
    <row r="57" spans="2:18">
      <c r="E57" s="534"/>
      <c r="F57" s="492"/>
      <c r="G57" s="515"/>
      <c r="H57" s="515"/>
      <c r="J57" s="243"/>
      <c r="K57" s="243"/>
      <c r="L57" s="725" t="s">
        <v>2374</v>
      </c>
      <c r="M57" s="725"/>
      <c r="O57" s="7" t="s">
        <v>2137</v>
      </c>
      <c r="P57" s="292"/>
      <c r="Q57" s="212"/>
    </row>
    <row r="58" spans="2:18" ht="15" customHeight="1">
      <c r="H58" s="243"/>
      <c r="J58" s="243"/>
      <c r="K58" s="353"/>
      <c r="L58" t="s">
        <v>2372</v>
      </c>
      <c r="M58" s="243">
        <v>25</v>
      </c>
      <c r="N58" s="243"/>
      <c r="O58" s="343">
        <f>(O4+O5-O48)-SUM(P59:P62)</f>
        <v>455.26000000000045</v>
      </c>
      <c r="P58" s="56"/>
      <c r="Q58" s="38"/>
    </row>
    <row r="59" spans="2:18">
      <c r="F59" s="390"/>
      <c r="H59" s="243"/>
      <c r="L59" t="s">
        <v>1203</v>
      </c>
      <c r="M59" s="243">
        <v>25</v>
      </c>
      <c r="N59" t="s">
        <v>2373</v>
      </c>
      <c r="O59"/>
      <c r="P59"/>
      <c r="Q59" t="s">
        <v>2393</v>
      </c>
    </row>
    <row r="60" spans="2:18" ht="15" customHeight="1">
      <c r="F60" s="726" t="s">
        <v>2220</v>
      </c>
      <c r="G60" s="726"/>
      <c r="L60" t="s">
        <v>1200</v>
      </c>
      <c r="M60" s="243">
        <v>25</v>
      </c>
      <c r="P60" s="7">
        <v>300</v>
      </c>
      <c r="Q60" t="s">
        <v>2395</v>
      </c>
    </row>
    <row r="61" spans="2:18" ht="16.2" customHeight="1">
      <c r="E61" s="781"/>
      <c r="F61" s="546" t="s">
        <v>1843</v>
      </c>
      <c r="G61" s="458">
        <v>494</v>
      </c>
      <c r="I61" s="547"/>
      <c r="M61" s="243"/>
      <c r="P61" s="7">
        <f>224.56+10+15.7+25</f>
        <v>275.26</v>
      </c>
      <c r="Q61" t="s">
        <v>2394</v>
      </c>
    </row>
    <row r="62" spans="2:18" ht="14.4">
      <c r="B62" s="11"/>
      <c r="E62" s="781"/>
      <c r="F62" t="s">
        <v>2233</v>
      </c>
      <c r="G62">
        <v>70</v>
      </c>
      <c r="H62" s="243"/>
      <c r="J62" s="243"/>
      <c r="M62" s="243"/>
      <c r="O62"/>
      <c r="P62"/>
      <c r="Q62" t="s">
        <v>2396</v>
      </c>
    </row>
    <row r="63" spans="2:18">
      <c r="B63" s="11"/>
      <c r="E63" s="284"/>
      <c r="F63" s="545" t="s">
        <v>1475</v>
      </c>
      <c r="G63">
        <v>200</v>
      </c>
      <c r="O63"/>
      <c r="P63"/>
    </row>
    <row r="64" spans="2:18">
      <c r="B64" s="11"/>
      <c r="E64" s="284"/>
      <c r="F64" s="545" t="s">
        <v>2241</v>
      </c>
      <c r="G64" s="369">
        <v>200</v>
      </c>
      <c r="J64" s="243"/>
      <c r="O64"/>
      <c r="P64"/>
    </row>
    <row r="65" spans="2:16">
      <c r="E65" s="534"/>
      <c r="I65" s="248"/>
      <c r="L65" s="243"/>
      <c r="M65" s="243"/>
      <c r="O65"/>
      <c r="P65"/>
    </row>
    <row r="66" spans="2:16">
      <c r="B66" s="212"/>
      <c r="C66" s="212"/>
      <c r="I66" s="516"/>
      <c r="J66" s="79"/>
      <c r="K66" s="118"/>
      <c r="L66" s="243"/>
      <c r="O66"/>
      <c r="P66"/>
    </row>
    <row r="67" spans="2:16">
      <c r="C67" s="56"/>
      <c r="I67" s="494"/>
      <c r="J67" s="79"/>
      <c r="L67" s="243"/>
      <c r="O67"/>
      <c r="P67"/>
    </row>
    <row r="68" spans="2:16" ht="15.75" customHeight="1">
      <c r="C68" s="56"/>
      <c r="F68"/>
      <c r="G68" s="243"/>
      <c r="L68" s="243"/>
      <c r="M68" s="243"/>
      <c r="O68"/>
      <c r="P68"/>
    </row>
    <row r="69" spans="2:16">
      <c r="C69" s="56"/>
      <c r="E69"/>
      <c r="G69" s="243"/>
      <c r="M69" s="243"/>
      <c r="O69"/>
      <c r="P69"/>
    </row>
    <row r="70" spans="2:16" ht="14.4">
      <c r="C70" s="56"/>
      <c r="D70" s="188"/>
      <c r="E70"/>
      <c r="F70" s="79"/>
      <c r="K70" s="258">
        <v>0.75</v>
      </c>
      <c r="L70" t="s">
        <v>2378</v>
      </c>
      <c r="O70"/>
      <c r="P70"/>
    </row>
    <row r="71" spans="2:16">
      <c r="C71" s="56"/>
      <c r="E71" t="s">
        <v>2263</v>
      </c>
      <c r="F71" s="545">
        <v>161500</v>
      </c>
      <c r="G71">
        <v>838</v>
      </c>
      <c r="H71" t="s">
        <v>2261</v>
      </c>
      <c r="K71" s="258">
        <v>0.1</v>
      </c>
      <c r="L71" t="s">
        <v>2379</v>
      </c>
      <c r="O71"/>
      <c r="P71"/>
    </row>
    <row r="72" spans="2:16" ht="14.4">
      <c r="C72" s="56"/>
      <c r="E72" s="407" t="s">
        <v>2262</v>
      </c>
      <c r="F72" s="55">
        <v>148000</v>
      </c>
      <c r="G72">
        <v>848</v>
      </c>
      <c r="H72" t="s">
        <v>2261</v>
      </c>
      <c r="K72" s="258">
        <v>0.05</v>
      </c>
      <c r="L72" t="s">
        <v>2380</v>
      </c>
      <c r="O72"/>
      <c r="P72"/>
    </row>
    <row r="73" spans="2:16">
      <c r="C73" s="56"/>
      <c r="E73"/>
      <c r="I73" s="407"/>
      <c r="J73" s="79"/>
      <c r="K73" s="258">
        <v>0.1</v>
      </c>
      <c r="L73" t="s">
        <v>2381</v>
      </c>
      <c r="N73" s="288"/>
      <c r="O73"/>
      <c r="P73"/>
    </row>
    <row r="74" spans="2:16">
      <c r="C74" s="56"/>
      <c r="E74" s="347"/>
      <c r="O74"/>
      <c r="P74"/>
    </row>
    <row r="75" spans="2:16">
      <c r="C75" s="56"/>
      <c r="E75"/>
      <c r="F75" s="545"/>
      <c r="J75" s="118"/>
      <c r="L75" s="243"/>
      <c r="O75"/>
      <c r="P75"/>
    </row>
    <row r="76" spans="2:16" ht="14.4">
      <c r="C76" s="56"/>
      <c r="E76" s="407"/>
      <c r="F76"/>
      <c r="G76">
        <v>350</v>
      </c>
      <c r="H76" t="s">
        <v>2264</v>
      </c>
      <c r="I76" s="407"/>
      <c r="J76" s="407"/>
      <c r="O76"/>
      <c r="P76"/>
    </row>
    <row r="77" spans="2:16" ht="15.45" customHeight="1">
      <c r="C77" s="56"/>
      <c r="E77" s="407"/>
      <c r="F77" s="11"/>
      <c r="H77" t="s">
        <v>2265</v>
      </c>
      <c r="I77" s="407"/>
      <c r="J77" s="407"/>
      <c r="K77" s="407"/>
      <c r="L77" s="407"/>
      <c r="M77" s="407"/>
      <c r="O77"/>
      <c r="P77"/>
    </row>
    <row r="78" spans="2:16" ht="14.4">
      <c r="D78" s="459"/>
      <c r="E78" s="243"/>
      <c r="F78" s="459"/>
      <c r="O78"/>
      <c r="P78"/>
    </row>
    <row r="79" spans="2:16" ht="14.4">
      <c r="B79" s="212"/>
      <c r="C79" s="294"/>
      <c r="D79" s="188"/>
      <c r="E79"/>
      <c r="F79" s="188"/>
      <c r="O79"/>
      <c r="P79"/>
    </row>
    <row r="80" spans="2:16" ht="15.45" customHeight="1">
      <c r="C80" s="56"/>
      <c r="E80" s="243"/>
      <c r="F80"/>
      <c r="M80" s="243"/>
      <c r="O80"/>
      <c r="P80"/>
    </row>
    <row r="81" spans="3:16">
      <c r="C81" s="56"/>
      <c r="E81" s="532"/>
      <c r="F81"/>
      <c r="O81"/>
      <c r="P81"/>
    </row>
    <row r="82" spans="3:16">
      <c r="C82" s="56"/>
      <c r="L82" s="459"/>
      <c r="M82" s="461"/>
      <c r="O82"/>
      <c r="P82"/>
    </row>
    <row r="83" spans="3:16">
      <c r="C83" s="56"/>
      <c r="D83" s="426"/>
      <c r="E83" s="533"/>
      <c r="L83" s="188"/>
      <c r="M83" s="230"/>
      <c r="O83"/>
      <c r="P83"/>
    </row>
    <row r="84" spans="3:16">
      <c r="C84" s="56"/>
      <c r="D84" s="405"/>
      <c r="E84" s="407"/>
      <c r="L84" s="188"/>
      <c r="M84" s="230"/>
      <c r="O84"/>
      <c r="P84"/>
    </row>
    <row r="85" spans="3:16">
      <c r="C85" s="56"/>
      <c r="D85" s="532"/>
      <c r="E85"/>
      <c r="L85" s="188"/>
      <c r="M85" s="230"/>
      <c r="O85"/>
      <c r="P85"/>
    </row>
    <row r="86" spans="3:16">
      <c r="E86" s="533"/>
      <c r="L86" s="188"/>
      <c r="M86" s="230"/>
      <c r="O86"/>
      <c r="P86"/>
    </row>
    <row r="87" spans="3:16">
      <c r="E87" s="533"/>
      <c r="L87" s="532"/>
      <c r="M87" s="230"/>
      <c r="O87"/>
      <c r="P87"/>
    </row>
    <row r="88" spans="3:16">
      <c r="E88" s="533"/>
      <c r="F88" s="212"/>
      <c r="L88" s="405"/>
      <c r="M88" s="230"/>
      <c r="O88"/>
      <c r="P88"/>
    </row>
    <row r="89" spans="3:16" ht="14.4">
      <c r="E89"/>
      <c r="F89"/>
      <c r="L89" s="405"/>
      <c r="M89" s="462"/>
      <c r="O89"/>
      <c r="P89"/>
    </row>
    <row r="90" spans="3:16" ht="14.4">
      <c r="E90"/>
      <c r="F90"/>
      <c r="O90"/>
      <c r="P90"/>
    </row>
    <row r="91" spans="3:16" ht="14.4">
      <c r="E91"/>
      <c r="F91"/>
      <c r="O91"/>
      <c r="P91"/>
    </row>
    <row r="92" spans="3:16" ht="14.4">
      <c r="E92" s="292"/>
      <c r="F92" s="56"/>
      <c r="O92"/>
      <c r="P92"/>
    </row>
    <row r="93" spans="3:16" ht="14.4">
      <c r="E93" s="42"/>
      <c r="F93" s="56"/>
      <c r="O93"/>
      <c r="P93"/>
    </row>
    <row r="94" spans="3:16" ht="14.4">
      <c r="E94" s="56"/>
      <c r="F94" s="56"/>
      <c r="O94"/>
      <c r="P94"/>
    </row>
    <row r="95" spans="3:16">
      <c r="O95"/>
      <c r="P95"/>
    </row>
    <row r="96" spans="3:16" ht="14.4">
      <c r="E96" s="212"/>
      <c r="F96" s="212"/>
      <c r="O96"/>
      <c r="P96"/>
    </row>
    <row r="97" spans="5:16" ht="14.4">
      <c r="E97"/>
      <c r="F97" s="56"/>
      <c r="O97"/>
      <c r="P97"/>
    </row>
    <row r="98" spans="5:16" ht="14.4">
      <c r="E98" s="56"/>
      <c r="F98" s="56"/>
      <c r="O98"/>
      <c r="P98"/>
    </row>
    <row r="99" spans="5:16" ht="14.4">
      <c r="E99" s="56"/>
      <c r="F99" s="56"/>
      <c r="G99" s="407"/>
      <c r="O99"/>
      <c r="P99"/>
    </row>
    <row r="100" spans="5:16" ht="14.4">
      <c r="E100" s="56"/>
      <c r="F100" s="56"/>
      <c r="G100" s="407"/>
      <c r="O100"/>
      <c r="P100"/>
    </row>
    <row r="101" spans="5:16" ht="14.4">
      <c r="E101" s="56"/>
      <c r="F101" s="56"/>
      <c r="G101" s="407"/>
      <c r="O101"/>
      <c r="P101"/>
    </row>
    <row r="102" spans="5:16" ht="14.4">
      <c r="E102" s="56"/>
      <c r="F102" s="56"/>
      <c r="G102" s="407"/>
      <c r="O102"/>
      <c r="P102"/>
    </row>
    <row r="103" spans="5:16">
      <c r="G103" s="407"/>
      <c r="O103"/>
      <c r="P103"/>
    </row>
    <row r="104" spans="5:16">
      <c r="G104" s="407"/>
      <c r="O104"/>
      <c r="P104"/>
    </row>
    <row r="105" spans="5:16">
      <c r="G105" s="407"/>
      <c r="O105"/>
      <c r="P105"/>
    </row>
    <row r="106" spans="5:16">
      <c r="G106" s="407"/>
    </row>
  </sheetData>
  <mergeCells count="25">
    <mergeCell ref="L57:M57"/>
    <mergeCell ref="B4:E4"/>
    <mergeCell ref="B5:C5"/>
    <mergeCell ref="D5:E5"/>
    <mergeCell ref="B6:B20"/>
    <mergeCell ref="C6:C20"/>
    <mergeCell ref="E10:F10"/>
    <mergeCell ref="K50:O50"/>
    <mergeCell ref="B51:C51"/>
    <mergeCell ref="B48:D48"/>
    <mergeCell ref="B50:G50"/>
    <mergeCell ref="B26:E26"/>
    <mergeCell ref="B27:C27"/>
    <mergeCell ref="D27:E27"/>
    <mergeCell ref="F52:G52"/>
    <mergeCell ref="B1:O1"/>
    <mergeCell ref="G3:H3"/>
    <mergeCell ref="I3:J3"/>
    <mergeCell ref="K3:L3"/>
    <mergeCell ref="M3:N3"/>
    <mergeCell ref="F60:G60"/>
    <mergeCell ref="E61:E62"/>
    <mergeCell ref="B42:E42"/>
    <mergeCell ref="B43:C43"/>
    <mergeCell ref="D43:E43"/>
  </mergeCells>
  <pageMargins left="0.7" right="0.7" top="0.75" bottom="0.75" header="0.3" footer="0.3"/>
  <pageSetup orientation="portrait" r:id="rId1"/>
  <legacyDrawing r:id="rId2"/>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958C7-5116-464D-9B82-68D46528D7F4}">
  <dimension ref="A1:X101"/>
  <sheetViews>
    <sheetView topLeftCell="D39" zoomScale="90" zoomScaleNormal="90" workbookViewId="0">
      <selection activeCell="D57" sqref="D57"/>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str">
        <f ca="1">UPPER(TEXT((1&amp;LEFT(B$1,3))-1,"MMM"))&amp;"-"&amp;UPPER(TEXT((1&amp;RIGHT(LEFT(B$1,7),3))-1,"MMM"))&amp;" "&amp;RIGHT(B$1,4)</f>
        <v>JUL-AUG P 25</v>
      </c>
      <c r="B1" s="730" t="str">
        <f ca="1">MID(CELL("filename",B1),FIND("]",CELL("filename",B1))+1,255)</f>
        <v>AUG-SEP 25</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887</v>
      </c>
      <c r="K2" s="79" t="s">
        <v>800</v>
      </c>
      <c r="L2" s="307" t="s">
        <v>1449</v>
      </c>
      <c r="M2" s="79" t="s">
        <v>801</v>
      </c>
      <c r="N2" s="307" t="s">
        <v>1450</v>
      </c>
      <c r="O2" s="273" t="s">
        <v>10</v>
      </c>
      <c r="P2" s="273"/>
      <c r="Q2" s="283" t="s">
        <v>803</v>
      </c>
    </row>
    <row r="3" spans="1:24">
      <c r="B3" s="118"/>
      <c r="C3" s="118"/>
      <c r="D3" s="290" t="str">
        <f>"£" &amp; ROUND(O5+O39+O26+IF(O40&lt;0,0,O40)+O41+O4,2) &amp; " / " &amp; "£" &amp; E43</f>
        <v>£3169.48 / £8453.31</v>
      </c>
      <c r="G3" s="732">
        <v>45772</v>
      </c>
      <c r="H3" s="732"/>
      <c r="I3" s="732">
        <f>G3+7</f>
        <v>45779</v>
      </c>
      <c r="J3" s="732"/>
      <c r="K3" s="732">
        <f>I3+7</f>
        <v>45786</v>
      </c>
      <c r="L3" s="732"/>
      <c r="M3" s="732">
        <f>K3+7</f>
        <v>45793</v>
      </c>
      <c r="N3" s="732"/>
      <c r="O3" s="308">
        <v>0</v>
      </c>
      <c r="P3" s="325" t="s">
        <v>1224</v>
      </c>
      <c r="Q3" s="282"/>
    </row>
    <row r="4" spans="1:24" ht="15" customHeight="1">
      <c r="B4" s="727" t="str">
        <f>_xlfn.CONCAT("Expenses - 50 - ",G43*0.5," / Actual = ",ROUND(D5,2)," (",ROUND((D5/G43)*100,2),")")</f>
        <v>Expenses - 50 - 4226.655 / Actual = 3633.61 (42.98)</v>
      </c>
      <c r="C4" s="727"/>
      <c r="D4" s="727"/>
      <c r="E4" s="727"/>
      <c r="F4" s="318"/>
      <c r="G4" s="243"/>
      <c r="H4" s="304">
        <f>SUM(H5:H41)-I4</f>
        <v>2862.26</v>
      </c>
      <c r="I4" s="243"/>
      <c r="J4" s="304">
        <f>SUM(J5:J41)</f>
        <v>27.270000000000003</v>
      </c>
      <c r="K4" s="243"/>
      <c r="L4" s="304">
        <f>SUM(L5:L41)</f>
        <v>1145.46</v>
      </c>
      <c r="M4" s="243">
        <f>1145.46-L4</f>
        <v>0</v>
      </c>
      <c r="N4" s="304">
        <f>SUM(N5:N41)-SUM(N28:N34)</f>
        <v>0</v>
      </c>
      <c r="O4" s="308">
        <f>IF(H42&lt;&gt;"PAID",H4,0)+IF(J42&lt;&gt;"PAID",J4,0)+IF(L42&lt;&gt;"PAID",L4,0)+IF(N42&lt;&gt;"PAID",N4,0)</f>
        <v>4034.9900000000002</v>
      </c>
      <c r="P4" s="309" t="s">
        <v>973</v>
      </c>
      <c r="Q4" s="408"/>
      <c r="R4" s="243"/>
      <c r="S4" s="284"/>
      <c r="T4" s="11"/>
      <c r="U4" s="390"/>
      <c r="V4" s="11"/>
      <c r="W4" s="390"/>
      <c r="X4" s="11"/>
    </row>
    <row r="5" spans="1:24" ht="15" customHeight="1">
      <c r="B5" s="733" t="str">
        <f>IF(D5&gt;E$43*0.5,ROUND(D5-E$43*0.5,2) &amp; " Over",ROUND(E$43*0.5-D5,2) &amp; " Under")</f>
        <v>593.05 Under</v>
      </c>
      <c r="C5" s="733"/>
      <c r="D5" s="761">
        <f>ROUND(SUM(F6:F23),2)</f>
        <v>3633.61</v>
      </c>
      <c r="E5" s="761"/>
      <c r="F5" s="321"/>
      <c r="G5" s="284"/>
      <c r="H5" s="306"/>
      <c r="I5" s="390"/>
      <c r="J5" s="306"/>
      <c r="K5" s="390"/>
      <c r="L5" s="306"/>
      <c r="M5" s="79"/>
      <c r="N5" s="305"/>
      <c r="O5" s="285">
        <f>SUMIF(O6:O23,"&gt;0")</f>
        <v>489.11</v>
      </c>
      <c r="P5" s="285" t="s">
        <v>892</v>
      </c>
      <c r="Q5" s="282">
        <f>SUM(Q6:Q23)</f>
        <v>38.04000000000007</v>
      </c>
      <c r="R5" s="243"/>
      <c r="T5" s="243"/>
    </row>
    <row r="6" spans="1:24" ht="15" customHeight="1">
      <c r="B6" s="734" t="str">
        <f>"50%: " &amp; E$43*0.5</f>
        <v>50%: 4226.655</v>
      </c>
      <c r="C6" s="734" t="str">
        <f>ROUND((D5/E$43)*100,2) &amp; "%: " &amp;D5</f>
        <v>42.98%: 3633.61</v>
      </c>
      <c r="D6" s="13" t="s">
        <v>805</v>
      </c>
      <c r="E6" s="523">
        <v>0</v>
      </c>
      <c r="F6" s="528">
        <v>150</v>
      </c>
      <c r="H6" s="304">
        <f>35.02+30.49+0.35+32.21+27.21+28.04</f>
        <v>153.32</v>
      </c>
      <c r="J6" s="305"/>
      <c r="L6" s="305"/>
      <c r="N6" s="305"/>
      <c r="O6" s="274">
        <f>SUM(E6:F6)-SUM(G6:N6)</f>
        <v>-3.3199999999999932</v>
      </c>
      <c r="P6" s="274" t="str">
        <f t="shared" ref="P6:P23" si="0">D6</f>
        <v>Car Petrol / commuting</v>
      </c>
      <c r="Q6" s="282">
        <f>IF(O6&lt;0,O6*-1,0)</f>
        <v>3.3199999999999932</v>
      </c>
      <c r="R6" s="243"/>
      <c r="T6" s="243"/>
    </row>
    <row r="7" spans="1:24" ht="15" customHeight="1">
      <c r="B7" s="734"/>
      <c r="C7" s="734"/>
      <c r="D7" s="13" t="s">
        <v>169</v>
      </c>
      <c r="E7" s="523">
        <v>0</v>
      </c>
      <c r="F7" s="523">
        <f>500+10+10</f>
        <v>520</v>
      </c>
      <c r="H7" s="304">
        <f>1.95+19.2+2.98+21.88+48.09+1.25+2.5+0.8+76.33+3.55+3.55+129.42+107.24+7.4+6.5+10+31.47+73.81</f>
        <v>547.92000000000007</v>
      </c>
      <c r="J7" s="305"/>
      <c r="L7" s="305"/>
      <c r="N7" s="305"/>
      <c r="O7" s="274">
        <f>SUM(E7:F7)-SUM(G7:N7)</f>
        <v>-27.920000000000073</v>
      </c>
      <c r="P7" s="274" t="str">
        <f t="shared" si="0"/>
        <v>Food</v>
      </c>
      <c r="Q7" s="282">
        <f>IF(O7&lt;0,O7*-1,0)</f>
        <v>27.920000000000073</v>
      </c>
      <c r="R7" s="243"/>
    </row>
    <row r="8" spans="1:24" ht="15" customHeight="1">
      <c r="B8" s="734"/>
      <c r="C8" s="734"/>
      <c r="D8" s="13" t="s">
        <v>153</v>
      </c>
      <c r="E8" s="523">
        <v>0</v>
      </c>
      <c r="F8" s="523">
        <v>120</v>
      </c>
      <c r="H8" s="78"/>
      <c r="J8" s="305"/>
      <c r="L8" s="305">
        <f>23.54+21.83+30.58+20.59+23.19</f>
        <v>119.72999999999999</v>
      </c>
      <c r="N8" s="305"/>
      <c r="O8" s="274">
        <f>SUM(E8:F8)-SUM(G8:N8)</f>
        <v>0.27000000000001023</v>
      </c>
      <c r="P8" s="274" t="str">
        <f t="shared" si="0"/>
        <v>Luna</v>
      </c>
      <c r="Q8" s="282">
        <f>IF(O8&lt;0,O8*-1,0)</f>
        <v>0</v>
      </c>
    </row>
    <row r="9" spans="1:24" ht="15" customHeight="1">
      <c r="B9" s="734"/>
      <c r="C9" s="734"/>
      <c r="D9" s="13" t="s">
        <v>189</v>
      </c>
      <c r="E9" s="735">
        <f>SUM(F10:F23)</f>
        <v>2843.61</v>
      </c>
      <c r="F9" s="735"/>
      <c r="G9" s="243"/>
      <c r="H9" s="78"/>
      <c r="J9" s="305"/>
      <c r="L9" s="305"/>
      <c r="N9" s="305"/>
      <c r="O9" s="274"/>
      <c r="P9" s="274" t="str">
        <f t="shared" si="0"/>
        <v>Direct debits</v>
      </c>
      <c r="Q9" s="282"/>
      <c r="R9" s="243"/>
      <c r="T9" s="243"/>
    </row>
    <row r="10" spans="1:24" ht="15" customHeight="1" outlineLevel="1">
      <c r="B10" s="734"/>
      <c r="C10" s="734"/>
      <c r="D10" s="201" t="s">
        <v>595</v>
      </c>
      <c r="E10" s="523">
        <v>0</v>
      </c>
      <c r="F10" s="523">
        <v>838</v>
      </c>
      <c r="G10">
        <v>838</v>
      </c>
      <c r="H10" s="78"/>
      <c r="J10" s="305"/>
      <c r="L10" s="304"/>
      <c r="N10" s="305"/>
      <c r="O10" s="274">
        <f t="shared" ref="O10:O23" si="1">SUM(E10:F10)-SUM(G10:N10)</f>
        <v>0</v>
      </c>
      <c r="P10" s="274" t="str">
        <f t="shared" si="0"/>
        <v>Mortgage</v>
      </c>
      <c r="Q10" s="282">
        <f t="shared" ref="Q10:Q23" si="2">IF(O10&lt;0,O10*-1,0)</f>
        <v>0</v>
      </c>
      <c r="R10" s="243"/>
    </row>
    <row r="11" spans="1:24" ht="15" customHeight="1" outlineLevel="1">
      <c r="B11" s="734"/>
      <c r="C11" s="734"/>
      <c r="D11" s="201" t="s">
        <v>596</v>
      </c>
      <c r="E11" s="523">
        <v>0</v>
      </c>
      <c r="F11" s="523">
        <v>168</v>
      </c>
      <c r="G11">
        <v>168</v>
      </c>
      <c r="H11" s="78"/>
      <c r="J11" s="305"/>
      <c r="L11" s="305"/>
      <c r="N11" s="305"/>
      <c r="O11" s="274">
        <f t="shared" si="1"/>
        <v>0</v>
      </c>
      <c r="P11" s="274" t="str">
        <f t="shared" si="0"/>
        <v>Council tax</v>
      </c>
      <c r="Q11" s="282">
        <f t="shared" si="2"/>
        <v>0</v>
      </c>
    </row>
    <row r="12" spans="1:24" ht="15" customHeight="1" outlineLevel="1">
      <c r="B12" s="734"/>
      <c r="C12" s="734"/>
      <c r="D12" s="201" t="s">
        <v>1002</v>
      </c>
      <c r="E12" s="523">
        <v>0</v>
      </c>
      <c r="F12" s="523">
        <f>49+107.15</f>
        <v>156.15</v>
      </c>
      <c r="G12">
        <f>49+107.15</f>
        <v>156.15</v>
      </c>
      <c r="H12" s="78"/>
      <c r="J12" s="305"/>
      <c r="L12" s="305"/>
      <c r="N12" s="305"/>
      <c r="O12" s="274">
        <f t="shared" si="1"/>
        <v>0</v>
      </c>
      <c r="P12" s="274" t="str">
        <f t="shared" si="0"/>
        <v>Utilities (G,W,E,HTB)</v>
      </c>
      <c r="Q12" s="282">
        <f t="shared" si="2"/>
        <v>0</v>
      </c>
    </row>
    <row r="13" spans="1:24" ht="15" customHeight="1" outlineLevel="1">
      <c r="B13" s="734"/>
      <c r="C13" s="734"/>
      <c r="D13" s="201" t="s">
        <v>996</v>
      </c>
      <c r="E13" s="523">
        <v>0</v>
      </c>
      <c r="F13" s="523">
        <v>72.849999999999994</v>
      </c>
      <c r="G13">
        <v>72.84</v>
      </c>
      <c r="H13" s="78"/>
      <c r="J13" s="305"/>
      <c r="L13" s="305"/>
      <c r="N13" s="305"/>
      <c r="O13" s="274">
        <f t="shared" si="1"/>
        <v>9.9999999999909051E-3</v>
      </c>
      <c r="P13" s="274" t="str">
        <f t="shared" si="0"/>
        <v>Home Insurance</v>
      </c>
      <c r="Q13" s="282">
        <f t="shared" si="2"/>
        <v>0</v>
      </c>
    </row>
    <row r="14" spans="1:24" ht="15" customHeight="1" outlineLevel="1">
      <c r="B14" s="734"/>
      <c r="C14" s="734"/>
      <c r="D14" s="201" t="s">
        <v>1056</v>
      </c>
      <c r="E14" s="523">
        <v>0</v>
      </c>
      <c r="F14" s="523">
        <f>31.99+22.99</f>
        <v>54.98</v>
      </c>
      <c r="G14">
        <f>22.99+31.99</f>
        <v>54.98</v>
      </c>
      <c r="H14" s="78"/>
      <c r="J14" s="305"/>
      <c r="L14" s="305"/>
      <c r="N14" s="305"/>
      <c r="O14" s="274">
        <f t="shared" si="1"/>
        <v>0</v>
      </c>
      <c r="P14" s="274" t="str">
        <f t="shared" si="0"/>
        <v>Pet Health / Insurance</v>
      </c>
      <c r="Q14" s="282">
        <f t="shared" si="2"/>
        <v>0</v>
      </c>
      <c r="U14" s="11"/>
    </row>
    <row r="15" spans="1:24" ht="15" customHeight="1" outlineLevel="1">
      <c r="B15" s="734"/>
      <c r="C15" s="734"/>
      <c r="D15" s="201" t="s">
        <v>1057</v>
      </c>
      <c r="E15" s="523">
        <v>0</v>
      </c>
      <c r="F15" s="523">
        <f>30.8+62.08</f>
        <v>92.88</v>
      </c>
      <c r="G15">
        <v>92.88</v>
      </c>
      <c r="H15" s="78"/>
      <c r="I15" s="11"/>
      <c r="J15" s="305"/>
      <c r="L15" s="305"/>
      <c r="N15" s="305"/>
      <c r="O15" s="274">
        <f t="shared" si="1"/>
        <v>0</v>
      </c>
      <c r="P15" s="274" t="str">
        <f t="shared" si="0"/>
        <v>Life / Income Insurance</v>
      </c>
      <c r="Q15" s="282">
        <f t="shared" si="2"/>
        <v>0</v>
      </c>
    </row>
    <row r="16" spans="1:24" ht="15" customHeight="1" outlineLevel="1">
      <c r="B16" s="734"/>
      <c r="C16" s="734"/>
      <c r="D16" s="201" t="s">
        <v>602</v>
      </c>
      <c r="E16" s="523">
        <v>0</v>
      </c>
      <c r="F16" s="523">
        <v>37</v>
      </c>
      <c r="G16">
        <v>37</v>
      </c>
      <c r="H16" s="78"/>
      <c r="J16" s="305"/>
      <c r="L16" s="305"/>
      <c r="N16" s="305"/>
      <c r="O16" s="274">
        <f t="shared" si="1"/>
        <v>0</v>
      </c>
      <c r="P16" s="274" t="str">
        <f t="shared" si="0"/>
        <v>Broadband / TV</v>
      </c>
      <c r="Q16" s="282">
        <f t="shared" si="2"/>
        <v>0</v>
      </c>
    </row>
    <row r="17" spans="2:19" ht="15" customHeight="1" outlineLevel="1">
      <c r="B17" s="734"/>
      <c r="C17" s="734"/>
      <c r="D17" s="201" t="s">
        <v>788</v>
      </c>
      <c r="E17" s="523">
        <v>0</v>
      </c>
      <c r="F17" s="523">
        <v>29.1</v>
      </c>
      <c r="G17">
        <v>29.1</v>
      </c>
      <c r="H17" s="78"/>
      <c r="J17" s="305"/>
      <c r="L17" s="305"/>
      <c r="N17" s="305"/>
      <c r="O17" s="274">
        <f t="shared" si="1"/>
        <v>0</v>
      </c>
      <c r="P17" s="274" t="str">
        <f t="shared" si="0"/>
        <v>Matt Phone</v>
      </c>
      <c r="Q17" s="282">
        <f t="shared" si="2"/>
        <v>0</v>
      </c>
    </row>
    <row r="18" spans="2:19" ht="15" customHeight="1" outlineLevel="1">
      <c r="B18" s="734"/>
      <c r="C18" s="734"/>
      <c r="D18" s="201" t="s">
        <v>690</v>
      </c>
      <c r="E18" s="523">
        <v>0</v>
      </c>
      <c r="F18" s="523">
        <f>14+48.17+270.97+487+73.32+19</f>
        <v>912.46</v>
      </c>
      <c r="G18">
        <f>48.17+14.43+16.62+73.44+270.97</f>
        <v>423.63</v>
      </c>
      <c r="H18" s="78"/>
      <c r="J18" s="305"/>
      <c r="L18" s="305"/>
      <c r="N18" s="305"/>
      <c r="O18" s="274">
        <f t="shared" si="1"/>
        <v>488.83000000000004</v>
      </c>
      <c r="P18" s="274" t="str">
        <f t="shared" si="0"/>
        <v>Cars</v>
      </c>
      <c r="Q18" s="282">
        <f t="shared" si="2"/>
        <v>0</v>
      </c>
    </row>
    <row r="19" spans="2:19" ht="15" customHeight="1" outlineLevel="1">
      <c r="B19" s="734"/>
      <c r="C19" s="734"/>
      <c r="D19" s="201" t="s">
        <v>944</v>
      </c>
      <c r="E19" s="523">
        <v>0</v>
      </c>
      <c r="F19" s="523">
        <v>15</v>
      </c>
      <c r="G19">
        <v>15</v>
      </c>
      <c r="H19" s="78"/>
      <c r="J19" s="305"/>
      <c r="L19" s="305"/>
      <c r="N19" s="305"/>
      <c r="O19" s="274">
        <f t="shared" si="1"/>
        <v>0</v>
      </c>
      <c r="P19" s="274" t="str">
        <f t="shared" si="0"/>
        <v>Windows</v>
      </c>
      <c r="Q19" s="282">
        <f t="shared" si="2"/>
        <v>0</v>
      </c>
      <c r="R19" s="243"/>
    </row>
    <row r="20" spans="2:19" ht="15" customHeight="1" outlineLevel="1">
      <c r="B20" s="7"/>
      <c r="C20" s="7"/>
      <c r="D20" s="201" t="s">
        <v>2042</v>
      </c>
      <c r="E20" s="523">
        <v>0</v>
      </c>
      <c r="F20" s="523">
        <v>0</v>
      </c>
      <c r="H20" s="78"/>
      <c r="J20" s="305"/>
      <c r="L20" s="305"/>
      <c r="N20" s="305"/>
      <c r="O20" s="274">
        <f t="shared" si="1"/>
        <v>0</v>
      </c>
      <c r="P20" s="274" t="str">
        <f t="shared" si="0"/>
        <v>Health + Wellness</v>
      </c>
      <c r="Q20" s="282">
        <f t="shared" si="2"/>
        <v>0</v>
      </c>
      <c r="R20" s="243"/>
    </row>
    <row r="21" spans="2:19" ht="15" customHeight="1" outlineLevel="1">
      <c r="B21" s="7"/>
      <c r="C21" s="7"/>
      <c r="D21" s="201" t="s">
        <v>920</v>
      </c>
      <c r="E21" s="523">
        <v>0</v>
      </c>
      <c r="F21" s="523">
        <f>48.22+137.5+170</f>
        <v>355.72</v>
      </c>
      <c r="G21">
        <f>170+48.22+137.5</f>
        <v>355.72</v>
      </c>
      <c r="H21" s="78"/>
      <c r="J21" s="305"/>
      <c r="L21" s="305"/>
      <c r="N21" s="305"/>
      <c r="O21" s="274">
        <f t="shared" si="1"/>
        <v>0</v>
      </c>
      <c r="P21" s="274" t="str">
        <f t="shared" si="0"/>
        <v>Finance</v>
      </c>
      <c r="Q21" s="282"/>
      <c r="R21" s="243"/>
    </row>
    <row r="22" spans="2:19" ht="15" customHeight="1" outlineLevel="1">
      <c r="B22" s="7"/>
      <c r="C22" s="7"/>
      <c r="D22" s="201" t="s">
        <v>1297</v>
      </c>
      <c r="E22" s="523">
        <v>0</v>
      </c>
      <c r="F22" s="523">
        <v>50</v>
      </c>
      <c r="G22">
        <v>50</v>
      </c>
      <c r="H22" s="78"/>
      <c r="J22" s="305"/>
      <c r="L22" s="305"/>
      <c r="N22" s="305"/>
      <c r="O22" s="274">
        <f t="shared" si="1"/>
        <v>0</v>
      </c>
      <c r="P22" s="274" t="str">
        <f t="shared" si="0"/>
        <v>Skin</v>
      </c>
      <c r="Q22" s="282"/>
      <c r="R22" s="243"/>
      <c r="S22" s="11"/>
    </row>
    <row r="23" spans="2:19" ht="15" customHeight="1" outlineLevel="1">
      <c r="B23" s="7"/>
      <c r="C23" s="7"/>
      <c r="D23" s="201" t="s">
        <v>781</v>
      </c>
      <c r="E23" s="523">
        <v>0</v>
      </c>
      <c r="F23" s="523">
        <f>10.49+18+4.99+0.99+12+15</f>
        <v>61.470000000000006</v>
      </c>
      <c r="G23" s="11">
        <f>12+18+1.79+10.49+5.99</f>
        <v>48.27</v>
      </c>
      <c r="H23" s="78"/>
      <c r="J23" s="305"/>
      <c r="L23" s="305">
        <v>20</v>
      </c>
      <c r="N23" s="305"/>
      <c r="O23" s="274">
        <f t="shared" si="1"/>
        <v>-6.8000000000000043</v>
      </c>
      <c r="P23" s="274" t="str">
        <f t="shared" si="0"/>
        <v>Subscriptions</v>
      </c>
      <c r="Q23" s="282">
        <f t="shared" si="2"/>
        <v>6.8000000000000043</v>
      </c>
      <c r="R23" s="243"/>
    </row>
    <row r="24" spans="2:19" ht="15" customHeight="1">
      <c r="B24" s="118"/>
      <c r="C24" s="118"/>
      <c r="D24" s="188"/>
      <c r="H24" s="78"/>
      <c r="J24" s="305"/>
      <c r="L24" s="305"/>
      <c r="N24" s="305"/>
      <c r="O24" s="273"/>
      <c r="P24" s="273"/>
      <c r="Q24" s="282"/>
    </row>
    <row r="25" spans="2:19" ht="15" customHeight="1">
      <c r="B25" s="736" t="str">
        <f>_xlfn.CONCAT("Savings - 20 - ",G43*0.2," / Actual = ",D26," (",ROUND((D26/G43)*100,2),")")</f>
        <v>Savings - 20 - 1690.662 / Actual = 3814.01 (45.12)</v>
      </c>
      <c r="C25" s="736"/>
      <c r="D25" s="736"/>
      <c r="E25" s="736"/>
      <c r="F25" s="320"/>
      <c r="H25" s="78"/>
      <c r="J25" s="305"/>
      <c r="L25" s="305"/>
      <c r="N25" s="305"/>
      <c r="O25" s="274"/>
      <c r="P25" s="274"/>
      <c r="Q25" s="282"/>
    </row>
    <row r="26" spans="2:19" ht="15" customHeight="1">
      <c r="B26" s="727" t="str">
        <f>IF(ISNUMBER((SEARCH("Over",C$5))),"Operating under budget","Operating over budget")</f>
        <v>Operating over budget</v>
      </c>
      <c r="C26" s="727"/>
      <c r="D26" s="759">
        <f>F27</f>
        <v>3814.01</v>
      </c>
      <c r="E26" s="759"/>
      <c r="F26" s="319"/>
      <c r="H26" s="78"/>
      <c r="J26" s="305"/>
      <c r="L26" s="305"/>
      <c r="N26" s="305"/>
      <c r="O26" s="285">
        <f>O27</f>
        <v>-326.15000000000003</v>
      </c>
      <c r="P26" s="285" t="s">
        <v>895</v>
      </c>
      <c r="Q26" s="282">
        <f>SUM(Q27:Q27)</f>
        <v>0</v>
      </c>
      <c r="S26" s="243"/>
    </row>
    <row r="27" spans="2:19" ht="15" customHeight="1" outlineLevel="1">
      <c r="B27" s="7" t="str">
        <f>"20% : " &amp; E$43*0.2</f>
        <v>20% : 1690.662</v>
      </c>
      <c r="C27" s="7" t="str">
        <f>"20% : " &amp; E$43*0.2</f>
        <v>20% : 1690.662</v>
      </c>
      <c r="D27" s="300" t="s">
        <v>183</v>
      </c>
      <c r="E27" s="523">
        <v>0</v>
      </c>
      <c r="F27" s="523">
        <f>SUM(F28:F36)</f>
        <v>3814.01</v>
      </c>
      <c r="G27" s="243"/>
      <c r="H27" s="78"/>
      <c r="J27" s="305"/>
      <c r="L27" s="305"/>
      <c r="N27" s="305"/>
      <c r="O27" s="274">
        <f>SUM(O28:O36)</f>
        <v>-326.15000000000003</v>
      </c>
      <c r="P27" s="274" t="str">
        <f t="shared" ref="P27:P36" si="3">D27</f>
        <v>Savings</v>
      </c>
      <c r="Q27" s="282">
        <v>0</v>
      </c>
      <c r="R27" s="495"/>
    </row>
    <row r="28" spans="2:19" ht="15" customHeight="1" outlineLevel="1">
      <c r="B28" s="7"/>
      <c r="C28" s="7"/>
      <c r="D28" s="300" t="s">
        <v>1485</v>
      </c>
      <c r="E28" s="523">
        <v>0</v>
      </c>
      <c r="F28" s="523">
        <v>90</v>
      </c>
      <c r="H28" s="78"/>
      <c r="J28" s="305"/>
      <c r="L28" s="305"/>
      <c r="N28" s="315"/>
      <c r="O28" s="274">
        <f>SUM(E28:F28)-SUM(G28:N28)</f>
        <v>90</v>
      </c>
      <c r="P28" s="274" t="str">
        <f t="shared" si="3"/>
        <v>MOT / Service</v>
      </c>
      <c r="Q28" s="282"/>
      <c r="R28" s="243"/>
    </row>
    <row r="29" spans="2:19" ht="15" customHeight="1" outlineLevel="1">
      <c r="B29" s="7"/>
      <c r="C29" s="7"/>
      <c r="D29" s="300" t="s">
        <v>690</v>
      </c>
      <c r="E29" s="523">
        <v>0</v>
      </c>
      <c r="F29" s="523">
        <f>-468.84-232.5</f>
        <v>-701.33999999999992</v>
      </c>
      <c r="H29" s="78"/>
      <c r="J29" s="305"/>
      <c r="L29" s="305"/>
      <c r="N29" s="315"/>
      <c r="O29" s="274">
        <f>SUM(E29:F29)-SUM(G29:N29)</f>
        <v>-701.33999999999992</v>
      </c>
      <c r="P29" s="274" t="str">
        <f t="shared" si="3"/>
        <v>Cars</v>
      </c>
      <c r="Q29" s="282"/>
      <c r="R29" s="243"/>
    </row>
    <row r="30" spans="2:19" ht="15" customHeight="1" outlineLevel="1">
      <c r="B30" s="7"/>
      <c r="C30" s="7"/>
      <c r="D30" s="300" t="s">
        <v>590</v>
      </c>
      <c r="E30" s="523">
        <v>0</v>
      </c>
      <c r="F30" s="523">
        <f>165+10.99+8.99+2.85+29.95</f>
        <v>217.78</v>
      </c>
      <c r="G30" s="305"/>
      <c r="H30" s="78"/>
      <c r="J30" s="305"/>
      <c r="L30">
        <f>79.12+7</f>
        <v>86.12</v>
      </c>
      <c r="N30" s="315"/>
      <c r="O30" s="274">
        <f>SUM(E30:F30)-SUM(G30:N30)-Q43</f>
        <v>93.619999999999919</v>
      </c>
      <c r="P30" s="274" t="str">
        <f t="shared" si="3"/>
        <v>Contingency</v>
      </c>
      <c r="Q30" s="282"/>
    </row>
    <row r="31" spans="2:19" ht="15" customHeight="1" outlineLevel="1">
      <c r="B31" s="7"/>
      <c r="C31" s="7"/>
      <c r="D31" s="300" t="s">
        <v>1486</v>
      </c>
      <c r="E31" s="523">
        <v>0</v>
      </c>
      <c r="F31" s="523">
        <v>13.67</v>
      </c>
      <c r="H31" s="78"/>
      <c r="J31" s="305"/>
      <c r="L31" s="305"/>
      <c r="N31" s="315"/>
      <c r="O31" s="274">
        <f t="shared" ref="O31:O36" si="4">SUM(E31:F31)-SUM(G31:N31)</f>
        <v>13.67</v>
      </c>
      <c r="P31" s="274" t="str">
        <f t="shared" si="3"/>
        <v>TV</v>
      </c>
      <c r="Q31" s="282"/>
    </row>
    <row r="32" spans="2:19" ht="15" customHeight="1" outlineLevel="1">
      <c r="B32" s="7"/>
      <c r="C32" s="7"/>
      <c r="D32" s="300" t="s">
        <v>1296</v>
      </c>
      <c r="E32" s="523">
        <v>0</v>
      </c>
      <c r="F32" s="523">
        <v>95</v>
      </c>
      <c r="H32" s="78"/>
      <c r="J32" s="305"/>
      <c r="L32" s="305"/>
      <c r="N32" s="315"/>
      <c r="O32" s="274">
        <f t="shared" si="4"/>
        <v>95</v>
      </c>
      <c r="P32" s="274" t="str">
        <f t="shared" si="3"/>
        <v>Offset</v>
      </c>
      <c r="Q32" s="282"/>
    </row>
    <row r="33" spans="2:19" ht="15" customHeight="1" outlineLevel="1">
      <c r="B33" s="7"/>
      <c r="C33" s="7"/>
      <c r="D33" s="300" t="s">
        <v>354</v>
      </c>
      <c r="E33" s="523">
        <v>0</v>
      </c>
      <c r="F33" s="523">
        <f>650+55+80+32.14+100+40-271.13+140-16.12-140-30</f>
        <v>639.89</v>
      </c>
      <c r="H33" s="78">
        <f>234.99+(128*2)</f>
        <v>490.99</v>
      </c>
      <c r="J33" s="305"/>
      <c r="N33" s="315"/>
      <c r="O33" s="274">
        <f t="shared" si="4"/>
        <v>148.89999999999998</v>
      </c>
      <c r="P33" s="274" t="str">
        <f t="shared" si="3"/>
        <v>Holiday</v>
      </c>
      <c r="Q33" s="282"/>
    </row>
    <row r="34" spans="2:19" ht="15" customHeight="1" outlineLevel="1">
      <c r="B34" s="7"/>
      <c r="C34" s="7"/>
      <c r="D34" s="300" t="s">
        <v>701</v>
      </c>
      <c r="E34" s="523">
        <v>0</v>
      </c>
      <c r="F34" s="523">
        <f>100</f>
        <v>100</v>
      </c>
      <c r="H34" s="78"/>
      <c r="J34" s="305"/>
      <c r="L34">
        <f>110+(14+17)</f>
        <v>141</v>
      </c>
      <c r="N34" s="315"/>
      <c r="O34" s="274">
        <f t="shared" si="4"/>
        <v>-41</v>
      </c>
      <c r="P34" s="274" t="str">
        <f t="shared" si="3"/>
        <v>Gift</v>
      </c>
      <c r="Q34" s="282"/>
    </row>
    <row r="35" spans="2:19" ht="15" customHeight="1" outlineLevel="1">
      <c r="B35" s="7"/>
      <c r="C35" s="7"/>
      <c r="D35" s="300" t="s">
        <v>1391</v>
      </c>
      <c r="E35" s="523">
        <v>0</v>
      </c>
      <c r="F35" s="523">
        <v>375</v>
      </c>
      <c r="H35" s="78"/>
      <c r="J35" s="305"/>
      <c r="L35" s="305">
        <v>400</v>
      </c>
      <c r="N35" s="315"/>
      <c r="O35" s="274">
        <f t="shared" si="4"/>
        <v>-25</v>
      </c>
      <c r="P35" s="274" t="str">
        <f t="shared" si="3"/>
        <v>Avios</v>
      </c>
      <c r="Q35" s="282"/>
    </row>
    <row r="36" spans="2:19" ht="15" customHeight="1" outlineLevel="1">
      <c r="B36" s="7"/>
      <c r="C36" s="7"/>
      <c r="D36" s="300" t="s">
        <v>814</v>
      </c>
      <c r="E36" s="523">
        <v>0</v>
      </c>
      <c r="F36" s="523">
        <f>1929.92+300+754.09</f>
        <v>2984.01</v>
      </c>
      <c r="G36">
        <f>68.8+313.15+2560.31</f>
        <v>2942.2599999999998</v>
      </c>
      <c r="H36" s="78">
        <f>41.75</f>
        <v>41.75</v>
      </c>
      <c r="J36" s="305"/>
      <c r="L36" s="305"/>
      <c r="N36" s="315"/>
      <c r="O36" s="274">
        <f t="shared" si="4"/>
        <v>0</v>
      </c>
      <c r="P36" s="274" t="str">
        <f t="shared" si="3"/>
        <v>CC</v>
      </c>
      <c r="Q36" s="282"/>
    </row>
    <row r="37" spans="2:19" ht="15" customHeight="1">
      <c r="B37" s="118"/>
      <c r="C37" s="118"/>
      <c r="H37" s="78"/>
      <c r="J37" s="305"/>
      <c r="L37" s="305"/>
      <c r="N37" s="305"/>
      <c r="O37" s="273"/>
      <c r="P37" s="273"/>
      <c r="Q37" s="282"/>
      <c r="R37" s="243"/>
    </row>
    <row r="38" spans="2:19" ht="15" customHeight="1">
      <c r="B38" s="727" t="str">
        <f>_xlfn.CONCAT("Wants - 30 - ",G43*0.3," / Actual = ",D39," (",ROUND((D39/G43)*100,2),")")</f>
        <v>Wants - 30 - 2535.993 / Actual = 1005.69 (11.9)</v>
      </c>
      <c r="C38" s="727"/>
      <c r="D38" s="727"/>
      <c r="E38" s="727"/>
      <c r="F38" s="318"/>
      <c r="H38" s="78"/>
      <c r="J38" s="305"/>
      <c r="L38" s="305"/>
      <c r="N38" s="305"/>
      <c r="O38" s="273"/>
      <c r="P38" s="273"/>
      <c r="Q38" s="282"/>
    </row>
    <row r="39" spans="2:19" ht="15" customHeight="1">
      <c r="B39" s="727" t="str">
        <f>IF(ISNUMBER((SEARCH("Over",B$5))),"Operating under budget","Operating over budget")</f>
        <v>Operating over budget</v>
      </c>
      <c r="C39" s="727"/>
      <c r="D39" s="759">
        <f>(E$43-D5-D26-E42)</f>
        <v>1005.6899999999987</v>
      </c>
      <c r="E39" s="727"/>
      <c r="F39" s="319">
        <f>F40</f>
        <v>368.13999999999874</v>
      </c>
      <c r="H39" s="78"/>
      <c r="J39" s="305"/>
      <c r="L39" s="305"/>
      <c r="N39" s="305"/>
      <c r="O39" s="285">
        <f>0</f>
        <v>0</v>
      </c>
      <c r="P39" s="285" t="s">
        <v>899</v>
      </c>
      <c r="Q39" s="282">
        <f>SUM(Q40:Q40)</f>
        <v>0</v>
      </c>
      <c r="S39" s="11"/>
    </row>
    <row r="40" spans="2:19" ht="18" outlineLevel="1">
      <c r="B40" s="7"/>
      <c r="C40" s="284"/>
      <c r="D40" s="13" t="s">
        <v>922</v>
      </c>
      <c r="E40" s="523">
        <v>0</v>
      </c>
      <c r="F40" s="523">
        <f>D39-F41</f>
        <v>368.13999999999874</v>
      </c>
      <c r="G40" s="11"/>
      <c r="H40" s="78">
        <f>25.19+62.66+29.34+12+25.96+11.76+12.82+11.35+2.1-4.27+1.12+6.25</f>
        <v>196.27999999999997</v>
      </c>
      <c r="J40">
        <f>12.79+4.99+9.49</f>
        <v>27.270000000000003</v>
      </c>
      <c r="L40">
        <f>17+7+7.8+12+12+5+4+1.71+3.9+7.12+3.77+11.99+4.73+9.7+8+10.64+6.4+0.99</f>
        <v>133.75</v>
      </c>
      <c r="N40" s="305"/>
      <c r="O40" s="274">
        <f>SUM(E40:F40)-SUM(G40:N40)</f>
        <v>10.839999999998781</v>
      </c>
      <c r="P40" s="274" t="str">
        <f>D40</f>
        <v>Matt Fun</v>
      </c>
      <c r="Q40" s="282">
        <f>IF(SUM(E40:F40)-SUM(G40:N40)&lt;=0,(SUM(E40:F40)-SUM(G40:N40))*-1,0)</f>
        <v>0</v>
      </c>
      <c r="S40" s="11"/>
    </row>
    <row r="41" spans="2:19" ht="18" outlineLevel="1">
      <c r="B41" s="7"/>
      <c r="C41" s="284"/>
      <c r="D41" s="13" t="s">
        <v>152</v>
      </c>
      <c r="E41" s="523">
        <v>0</v>
      </c>
      <c r="F41" s="523">
        <f>30+153+43+45+44+17+36+196.55+43+30</f>
        <v>637.54999999999995</v>
      </c>
      <c r="G41" s="11"/>
      <c r="H41" s="326">
        <f>54.5+33.98+22.5+50.09+42.97-6.99+57.92+43.97+44.97+153+36.53-7.91-22.5+17+54-49+108+695.99+102.98</f>
        <v>1432</v>
      </c>
      <c r="J41" s="305"/>
      <c r="L41" s="305">
        <f>5.31+196.55+43</f>
        <v>244.86</v>
      </c>
      <c r="N41" s="305"/>
      <c r="O41" s="274">
        <f>SUM(E41:F41)-SUM(G41:N41)</f>
        <v>-1039.3100000000002</v>
      </c>
      <c r="P41" s="274" t="str">
        <f>D41</f>
        <v>Kris</v>
      </c>
      <c r="Q41" s="271">
        <f>IF(F41-SUM(G41:N41)&lt;=0,(F41-SUM(G41:N41))*-1,0)</f>
        <v>1039.3100000000002</v>
      </c>
    </row>
    <row r="42" spans="2:19">
      <c r="B42" s="118"/>
      <c r="C42" s="118"/>
      <c r="E42" s="523">
        <f>E27</f>
        <v>0</v>
      </c>
      <c r="G42" s="349"/>
      <c r="J42" s="7"/>
      <c r="L42" s="7"/>
      <c r="N42" s="7"/>
      <c r="O42" s="273"/>
      <c r="P42" s="273"/>
      <c r="Q42" s="282"/>
    </row>
    <row r="43" spans="2:19" ht="18">
      <c r="B43" s="728" t="s">
        <v>817</v>
      </c>
      <c r="C43" s="728"/>
      <c r="D43" s="728"/>
      <c r="E43" s="529">
        <f>G43+I43+K43+M43+N43+E42</f>
        <v>8453.31</v>
      </c>
      <c r="F43" s="530"/>
      <c r="G43" s="271">
        <f>1929.92+3595.84+910+300+(819.12+104.88-19)+30+30+153+43+45+44+17+10+10+36+40+18+13+54+196.55+43+30</f>
        <v>8453.31</v>
      </c>
      <c r="H43" s="282"/>
      <c r="I43" s="271"/>
      <c r="J43" s="271"/>
      <c r="K43" s="271"/>
      <c r="L43" s="271"/>
      <c r="M43" s="271"/>
      <c r="N43" s="271"/>
      <c r="O43" s="314">
        <f>ROUND(O5+O39+O26+IF(O40&lt;0,0,O40)+O41+O4,2)</f>
        <v>3169.48</v>
      </c>
      <c r="P43" s="274"/>
      <c r="Q43" s="282">
        <f>SUM(Q39,Q26,Q5)</f>
        <v>38.04000000000007</v>
      </c>
    </row>
    <row r="44" spans="2:19" ht="18">
      <c r="B44" s="118"/>
      <c r="C44" s="7"/>
      <c r="D44" s="13" t="s">
        <v>1451</v>
      </c>
      <c r="G44" s="523"/>
      <c r="H44" s="243"/>
      <c r="L44" s="243"/>
      <c r="O44" s="610">
        <f>O43-SUM(O4:O5)</f>
        <v>-1354.6200000000003</v>
      </c>
      <c r="P44" s="7" t="str">
        <f>IF(O44&lt;0, "DEFICIT", "")</f>
        <v>DEFICIT</v>
      </c>
    </row>
    <row r="45" spans="2:19" ht="14.4">
      <c r="B45" s="729"/>
      <c r="C45" s="729"/>
      <c r="D45" s="729"/>
      <c r="E45" s="729"/>
      <c r="F45" s="729"/>
      <c r="G45" s="729"/>
      <c r="H45" s="297"/>
      <c r="K45" s="729"/>
      <c r="L45" s="729"/>
      <c r="M45" s="729"/>
      <c r="N45" s="729"/>
      <c r="O45" s="729"/>
      <c r="P45" s="297"/>
    </row>
    <row r="46" spans="2:19" ht="15" customHeight="1">
      <c r="B46" s="726" t="s">
        <v>955</v>
      </c>
      <c r="C46" s="726"/>
      <c r="E46"/>
      <c r="F46" s="348"/>
      <c r="H46" s="243"/>
      <c r="K46" s="212"/>
      <c r="L46" s="212"/>
      <c r="M46" s="243"/>
      <c r="N46" s="118" t="s">
        <v>2786</v>
      </c>
      <c r="O46" s="316">
        <v>45920</v>
      </c>
      <c r="P46" s="7">
        <f ca="1">DATEDIF(O46,NOW(),"d")</f>
        <v>331</v>
      </c>
      <c r="Q46">
        <v>29.1</v>
      </c>
      <c r="R46" t="s">
        <v>2357</v>
      </c>
    </row>
    <row r="47" spans="2:19">
      <c r="B47" s="523"/>
      <c r="C47" s="38"/>
      <c r="D47" s="739" t="s">
        <v>2793</v>
      </c>
      <c r="E47" s="739"/>
      <c r="F47" s="740" t="s">
        <v>890</v>
      </c>
      <c r="G47" s="740"/>
      <c r="H47" s="763" t="s">
        <v>2794</v>
      </c>
      <c r="I47" s="763"/>
      <c r="K47" s="740" t="s">
        <v>2798</v>
      </c>
      <c r="L47" s="740"/>
      <c r="N47" s="483" t="s">
        <v>2787</v>
      </c>
      <c r="O47" s="316">
        <v>45920</v>
      </c>
      <c r="P47" s="7">
        <f ca="1">DATEDIF(O47,NOW(),"d")</f>
        <v>331</v>
      </c>
      <c r="Q47">
        <v>6.25</v>
      </c>
      <c r="R47" t="s">
        <v>2789</v>
      </c>
    </row>
    <row r="48" spans="2:19">
      <c r="D48" s="242">
        <v>695.99</v>
      </c>
      <c r="E48" s="329" t="s">
        <v>2643</v>
      </c>
      <c r="F48" s="602">
        <v>108</v>
      </c>
      <c r="G48" s="616" t="s">
        <v>1467</v>
      </c>
      <c r="H48" s="445">
        <v>75</v>
      </c>
      <c r="I48" s="259" t="s">
        <v>1515</v>
      </c>
      <c r="J48" s="243"/>
      <c r="K48" s="349" t="s">
        <v>2799</v>
      </c>
      <c r="L48" s="243">
        <v>60</v>
      </c>
      <c r="N48" s="358" t="s">
        <v>2371</v>
      </c>
      <c r="O48" s="316">
        <v>45920</v>
      </c>
      <c r="P48" s="7">
        <f ca="1">DATEDIF(O48,NOW(),"d")</f>
        <v>331</v>
      </c>
    </row>
    <row r="49" spans="2:18" ht="16.2" customHeight="1">
      <c r="D49">
        <v>400</v>
      </c>
      <c r="E49" s="614" t="s">
        <v>2791</v>
      </c>
      <c r="F49" s="617">
        <v>102.98</v>
      </c>
      <c r="G49" s="618" t="s">
        <v>2792</v>
      </c>
      <c r="H49" s="243"/>
      <c r="I49" s="390"/>
      <c r="K49" s="11" t="s">
        <v>863</v>
      </c>
      <c r="L49" s="243">
        <v>270</v>
      </c>
      <c r="N49" t="s">
        <v>2785</v>
      </c>
      <c r="O49" s="316">
        <v>45920</v>
      </c>
      <c r="P49" s="7">
        <v>0</v>
      </c>
      <c r="Q49">
        <v>0.99</v>
      </c>
      <c r="R49" t="s">
        <v>2790</v>
      </c>
    </row>
    <row r="50" spans="2:18">
      <c r="B50" s="532"/>
      <c r="D50">
        <f>SUM(D48:D49)</f>
        <v>1095.99</v>
      </c>
      <c r="E50" s="534"/>
      <c r="F50" s="523">
        <f>SUM(F48:F49)</f>
        <v>210.98000000000002</v>
      </c>
      <c r="G50" s="539"/>
      <c r="H50" s="243">
        <f>SUM(H48:H49)</f>
        <v>75</v>
      </c>
      <c r="I50" s="349"/>
      <c r="K50" s="243" t="s">
        <v>2803</v>
      </c>
      <c r="M50" s="243"/>
      <c r="N50" t="s">
        <v>2788</v>
      </c>
      <c r="P50"/>
    </row>
    <row r="51" spans="2:18" ht="16.2" customHeight="1">
      <c r="D51" s="726" t="str">
        <f>"Total to repay: " &amp; SUM(D50:H50)</f>
        <v>Total to repay: 1381.97</v>
      </c>
      <c r="E51" s="726"/>
      <c r="F51" s="726"/>
      <c r="G51" s="726"/>
      <c r="H51" s="726"/>
      <c r="K51" t="s">
        <v>864</v>
      </c>
      <c r="M51" s="243"/>
      <c r="P51"/>
      <c r="Q51" s="243"/>
    </row>
    <row r="52" spans="2:18" ht="16.2" customHeight="1">
      <c r="F52" s="492"/>
      <c r="G52" s="515"/>
      <c r="H52" s="515"/>
      <c r="J52" s="243"/>
      <c r="K52" t="s">
        <v>1008</v>
      </c>
      <c r="L52">
        <v>50</v>
      </c>
      <c r="M52" s="243"/>
      <c r="P52" s="292"/>
      <c r="Q52" s="212"/>
    </row>
    <row r="53" spans="2:18" ht="15" customHeight="1">
      <c r="D53" s="726" t="s">
        <v>2802</v>
      </c>
      <c r="E53" s="726"/>
      <c r="G53" s="243"/>
      <c r="J53" s="243"/>
      <c r="M53" s="243"/>
      <c r="N53" s="243"/>
      <c r="P53" s="56"/>
      <c r="Q53" s="38"/>
    </row>
    <row r="54" spans="2:18">
      <c r="D54">
        <v>50</v>
      </c>
      <c r="E54" s="614" t="s">
        <v>89</v>
      </c>
      <c r="F54" s="390"/>
      <c r="M54" s="243"/>
      <c r="N54">
        <f>12.79+4.99+9.49</f>
        <v>27.270000000000003</v>
      </c>
      <c r="O54"/>
      <c r="P54"/>
    </row>
    <row r="55" spans="2:18" ht="15" customHeight="1">
      <c r="D55">
        <f>50+75+210</f>
        <v>335</v>
      </c>
      <c r="E55" s="614" t="s">
        <v>93</v>
      </c>
      <c r="F55" s="243"/>
      <c r="G55" s="243" t="s">
        <v>19</v>
      </c>
      <c r="H55" s="243">
        <v>140</v>
      </c>
      <c r="K55" s="726" t="s">
        <v>2273</v>
      </c>
      <c r="L55" s="726"/>
      <c r="M55" s="243"/>
      <c r="N55">
        <f>N54+15</f>
        <v>42.27</v>
      </c>
    </row>
    <row r="56" spans="2:18" ht="16.2" customHeight="1">
      <c r="D56">
        <f>50+100</f>
        <v>150</v>
      </c>
      <c r="E56" s="614" t="s">
        <v>101</v>
      </c>
      <c r="F56" s="611"/>
      <c r="G56" s="458" t="s">
        <v>2795</v>
      </c>
      <c r="H56">
        <v>190</v>
      </c>
      <c r="I56" s="547"/>
      <c r="K56">
        <v>16</v>
      </c>
      <c r="L56" t="s">
        <v>2360</v>
      </c>
      <c r="M56" s="243"/>
    </row>
    <row r="57" spans="2:18" ht="14.7" customHeight="1">
      <c r="B57" s="11"/>
      <c r="D57">
        <f>50+100+300</f>
        <v>450</v>
      </c>
      <c r="E57" s="614" t="s">
        <v>111</v>
      </c>
      <c r="F57"/>
      <c r="H57" s="243"/>
      <c r="J57" s="243"/>
      <c r="K57">
        <f>K56*33</f>
        <v>528</v>
      </c>
      <c r="L57" t="s">
        <v>1981</v>
      </c>
      <c r="M57" s="243"/>
      <c r="O57"/>
      <c r="P57"/>
    </row>
    <row r="58" spans="2:18">
      <c r="B58" s="11"/>
      <c r="D58">
        <f>50+100</f>
        <v>150</v>
      </c>
      <c r="E58" s="615" t="s">
        <v>118</v>
      </c>
      <c r="F58" s="545"/>
      <c r="G58" t="s">
        <v>2796</v>
      </c>
      <c r="K58" s="243">
        <f>SUM(L48:L52)</f>
        <v>380</v>
      </c>
      <c r="L58" t="s">
        <v>2800</v>
      </c>
      <c r="O58"/>
      <c r="P58"/>
    </row>
    <row r="59" spans="2:18">
      <c r="B59" s="11"/>
      <c r="D59">
        <f>100+50</f>
        <v>150</v>
      </c>
      <c r="E59" s="284" t="s">
        <v>17</v>
      </c>
      <c r="F59" s="545"/>
      <c r="G59" t="s">
        <v>2797</v>
      </c>
      <c r="H59">
        <f>(300/12)*3</f>
        <v>75</v>
      </c>
      <c r="J59" s="243"/>
      <c r="K59">
        <f>SUM(K57:K58)</f>
        <v>908</v>
      </c>
      <c r="L59" t="s">
        <v>1499</v>
      </c>
      <c r="O59"/>
      <c r="P59"/>
    </row>
    <row r="60" spans="2:18">
      <c r="D60">
        <v>100</v>
      </c>
      <c r="E60" s="614" t="s">
        <v>29</v>
      </c>
      <c r="I60" s="248"/>
      <c r="K60">
        <f>140*L60</f>
        <v>280</v>
      </c>
      <c r="L60">
        <f>ROUND(K56/7,0)</f>
        <v>2</v>
      </c>
      <c r="M60" s="243"/>
      <c r="O60"/>
      <c r="P60"/>
    </row>
    <row r="61" spans="2:18">
      <c r="B61" s="212"/>
      <c r="C61" s="212"/>
      <c r="E61" s="545"/>
      <c r="I61" s="516"/>
      <c r="J61" s="79"/>
      <c r="K61">
        <f>K59-K60</f>
        <v>628</v>
      </c>
      <c r="L61" t="s">
        <v>2361</v>
      </c>
      <c r="O61"/>
      <c r="P61"/>
    </row>
    <row r="62" spans="2:18">
      <c r="C62" s="56"/>
      <c r="I62" s="494"/>
      <c r="J62" s="79"/>
      <c r="L62" s="243"/>
      <c r="O62"/>
      <c r="P62"/>
    </row>
    <row r="63" spans="2:18" ht="15.75" customHeight="1">
      <c r="C63" s="56"/>
      <c r="F63"/>
      <c r="G63" s="243"/>
      <c r="L63" s="243"/>
      <c r="M63" s="243"/>
      <c r="O63"/>
      <c r="P63"/>
    </row>
    <row r="64" spans="2:18">
      <c r="C64" s="56"/>
      <c r="E64"/>
      <c r="G64" s="243"/>
      <c r="M64" s="243"/>
      <c r="O64"/>
      <c r="P64"/>
    </row>
    <row r="65" spans="2:16" ht="14.4">
      <c r="C65" s="56"/>
      <c r="D65" s="188"/>
      <c r="E65"/>
      <c r="F65" s="79"/>
      <c r="K65" s="258"/>
      <c r="O65"/>
      <c r="P65"/>
    </row>
    <row r="66" spans="2:16">
      <c r="C66" s="56"/>
      <c r="E66"/>
      <c r="F66" s="545"/>
      <c r="K66" s="258"/>
      <c r="O66"/>
      <c r="P66"/>
    </row>
    <row r="67" spans="2:16" ht="14.4">
      <c r="C67" s="56"/>
      <c r="E67" s="407"/>
      <c r="F67" s="55"/>
      <c r="K67" s="258"/>
      <c r="O67"/>
      <c r="P67"/>
    </row>
    <row r="68" spans="2:16">
      <c r="C68" s="56"/>
      <c r="E68"/>
      <c r="I68" s="407"/>
      <c r="J68" s="79"/>
      <c r="K68" s="258"/>
      <c r="N68" s="288"/>
      <c r="O68"/>
      <c r="P68"/>
    </row>
    <row r="69" spans="2:16">
      <c r="C69" s="56"/>
      <c r="E69" s="347"/>
      <c r="O69"/>
      <c r="P69"/>
    </row>
    <row r="70" spans="2:16">
      <c r="C70" s="56"/>
      <c r="E70"/>
      <c r="F70" s="545"/>
      <c r="J70" s="118"/>
      <c r="L70" s="243"/>
      <c r="O70"/>
      <c r="P70"/>
    </row>
    <row r="71" spans="2:16" ht="14.4">
      <c r="C71" s="56"/>
      <c r="E71" s="407"/>
      <c r="F71"/>
      <c r="I71" s="407"/>
      <c r="J71" s="407"/>
      <c r="O71"/>
      <c r="P71"/>
    </row>
    <row r="72" spans="2:16" ht="15.45" customHeight="1">
      <c r="C72" s="56"/>
      <c r="E72" s="407"/>
      <c r="F72" s="11"/>
      <c r="I72" s="407"/>
      <c r="J72" s="407"/>
      <c r="K72" s="407"/>
      <c r="L72" s="407"/>
      <c r="M72" s="407"/>
      <c r="O72"/>
      <c r="P72"/>
    </row>
    <row r="73" spans="2:16" ht="14.4">
      <c r="D73" s="459"/>
      <c r="E73" s="243"/>
      <c r="F73" s="459"/>
      <c r="O73"/>
      <c r="P73"/>
    </row>
    <row r="74" spans="2:16" ht="14.4">
      <c r="B74" s="212"/>
      <c r="C74" s="294"/>
      <c r="D74" s="188"/>
      <c r="E74"/>
      <c r="F74" s="188"/>
      <c r="O74"/>
      <c r="P74"/>
    </row>
    <row r="75" spans="2:16" ht="15.45" customHeight="1">
      <c r="C75" s="56"/>
      <c r="D75" s="734" t="s">
        <v>2801</v>
      </c>
      <c r="E75" s="734"/>
      <c r="F75" s="734"/>
      <c r="G75" s="734"/>
      <c r="H75" s="734"/>
      <c r="I75" s="734"/>
      <c r="J75" s="734"/>
      <c r="M75" s="243"/>
      <c r="O75"/>
      <c r="P75"/>
    </row>
    <row r="76" spans="2:16" ht="16.2" customHeight="1">
      <c r="C76" s="56"/>
      <c r="D76" s="734"/>
      <c r="E76" s="734"/>
      <c r="F76" s="734"/>
      <c r="G76" s="734"/>
      <c r="H76" s="734"/>
      <c r="I76" s="734"/>
      <c r="J76" s="734"/>
      <c r="O76"/>
      <c r="P76"/>
    </row>
    <row r="77" spans="2:16" ht="14.4">
      <c r="C77" s="56"/>
      <c r="D77" t="s">
        <v>2745</v>
      </c>
      <c r="E77"/>
      <c r="F77" s="767"/>
      <c r="G77" s="767"/>
      <c r="I77" s="243"/>
      <c r="K77" s="11"/>
      <c r="L77" s="459"/>
      <c r="M77" s="461"/>
      <c r="O77"/>
      <c r="P77"/>
    </row>
    <row r="78" spans="2:16">
      <c r="C78" s="56"/>
      <c r="D78" t="s">
        <v>290</v>
      </c>
      <c r="E78" s="534">
        <f>120</f>
        <v>120</v>
      </c>
      <c r="F78" s="545"/>
      <c r="G78" s="458"/>
      <c r="H78" s="445" t="s">
        <v>2749</v>
      </c>
      <c r="I78" s="11"/>
      <c r="J78" s="243" t="s">
        <v>2765</v>
      </c>
      <c r="L78" s="188"/>
      <c r="M78" s="230"/>
      <c r="O78"/>
      <c r="P78"/>
    </row>
    <row r="79" spans="2:16">
      <c r="C79" s="56"/>
      <c r="D79" t="s">
        <v>2747</v>
      </c>
      <c r="E79" s="523">
        <f>910+140-850</f>
        <v>200</v>
      </c>
      <c r="G79" s="243"/>
      <c r="H79" s="243">
        <v>850</v>
      </c>
      <c r="I79" s="243" t="s">
        <v>2750</v>
      </c>
      <c r="J79" s="349" t="s">
        <v>2754</v>
      </c>
      <c r="L79" s="188"/>
      <c r="M79" s="230"/>
      <c r="O79"/>
      <c r="P79"/>
    </row>
    <row r="80" spans="2:16">
      <c r="C80" s="56"/>
      <c r="D80" t="s">
        <v>2746</v>
      </c>
      <c r="E80" s="534" cm="1">
        <f t="array" ref="E80:F80">('SEP-OCT 25'!D5-'APR-MAY 24'!D5:E5)*-1</f>
        <v>-287.21000000000004</v>
      </c>
      <c r="F80" s="523">
        <v>-3489.09</v>
      </c>
      <c r="G80" s="539">
        <f>'SEP-OCT 25'!D5-3085.27</f>
        <v>403.82000000000016</v>
      </c>
      <c r="H80" s="243">
        <v>910</v>
      </c>
      <c r="I80" s="349" t="s">
        <v>2751</v>
      </c>
      <c r="J80" s="213" t="s">
        <v>2753</v>
      </c>
      <c r="L80" s="188"/>
      <c r="M80" s="230"/>
      <c r="O80"/>
      <c r="P80"/>
    </row>
    <row r="81" spans="4:16">
      <c r="E81" s="11">
        <f>E80+E78+E79</f>
        <v>32.789999999999964</v>
      </c>
      <c r="G81" s="539"/>
      <c r="L81" s="188"/>
      <c r="M81" s="230"/>
      <c r="O81"/>
      <c r="P81"/>
    </row>
    <row r="82" spans="4:16">
      <c r="E82" s="534"/>
      <c r="F82" s="492"/>
      <c r="G82" s="515"/>
      <c r="H82">
        <v>1810</v>
      </c>
      <c r="I82" t="s">
        <v>2758</v>
      </c>
      <c r="J82" t="s">
        <v>2755</v>
      </c>
      <c r="L82" s="532"/>
      <c r="M82" s="230"/>
      <c r="O82"/>
      <c r="P82"/>
    </row>
    <row r="83" spans="4:16">
      <c r="G83" s="243">
        <f>G84+49+50</f>
        <v>149.14999999999998</v>
      </c>
      <c r="H83" s="243">
        <f>1954</f>
        <v>1954</v>
      </c>
      <c r="I83" t="s">
        <v>2757</v>
      </c>
      <c r="J83" s="243" t="s">
        <v>2756</v>
      </c>
      <c r="L83" s="405"/>
      <c r="M83" s="230"/>
      <c r="O83"/>
      <c r="P83"/>
    </row>
    <row r="84" spans="4:16">
      <c r="D84" t="s">
        <v>590</v>
      </c>
      <c r="E84" s="612" t="s">
        <v>2748</v>
      </c>
      <c r="F84" s="390" t="e">
        <f>'SEP-OCT 25'!#REF!-1929.92</f>
        <v>#REF!</v>
      </c>
      <c r="G84" s="243">
        <f>'SEP-OCT 25'!F13-22.7</f>
        <v>50.149999999999991</v>
      </c>
      <c r="H84" s="243">
        <f>H83-H82</f>
        <v>144</v>
      </c>
      <c r="I84" t="s">
        <v>2759</v>
      </c>
      <c r="K84" s="243"/>
      <c r="L84" s="405"/>
      <c r="M84" s="462"/>
      <c r="O84"/>
      <c r="P84"/>
    </row>
    <row r="85" spans="4:16">
      <c r="F85" s="243" t="e">
        <f>F84-300</f>
        <v>#REF!</v>
      </c>
      <c r="H85" s="243">
        <f>H84-60</f>
        <v>84</v>
      </c>
      <c r="I85" t="s">
        <v>2760</v>
      </c>
      <c r="J85" s="353"/>
      <c r="K85" s="243"/>
      <c r="O85"/>
      <c r="P85"/>
    </row>
    <row r="86" spans="4:16">
      <c r="E86" s="609"/>
      <c r="F86" s="611"/>
      <c r="G86" s="458"/>
      <c r="O86"/>
      <c r="P86"/>
    </row>
    <row r="87" spans="4:16">
      <c r="E87" s="608"/>
      <c r="F87"/>
      <c r="H87" s="515">
        <v>55</v>
      </c>
      <c r="I87" t="s">
        <v>2752</v>
      </c>
      <c r="J87" s="243"/>
      <c r="O87"/>
      <c r="P87"/>
    </row>
    <row r="88" spans="4:16">
      <c r="E88" s="284">
        <f>3575.84-3475.58</f>
        <v>100.26000000000022</v>
      </c>
      <c r="F88" s="613" t="s">
        <v>2766</v>
      </c>
      <c r="H88" s="243">
        <f>H85+H87</f>
        <v>139</v>
      </c>
      <c r="I88" t="s">
        <v>2160</v>
      </c>
      <c r="O88"/>
      <c r="P88"/>
    </row>
    <row r="89" spans="4:16">
      <c r="E89" s="284"/>
      <c r="F89" s="545"/>
      <c r="J89" s="243"/>
      <c r="O89"/>
      <c r="P89"/>
    </row>
    <row r="90" spans="4:16">
      <c r="E90" s="534"/>
      <c r="G90" s="243">
        <f>500-'SEP-OCT 25'!F39</f>
        <v>71.669999999999163</v>
      </c>
      <c r="H90" s="523"/>
      <c r="J90" t="s">
        <v>285</v>
      </c>
      <c r="K90" s="248"/>
      <c r="O90"/>
      <c r="P90"/>
    </row>
    <row r="91" spans="4:16">
      <c r="E91" s="545"/>
      <c r="H91" s="523"/>
      <c r="K91" t="s">
        <v>1279</v>
      </c>
      <c r="O91"/>
      <c r="P91"/>
    </row>
    <row r="92" spans="4:16">
      <c r="H92" s="523"/>
      <c r="O92"/>
      <c r="P92"/>
    </row>
    <row r="93" spans="4:16">
      <c r="I93" s="243"/>
      <c r="J93">
        <f>600</f>
        <v>600</v>
      </c>
      <c r="K93" t="s">
        <v>286</v>
      </c>
      <c r="O93"/>
      <c r="P93"/>
    </row>
    <row r="94" spans="4:16">
      <c r="E94"/>
      <c r="H94" s="523"/>
      <c r="I94" s="243">
        <f>140</f>
        <v>140</v>
      </c>
      <c r="J94">
        <f>J93-140</f>
        <v>460</v>
      </c>
      <c r="K94" s="516" t="s">
        <v>2761</v>
      </c>
      <c r="O94"/>
      <c r="P94"/>
    </row>
    <row r="95" spans="4:16">
      <c r="D95" s="188"/>
      <c r="E95"/>
      <c r="H95" s="79"/>
      <c r="O95"/>
      <c r="P95"/>
    </row>
    <row r="96" spans="4:16">
      <c r="E96"/>
      <c r="H96" s="545"/>
      <c r="J96">
        <f>600</f>
        <v>600</v>
      </c>
      <c r="K96" t="s">
        <v>287</v>
      </c>
      <c r="O96"/>
      <c r="P96"/>
    </row>
    <row r="97" spans="4:16">
      <c r="D97">
        <v>500</v>
      </c>
      <c r="E97" s="407" t="s">
        <v>2781</v>
      </c>
      <c r="H97" s="55">
        <v>300</v>
      </c>
      <c r="I97">
        <v>300</v>
      </c>
      <c r="J97">
        <f>J96-300</f>
        <v>300</v>
      </c>
      <c r="K97" t="s">
        <v>2762</v>
      </c>
      <c r="O97"/>
      <c r="P97"/>
    </row>
    <row r="98" spans="4:16">
      <c r="D98">
        <f>D97*20</f>
        <v>10000</v>
      </c>
      <c r="E98" t="s">
        <v>2782</v>
      </c>
      <c r="F98" s="523" t="s">
        <v>2784</v>
      </c>
      <c r="H98" s="523"/>
      <c r="K98" s="407"/>
      <c r="O98"/>
      <c r="P98"/>
    </row>
    <row r="99" spans="4:16">
      <c r="D99">
        <f>(500/10)*1</f>
        <v>50</v>
      </c>
      <c r="E99" s="347" t="s">
        <v>2783</v>
      </c>
      <c r="H99" s="523"/>
      <c r="J99">
        <f>600+500</f>
        <v>1100</v>
      </c>
      <c r="K99" t="s">
        <v>288</v>
      </c>
      <c r="O99"/>
      <c r="P99"/>
    </row>
    <row r="100" spans="4:16">
      <c r="D100">
        <f>SUM(D98:D99)</f>
        <v>10050</v>
      </c>
      <c r="E100"/>
      <c r="H100" s="545"/>
      <c r="I100">
        <v>750</v>
      </c>
      <c r="J100">
        <f>J99-300</f>
        <v>800</v>
      </c>
      <c r="K100" t="s">
        <v>2764</v>
      </c>
      <c r="O100"/>
      <c r="P100"/>
    </row>
    <row r="101" spans="4:16">
      <c r="E101" s="407"/>
      <c r="J101">
        <f>J100-450</f>
        <v>350</v>
      </c>
      <c r="K101" t="s">
        <v>2763</v>
      </c>
    </row>
  </sheetData>
  <mergeCells count="30">
    <mergeCell ref="B4:E4"/>
    <mergeCell ref="B1:O1"/>
    <mergeCell ref="G3:H3"/>
    <mergeCell ref="I3:J3"/>
    <mergeCell ref="K3:L3"/>
    <mergeCell ref="M3:N3"/>
    <mergeCell ref="B43:D43"/>
    <mergeCell ref="B5:C5"/>
    <mergeCell ref="D5:E5"/>
    <mergeCell ref="B6:B19"/>
    <mergeCell ref="C6:C19"/>
    <mergeCell ref="E9:F9"/>
    <mergeCell ref="B25:E25"/>
    <mergeCell ref="B26:C26"/>
    <mergeCell ref="D26:E26"/>
    <mergeCell ref="B38:E38"/>
    <mergeCell ref="B39:C39"/>
    <mergeCell ref="D39:E39"/>
    <mergeCell ref="B45:G45"/>
    <mergeCell ref="K45:O45"/>
    <mergeCell ref="B46:C46"/>
    <mergeCell ref="F47:G47"/>
    <mergeCell ref="D47:E47"/>
    <mergeCell ref="H47:I47"/>
    <mergeCell ref="D51:H51"/>
    <mergeCell ref="K47:L47"/>
    <mergeCell ref="K55:L55"/>
    <mergeCell ref="F77:G77"/>
    <mergeCell ref="D75:J76"/>
    <mergeCell ref="D53:E53"/>
  </mergeCells>
  <pageMargins left="0.7" right="0.7" top="0.75" bottom="0.75" header="0.3" footer="0.3"/>
  <pageSetup orientation="portrait" r:id="rId1"/>
  <legacyDrawing r:id="rId2"/>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472B0-E6CC-44D6-9F86-E7B1489D4EC3}">
  <dimension ref="A1:H128"/>
  <sheetViews>
    <sheetView workbookViewId="0">
      <selection activeCell="B11" sqref="B11"/>
    </sheetView>
  </sheetViews>
  <sheetFormatPr defaultColWidth="8.44140625" defaultRowHeight="14.4"/>
  <cols>
    <col min="1" max="1" width="20.44140625" bestFit="1" customWidth="1"/>
    <col min="2" max="2" width="12.33203125" bestFit="1" customWidth="1"/>
    <col min="3" max="3" width="12" customWidth="1"/>
    <col min="4" max="4" width="12" bestFit="1" customWidth="1"/>
  </cols>
  <sheetData>
    <row r="1" spans="1:8">
      <c r="A1" s="79" t="s">
        <v>2866</v>
      </c>
      <c r="B1" s="79" t="s">
        <v>2882</v>
      </c>
      <c r="C1" s="79" t="s">
        <v>2884</v>
      </c>
      <c r="D1" t="s">
        <v>986</v>
      </c>
    </row>
    <row r="2" spans="1:8">
      <c r="A2" s="358" t="s">
        <v>1713</v>
      </c>
      <c r="B2" s="358">
        <f>1650-235</f>
        <v>1415</v>
      </c>
      <c r="C2">
        <f>B2*1.5+(B2-233)*10</f>
        <v>13942.5</v>
      </c>
      <c r="D2" t="s">
        <v>20</v>
      </c>
      <c r="F2">
        <f>B3+B5+B11+B12+B13+B14+B9</f>
        <v>2159</v>
      </c>
    </row>
    <row r="3" spans="1:8">
      <c r="A3" s="242" t="s">
        <v>2892</v>
      </c>
      <c r="B3" s="242">
        <v>235</v>
      </c>
      <c r="F3">
        <f>(225*5)+100</f>
        <v>1225</v>
      </c>
    </row>
    <row r="4" spans="1:8">
      <c r="A4" s="358" t="s">
        <v>2876</v>
      </c>
      <c r="B4" s="358">
        <f>40/B19</f>
        <v>30.522701259061428</v>
      </c>
      <c r="C4">
        <f>B4*1.5</f>
        <v>45.784051888592145</v>
      </c>
      <c r="D4" t="s">
        <v>20</v>
      </c>
      <c r="F4" t="s">
        <v>2922</v>
      </c>
      <c r="G4" t="s">
        <v>2923</v>
      </c>
    </row>
    <row r="5" spans="1:8">
      <c r="A5" s="242" t="s">
        <v>2864</v>
      </c>
      <c r="B5" s="630">
        <f>(7*33)+23</f>
        <v>254</v>
      </c>
      <c r="C5" s="261">
        <f>B5*1.5</f>
        <v>381</v>
      </c>
      <c r="F5" t="s">
        <v>2924</v>
      </c>
      <c r="G5">
        <v>100</v>
      </c>
    </row>
    <row r="6" spans="1:8">
      <c r="A6" s="242" t="s">
        <v>2885</v>
      </c>
      <c r="B6" s="242">
        <v>85</v>
      </c>
      <c r="C6">
        <f>B6*1.5+(B6*10)</f>
        <v>977.5</v>
      </c>
    </row>
    <row r="7" spans="1:8">
      <c r="A7" s="358" t="s">
        <v>863</v>
      </c>
      <c r="B7" s="358">
        <v>189</v>
      </c>
      <c r="C7">
        <f>B7*1.5+(B7*10)</f>
        <v>2173.5</v>
      </c>
      <c r="D7" t="s">
        <v>20</v>
      </c>
    </row>
    <row r="8" spans="1:8">
      <c r="A8" s="242" t="s">
        <v>2872</v>
      </c>
      <c r="B8" s="242">
        <v>170</v>
      </c>
      <c r="C8">
        <f>B8*3</f>
        <v>510</v>
      </c>
      <c r="D8" t="s">
        <v>20</v>
      </c>
    </row>
    <row r="9" spans="1:8">
      <c r="A9" s="448" t="s">
        <v>2898</v>
      </c>
      <c r="B9" s="448">
        <v>970</v>
      </c>
      <c r="C9" s="448">
        <f>B9*1.5+(B9*14)</f>
        <v>15035</v>
      </c>
      <c r="D9" s="448" t="s">
        <v>20</v>
      </c>
      <c r="E9" t="s">
        <v>12</v>
      </c>
      <c r="F9" t="s">
        <v>203</v>
      </c>
    </row>
    <row r="10" spans="1:8">
      <c r="A10" s="242" t="s">
        <v>2899</v>
      </c>
      <c r="B10" s="242">
        <v>130</v>
      </c>
      <c r="C10">
        <f>B10*1.5+(B10*14)</f>
        <v>2015</v>
      </c>
      <c r="E10">
        <v>166</v>
      </c>
    </row>
    <row r="11" spans="1:8">
      <c r="A11" s="242" t="s">
        <v>2863</v>
      </c>
      <c r="B11" s="242">
        <v>225</v>
      </c>
      <c r="C11">
        <f>B11*1.5+(B11*1)</f>
        <v>562.5</v>
      </c>
      <c r="E11">
        <f>281</f>
        <v>281</v>
      </c>
      <c r="F11">
        <f>E11-B11</f>
        <v>56</v>
      </c>
    </row>
    <row r="12" spans="1:8">
      <c r="A12" s="242" t="s">
        <v>2905</v>
      </c>
      <c r="B12" s="242">
        <v>75</v>
      </c>
      <c r="E12">
        <v>95</v>
      </c>
      <c r="F12">
        <f>E12-B12</f>
        <v>20</v>
      </c>
      <c r="H12">
        <f>1185+190</f>
        <v>1375</v>
      </c>
    </row>
    <row r="13" spans="1:8">
      <c r="A13" s="242" t="s">
        <v>2903</v>
      </c>
      <c r="B13" s="242">
        <v>200</v>
      </c>
      <c r="E13">
        <v>277.35000000000002</v>
      </c>
      <c r="F13">
        <f>E13-B13</f>
        <v>77.350000000000023</v>
      </c>
      <c r="H13">
        <f>205+47</f>
        <v>252</v>
      </c>
    </row>
    <row r="14" spans="1:8">
      <c r="A14" s="242" t="s">
        <v>2904</v>
      </c>
      <c r="B14" s="242">
        <v>200</v>
      </c>
      <c r="C14">
        <f>B14*1.5+(B14*1)</f>
        <v>500</v>
      </c>
    </row>
    <row r="15" spans="1:8">
      <c r="C15">
        <f>(B21*6)*1.5</f>
        <v>1350</v>
      </c>
    </row>
    <row r="16" spans="1:8">
      <c r="A16" t="s">
        <v>2881</v>
      </c>
      <c r="B16">
        <f>SUM(B2:B14)</f>
        <v>4178.5227012590613</v>
      </c>
      <c r="C16">
        <f>SUM(C2:C15)</f>
        <v>37492.784051888593</v>
      </c>
      <c r="E16">
        <f>225*6</f>
        <v>1350</v>
      </c>
    </row>
    <row r="17" spans="1:4">
      <c r="A17" t="s">
        <v>1759</v>
      </c>
      <c r="B17">
        <f>SUMIF(D2:D14,"=Y",B2:B14)</f>
        <v>2774.5227012590613</v>
      </c>
    </row>
    <row r="19" spans="1:4">
      <c r="A19" t="s">
        <v>2883</v>
      </c>
      <c r="B19">
        <v>1.3105</v>
      </c>
    </row>
    <row r="21" spans="1:4">
      <c r="A21" t="s">
        <v>2880</v>
      </c>
      <c r="B21">
        <f>150</f>
        <v>150</v>
      </c>
      <c r="D21">
        <f>B21*B19</f>
        <v>196.57499999999999</v>
      </c>
    </row>
    <row r="22" spans="1:4">
      <c r="A22" t="s">
        <v>2877</v>
      </c>
      <c r="B22">
        <v>3450</v>
      </c>
    </row>
    <row r="23" spans="1:4">
      <c r="A23" t="s">
        <v>2878</v>
      </c>
      <c r="B23">
        <f>B16+(B21*6)</f>
        <v>5078.5227012590613</v>
      </c>
    </row>
    <row r="24" spans="1:4">
      <c r="A24" t="s">
        <v>2879</v>
      </c>
      <c r="B24">
        <v>850</v>
      </c>
    </row>
    <row r="25" spans="1:4">
      <c r="A25" t="s">
        <v>2220</v>
      </c>
      <c r="B25">
        <f>100+50+200+112+'Thailand 2025'!E25+'Thailand 2025'!B20+12+(315-151)+(SUM(B33:B35))</f>
        <v>940</v>
      </c>
    </row>
    <row r="26" spans="1:4">
      <c r="A26" t="s">
        <v>2137</v>
      </c>
      <c r="B26">
        <f>((B23+B24)-B22)-B25</f>
        <v>1538.5227012590613</v>
      </c>
    </row>
    <row r="27" spans="1:4">
      <c r="A27" t="s">
        <v>2886</v>
      </c>
      <c r="B27">
        <f>2000+B26</f>
        <v>3538.5227012590613</v>
      </c>
    </row>
    <row r="29" spans="1:4">
      <c r="A29" t="s">
        <v>2988</v>
      </c>
      <c r="B29">
        <f>62.36*5</f>
        <v>311.8</v>
      </c>
      <c r="D29">
        <f>3000+830+750+B25</f>
        <v>5520</v>
      </c>
    </row>
    <row r="30" spans="1:4">
      <c r="A30" t="s">
        <v>2987</v>
      </c>
      <c r="B30">
        <f>(B29/B19)*1.0299</f>
        <v>245.03839755818393</v>
      </c>
    </row>
    <row r="32" spans="1:4">
      <c r="A32" s="726" t="s">
        <v>2220</v>
      </c>
      <c r="B32" s="726"/>
    </row>
    <row r="33" spans="1:3">
      <c r="A33" t="s">
        <v>2893</v>
      </c>
      <c r="B33">
        <v>75</v>
      </c>
    </row>
    <row r="34" spans="1:3">
      <c r="A34" t="s">
        <v>2894</v>
      </c>
      <c r="B34">
        <v>52</v>
      </c>
    </row>
    <row r="35" spans="1:3">
      <c r="A35" t="s">
        <v>2895</v>
      </c>
      <c r="B35">
        <v>15</v>
      </c>
    </row>
    <row r="37" spans="1:3">
      <c r="A37" s="62" t="s">
        <v>2932</v>
      </c>
      <c r="B37" s="62" t="s">
        <v>1720</v>
      </c>
      <c r="C37" s="62" t="s">
        <v>1719</v>
      </c>
    </row>
    <row r="38" spans="1:3">
      <c r="A38" t="s">
        <v>2935</v>
      </c>
    </row>
    <row r="39" spans="1:3">
      <c r="A39" t="s">
        <v>2934</v>
      </c>
      <c r="B39">
        <v>29.19</v>
      </c>
    </row>
    <row r="41" spans="1:3">
      <c r="A41" s="62" t="s">
        <v>2933</v>
      </c>
      <c r="B41" s="62">
        <v>100</v>
      </c>
      <c r="C41" s="62">
        <f>B41*B19</f>
        <v>131.05000000000001</v>
      </c>
    </row>
    <row r="42" spans="1:3">
      <c r="A42" t="s">
        <v>2936</v>
      </c>
      <c r="B42">
        <v>5.18</v>
      </c>
      <c r="C42">
        <v>6.5</v>
      </c>
    </row>
    <row r="43" spans="1:3">
      <c r="A43" t="s">
        <v>2936</v>
      </c>
      <c r="B43">
        <v>20.66</v>
      </c>
      <c r="C43">
        <v>27.5</v>
      </c>
    </row>
    <row r="44" spans="1:3">
      <c r="A44" t="s">
        <v>2937</v>
      </c>
      <c r="B44">
        <v>14.14</v>
      </c>
      <c r="C44">
        <v>18</v>
      </c>
    </row>
    <row r="45" spans="1:3">
      <c r="A45" t="s">
        <v>2939</v>
      </c>
    </row>
    <row r="46" spans="1:3">
      <c r="A46" s="641" t="s">
        <v>2940</v>
      </c>
      <c r="B46" s="641">
        <f>B39+SUM(B42:B45)</f>
        <v>69.17</v>
      </c>
      <c r="C46" s="641">
        <f>B39+(SUM(C42:C45)/B19)*1.0299</f>
        <v>70.055929034719583</v>
      </c>
    </row>
    <row r="47" spans="1:3">
      <c r="A47" s="641" t="s">
        <v>2949</v>
      </c>
      <c r="B47" s="641">
        <f>B41-B46</f>
        <v>30.83</v>
      </c>
      <c r="C47" s="641"/>
    </row>
    <row r="49" spans="1:4">
      <c r="A49" s="62" t="s">
        <v>2938</v>
      </c>
      <c r="B49" s="62">
        <f>225+B47</f>
        <v>255.82999999999998</v>
      </c>
      <c r="C49" s="62">
        <f>B49*B19</f>
        <v>335.26521499999996</v>
      </c>
    </row>
    <row r="50" spans="1:4">
      <c r="A50" t="s">
        <v>2941</v>
      </c>
      <c r="B50">
        <v>19.04</v>
      </c>
      <c r="C50">
        <v>25</v>
      </c>
    </row>
    <row r="51" spans="1:4">
      <c r="A51" t="s">
        <v>2947</v>
      </c>
      <c r="B51">
        <v>30.48</v>
      </c>
      <c r="C51">
        <v>38</v>
      </c>
    </row>
    <row r="52" spans="1:4">
      <c r="A52" t="s">
        <v>2946</v>
      </c>
      <c r="B52">
        <v>9.35</v>
      </c>
      <c r="C52">
        <v>11</v>
      </c>
    </row>
    <row r="53" spans="1:4">
      <c r="A53" t="s">
        <v>2945</v>
      </c>
      <c r="C53">
        <v>20</v>
      </c>
      <c r="D53" t="s">
        <v>1475</v>
      </c>
    </row>
    <row r="54" spans="1:4">
      <c r="A54" t="s">
        <v>2944</v>
      </c>
      <c r="B54">
        <v>9.24</v>
      </c>
      <c r="C54">
        <v>11.75</v>
      </c>
    </row>
    <row r="55" spans="1:4">
      <c r="A55" t="s">
        <v>2943</v>
      </c>
      <c r="B55">
        <v>40</v>
      </c>
      <c r="C55">
        <v>51</v>
      </c>
    </row>
    <row r="56" spans="1:4">
      <c r="A56" s="641" t="s">
        <v>2940</v>
      </c>
      <c r="B56" s="641">
        <f>SUM(B50:B55)</f>
        <v>108.11</v>
      </c>
      <c r="C56" s="641">
        <f>(SUM(C50:C55)/$B$19)*1.0299</f>
        <v>123.18719954215949</v>
      </c>
    </row>
    <row r="57" spans="1:4">
      <c r="A57" s="641" t="s">
        <v>2942</v>
      </c>
      <c r="B57" s="641">
        <f>B49-B56</f>
        <v>147.71999999999997</v>
      </c>
      <c r="C57" s="641">
        <f>B57*$B$19</f>
        <v>193.58705999999995</v>
      </c>
    </row>
    <row r="59" spans="1:4">
      <c r="A59" s="62" t="s">
        <v>2948</v>
      </c>
      <c r="B59" s="62">
        <f>225+B57</f>
        <v>372.71999999999997</v>
      </c>
      <c r="C59" s="62">
        <f>B59*$B$19</f>
        <v>488.44955999999996</v>
      </c>
    </row>
    <row r="60" spans="1:4">
      <c r="A60" t="s">
        <v>2950</v>
      </c>
      <c r="B60">
        <v>65.53</v>
      </c>
      <c r="C60">
        <v>82</v>
      </c>
    </row>
    <row r="61" spans="1:4">
      <c r="A61" t="s">
        <v>2951</v>
      </c>
      <c r="B61">
        <v>25.59</v>
      </c>
      <c r="C61">
        <v>30</v>
      </c>
    </row>
    <row r="62" spans="1:4">
      <c r="A62" t="s">
        <v>2952</v>
      </c>
      <c r="B62">
        <v>31.43</v>
      </c>
      <c r="C62">
        <v>40</v>
      </c>
    </row>
    <row r="63" spans="1:4">
      <c r="A63" t="s">
        <v>2953</v>
      </c>
      <c r="B63">
        <v>17.16</v>
      </c>
      <c r="C63">
        <v>21.85</v>
      </c>
    </row>
    <row r="64" spans="1:4">
      <c r="A64" t="s">
        <v>2955</v>
      </c>
      <c r="B64">
        <v>37.39</v>
      </c>
      <c r="C64">
        <v>45</v>
      </c>
    </row>
    <row r="65" spans="1:4">
      <c r="A65" t="s">
        <v>2958</v>
      </c>
      <c r="C65">
        <v>40</v>
      </c>
      <c r="D65" t="s">
        <v>1475</v>
      </c>
    </row>
    <row r="66" spans="1:4">
      <c r="A66" t="s">
        <v>2960</v>
      </c>
      <c r="C66">
        <v>12</v>
      </c>
    </row>
    <row r="67" spans="1:4">
      <c r="A67" t="s">
        <v>2959</v>
      </c>
      <c r="B67">
        <v>11.69</v>
      </c>
      <c r="C67">
        <v>15</v>
      </c>
    </row>
    <row r="68" spans="1:4">
      <c r="A68" t="s">
        <v>2954</v>
      </c>
      <c r="B68">
        <v>6.42</v>
      </c>
      <c r="C68">
        <v>8</v>
      </c>
    </row>
    <row r="70" spans="1:4">
      <c r="A70" s="641" t="s">
        <v>2940</v>
      </c>
      <c r="B70" s="641">
        <f>(SUM(C60:C69)/$B$19)*1.0299</f>
        <v>230.93179320869899</v>
      </c>
      <c r="C70" s="641"/>
    </row>
    <row r="71" spans="1:4">
      <c r="A71" s="641" t="s">
        <v>2942</v>
      </c>
      <c r="B71" s="641">
        <f>B59-B70</f>
        <v>141.78820679130098</v>
      </c>
      <c r="C71" s="641">
        <f>B71*$B$19</f>
        <v>185.81344499999994</v>
      </c>
    </row>
    <row r="73" spans="1:4">
      <c r="A73" s="62" t="s">
        <v>2961</v>
      </c>
      <c r="B73" s="62">
        <f>225+B71</f>
        <v>366.78820679130098</v>
      </c>
      <c r="C73" s="62">
        <f>B73*$B$19</f>
        <v>480.67594499999996</v>
      </c>
    </row>
    <row r="74" spans="1:4">
      <c r="A74" t="s">
        <v>2963</v>
      </c>
      <c r="C74">
        <v>10</v>
      </c>
      <c r="D74" t="s">
        <v>1475</v>
      </c>
    </row>
    <row r="75" spans="1:4">
      <c r="A75" t="s">
        <v>2964</v>
      </c>
      <c r="C75">
        <v>20</v>
      </c>
    </row>
    <row r="76" spans="1:4">
      <c r="A76" t="s">
        <v>2968</v>
      </c>
      <c r="C76">
        <v>113</v>
      </c>
    </row>
    <row r="77" spans="1:4">
      <c r="A77" t="s">
        <v>2969</v>
      </c>
      <c r="C77">
        <v>60</v>
      </c>
    </row>
    <row r="78" spans="1:4">
      <c r="A78" t="s">
        <v>2970</v>
      </c>
      <c r="C78">
        <v>113</v>
      </c>
    </row>
    <row r="79" spans="1:4">
      <c r="A79" t="s">
        <v>2959</v>
      </c>
      <c r="B79">
        <v>27.65</v>
      </c>
      <c r="C79">
        <v>37</v>
      </c>
    </row>
    <row r="80" spans="1:4">
      <c r="A80" t="s">
        <v>2972</v>
      </c>
      <c r="C80">
        <f>117</f>
        <v>117</v>
      </c>
      <c r="D80" t="s">
        <v>2978</v>
      </c>
    </row>
    <row r="82" spans="1:4">
      <c r="A82" s="641" t="s">
        <v>2940</v>
      </c>
      <c r="B82" s="641">
        <f>SUM(B74)+(SUM(C74:C81)/$B$19)*1.0299</f>
        <v>369.36512781381157</v>
      </c>
      <c r="C82" s="641"/>
    </row>
    <row r="83" spans="1:4">
      <c r="A83" s="641" t="s">
        <v>2942</v>
      </c>
      <c r="B83" s="641">
        <f>B73-B82</f>
        <v>-2.5769210225105894</v>
      </c>
      <c r="C83" s="641">
        <f>B83*$B$19</f>
        <v>-3.3770550000001274</v>
      </c>
    </row>
    <row r="85" spans="1:4">
      <c r="A85" s="62" t="s">
        <v>2973</v>
      </c>
      <c r="B85" s="62">
        <f>225+B83</f>
        <v>222.42307897748941</v>
      </c>
      <c r="C85" s="62">
        <f>B85*$B$19</f>
        <v>291.48544499999986</v>
      </c>
    </row>
    <row r="86" spans="1:4">
      <c r="A86" t="s">
        <v>2974</v>
      </c>
      <c r="C86">
        <v>25</v>
      </c>
    </row>
    <row r="87" spans="1:4">
      <c r="A87" t="s">
        <v>2958</v>
      </c>
      <c r="C87">
        <v>50</v>
      </c>
      <c r="D87" t="s">
        <v>1475</v>
      </c>
    </row>
    <row r="88" spans="1:4">
      <c r="A88" t="s">
        <v>2975</v>
      </c>
      <c r="C88">
        <v>53.06</v>
      </c>
    </row>
    <row r="89" spans="1:4">
      <c r="A89" t="s">
        <v>2947</v>
      </c>
      <c r="C89">
        <v>45</v>
      </c>
    </row>
    <row r="90" spans="1:4">
      <c r="A90" t="s">
        <v>2979</v>
      </c>
      <c r="C90">
        <v>20</v>
      </c>
      <c r="D90" t="s">
        <v>1475</v>
      </c>
    </row>
    <row r="92" spans="1:4">
      <c r="A92" s="641" t="s">
        <v>2940</v>
      </c>
      <c r="B92" s="641">
        <f>SUM(B86)+(SUM(C86:C91)/$B$19)*1.0299</f>
        <v>151.72262037390308</v>
      </c>
      <c r="C92" s="641"/>
    </row>
    <row r="93" spans="1:4">
      <c r="A93" s="641" t="s">
        <v>2942</v>
      </c>
      <c r="B93" s="641">
        <f>B85-B92</f>
        <v>70.700458603586327</v>
      </c>
      <c r="C93" s="641">
        <f>B93*$B$19</f>
        <v>92.652950999999888</v>
      </c>
    </row>
    <row r="95" spans="1:4">
      <c r="A95" s="62" t="s">
        <v>2976</v>
      </c>
      <c r="B95" s="62">
        <f>225+B93</f>
        <v>295.7004586035863</v>
      </c>
      <c r="C95" s="62">
        <f>B95*$B$19</f>
        <v>387.51545099999987</v>
      </c>
    </row>
    <row r="96" spans="1:4">
      <c r="A96" t="s">
        <v>2963</v>
      </c>
      <c r="C96">
        <v>10</v>
      </c>
      <c r="D96" t="s">
        <v>1475</v>
      </c>
    </row>
    <row r="97" spans="1:4">
      <c r="A97" t="s">
        <v>2959</v>
      </c>
      <c r="B97">
        <v>7.89</v>
      </c>
      <c r="C97">
        <v>10</v>
      </c>
    </row>
    <row r="98" spans="1:4">
      <c r="A98" t="s">
        <v>2980</v>
      </c>
      <c r="C98">
        <v>5</v>
      </c>
      <c r="D98" t="s">
        <v>1475</v>
      </c>
    </row>
    <row r="99" spans="1:4">
      <c r="A99" t="s">
        <v>1196</v>
      </c>
      <c r="C99">
        <v>6</v>
      </c>
      <c r="D99" t="s">
        <v>1475</v>
      </c>
    </row>
    <row r="100" spans="1:4">
      <c r="A100" t="s">
        <v>2981</v>
      </c>
      <c r="C100">
        <v>20</v>
      </c>
      <c r="D100" t="s">
        <v>1475</v>
      </c>
    </row>
    <row r="101" spans="1:4">
      <c r="A101" t="s">
        <v>2982</v>
      </c>
      <c r="C101">
        <v>30</v>
      </c>
      <c r="D101" t="s">
        <v>1475</v>
      </c>
    </row>
    <row r="102" spans="1:4">
      <c r="A102" t="s">
        <v>2959</v>
      </c>
      <c r="B102">
        <v>15.1</v>
      </c>
      <c r="C102">
        <v>22</v>
      </c>
    </row>
    <row r="103" spans="1:4">
      <c r="A103" t="s">
        <v>2959</v>
      </c>
      <c r="B103">
        <v>11.64</v>
      </c>
      <c r="C103">
        <v>17</v>
      </c>
    </row>
    <row r="104" spans="1:4">
      <c r="A104" t="s">
        <v>2984</v>
      </c>
      <c r="C104">
        <v>100</v>
      </c>
      <c r="D104" t="s">
        <v>1475</v>
      </c>
    </row>
    <row r="105" spans="1:4">
      <c r="A105" t="s">
        <v>2984</v>
      </c>
      <c r="C105">
        <v>37</v>
      </c>
    </row>
    <row r="107" spans="1:4">
      <c r="A107" s="641" t="s">
        <v>2940</v>
      </c>
      <c r="B107" s="641">
        <f>SUM(B96)+(SUM(C96:C106)/$B$19)*1.0299</f>
        <v>201.97199542159484</v>
      </c>
      <c r="C107" s="641"/>
    </row>
    <row r="108" spans="1:4">
      <c r="A108" s="641" t="s">
        <v>2942</v>
      </c>
      <c r="B108" s="641">
        <f>B95-B107</f>
        <v>93.728463181991458</v>
      </c>
      <c r="C108" s="641">
        <f>B108*$B$19</f>
        <v>122.83115099999981</v>
      </c>
    </row>
    <row r="111" spans="1:4">
      <c r="A111" t="s">
        <v>2983</v>
      </c>
      <c r="B111">
        <f>B107+B92+B82+B70+B56+B46+B39</f>
        <v>1160.4615368180087</v>
      </c>
    </row>
    <row r="112" spans="1:4">
      <c r="A112" t="s">
        <v>2985</v>
      </c>
      <c r="C112">
        <v>60</v>
      </c>
    </row>
    <row r="113" spans="1:3">
      <c r="A113" t="s">
        <v>2986</v>
      </c>
      <c r="C113">
        <v>150</v>
      </c>
    </row>
    <row r="117" spans="1:3">
      <c r="A117" s="642" t="s">
        <v>2956</v>
      </c>
      <c r="B117" s="642">
        <v>900</v>
      </c>
      <c r="C117" s="642">
        <f>B117*$B$19</f>
        <v>1179.45</v>
      </c>
    </row>
    <row r="118" spans="1:3">
      <c r="A118" t="s">
        <v>2957</v>
      </c>
      <c r="B118">
        <f>67.28</f>
        <v>67.28</v>
      </c>
      <c r="C118">
        <f>85+22</f>
        <v>107</v>
      </c>
    </row>
    <row r="119" spans="1:3">
      <c r="A119" t="s">
        <v>1467</v>
      </c>
      <c r="C119">
        <v>396.65</v>
      </c>
    </row>
    <row r="120" spans="1:3">
      <c r="A120" t="s">
        <v>2965</v>
      </c>
      <c r="C120">
        <v>130</v>
      </c>
    </row>
    <row r="121" spans="1:3">
      <c r="A121" t="s">
        <v>2967</v>
      </c>
      <c r="C121">
        <v>74</v>
      </c>
    </row>
    <row r="122" spans="1:3">
      <c r="A122" t="s">
        <v>2966</v>
      </c>
      <c r="C122">
        <v>231</v>
      </c>
    </row>
    <row r="123" spans="1:3">
      <c r="A123" t="s">
        <v>2971</v>
      </c>
      <c r="C123">
        <v>80</v>
      </c>
    </row>
    <row r="124" spans="1:3">
      <c r="A124" t="s">
        <v>2977</v>
      </c>
      <c r="C124">
        <v>185</v>
      </c>
    </row>
    <row r="125" spans="1:3">
      <c r="A125" t="s">
        <v>2962</v>
      </c>
      <c r="C125">
        <v>250</v>
      </c>
    </row>
    <row r="127" spans="1:3">
      <c r="A127" s="641" t="s">
        <v>2940</v>
      </c>
      <c r="B127" s="641">
        <f>(SUM(C118:C125)/$B$19)*1.0299</f>
        <v>1142.399187333079</v>
      </c>
      <c r="C127" s="641"/>
    </row>
    <row r="128" spans="1:3">
      <c r="A128" s="641" t="s">
        <v>2942</v>
      </c>
      <c r="B128" s="641">
        <f>B117-B127</f>
        <v>-242.399187333079</v>
      </c>
      <c r="C128" s="641">
        <f>B128*$B$19</f>
        <v>-317.66413500000004</v>
      </c>
    </row>
  </sheetData>
  <mergeCells count="1">
    <mergeCell ref="A32:B32"/>
  </mergeCells>
  <pageMargins left="0.7" right="0.7" top="0.75" bottom="0.75" header="0.3" footer="0.3"/>
  <legacy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809C3-1E52-5C43-8C3B-9C9CA3448FCD}">
  <dimension ref="A1:N34"/>
  <sheetViews>
    <sheetView topLeftCell="A13" workbookViewId="0">
      <selection activeCell="H27" sqref="H27"/>
    </sheetView>
  </sheetViews>
  <sheetFormatPr defaultColWidth="11.44140625" defaultRowHeight="14.4"/>
  <cols>
    <col min="1" max="1" width="15.44140625" customWidth="1"/>
    <col min="2" max="2" width="18.6640625" customWidth="1"/>
    <col min="3" max="3" width="14.77734375" style="79" bestFit="1" customWidth="1"/>
    <col min="6" max="6" width="11.44140625" style="7"/>
    <col min="7" max="7" width="37.77734375" bestFit="1" customWidth="1"/>
    <col min="9" max="9" width="20.44140625" bestFit="1" customWidth="1"/>
  </cols>
  <sheetData>
    <row r="1" spans="1:14">
      <c r="A1" s="79" t="s">
        <v>559</v>
      </c>
      <c r="B1" s="79" t="s">
        <v>1855</v>
      </c>
      <c r="C1" s="79" t="s">
        <v>784</v>
      </c>
      <c r="D1" s="79" t="s">
        <v>2873</v>
      </c>
      <c r="E1" s="79" t="s">
        <v>2874</v>
      </c>
      <c r="F1" s="7" t="s">
        <v>3021</v>
      </c>
      <c r="G1" s="212"/>
      <c r="J1" s="212"/>
      <c r="M1" s="212"/>
    </row>
    <row r="2" spans="1:14">
      <c r="A2" s="358" t="s">
        <v>2835</v>
      </c>
      <c r="B2" s="358">
        <v>1722</v>
      </c>
      <c r="C2" s="453" t="s">
        <v>20</v>
      </c>
      <c r="D2">
        <v>1300</v>
      </c>
      <c r="E2">
        <f>B2-D2</f>
        <v>422</v>
      </c>
      <c r="F2" s="7" t="s">
        <v>20</v>
      </c>
      <c r="H2" t="s">
        <v>2867</v>
      </c>
      <c r="J2" s="261"/>
      <c r="M2" s="261"/>
    </row>
    <row r="3" spans="1:14">
      <c r="A3" s="242" t="s">
        <v>2834</v>
      </c>
      <c r="B3" s="242">
        <f>17*33</f>
        <v>561</v>
      </c>
      <c r="C3" s="329"/>
      <c r="H3" t="s">
        <v>2868</v>
      </c>
      <c r="I3">
        <v>427</v>
      </c>
      <c r="M3" s="620"/>
      <c r="N3" s="620"/>
    </row>
    <row r="4" spans="1:14">
      <c r="A4" s="242" t="s">
        <v>864</v>
      </c>
      <c r="B4" s="242">
        <v>300</v>
      </c>
      <c r="C4" s="329"/>
      <c r="H4" s="261" t="s">
        <v>2869</v>
      </c>
      <c r="I4">
        <v>850</v>
      </c>
      <c r="J4" s="261"/>
      <c r="M4" s="261"/>
    </row>
    <row r="5" spans="1:14">
      <c r="A5" s="242" t="s">
        <v>863</v>
      </c>
      <c r="B5" s="242">
        <v>100</v>
      </c>
      <c r="C5" s="329"/>
      <c r="H5" s="261" t="s">
        <v>2870</v>
      </c>
      <c r="I5">
        <v>125</v>
      </c>
      <c r="J5" s="261"/>
      <c r="M5" s="261"/>
    </row>
    <row r="6" spans="1:14">
      <c r="H6" s="261" t="s">
        <v>2871</v>
      </c>
      <c r="I6">
        <v>94</v>
      </c>
      <c r="J6" s="261"/>
      <c r="M6" s="261"/>
    </row>
    <row r="7" spans="1:14">
      <c r="A7" s="726" t="s">
        <v>2820</v>
      </c>
      <c r="B7" s="726"/>
      <c r="H7" s="261" t="s">
        <v>1418</v>
      </c>
      <c r="I7">
        <v>28</v>
      </c>
      <c r="J7" s="261"/>
      <c r="M7" s="261"/>
    </row>
    <row r="8" spans="1:14">
      <c r="A8" s="358" t="s">
        <v>2822</v>
      </c>
      <c r="B8" s="358">
        <f>378*0.58</f>
        <v>219.23999999999998</v>
      </c>
      <c r="C8" s="453" t="s">
        <v>20</v>
      </c>
      <c r="D8">
        <v>77</v>
      </c>
      <c r="E8">
        <f>B8-D8</f>
        <v>142.23999999999998</v>
      </c>
      <c r="F8" s="7" t="s">
        <v>20</v>
      </c>
      <c r="J8" s="240"/>
      <c r="K8" s="240"/>
      <c r="M8" s="620"/>
      <c r="N8" s="620"/>
    </row>
    <row r="9" spans="1:14">
      <c r="A9" s="358" t="s">
        <v>2823</v>
      </c>
      <c r="B9" s="358">
        <v>86</v>
      </c>
      <c r="C9" s="453" t="s">
        <v>20</v>
      </c>
      <c r="E9">
        <v>86.46</v>
      </c>
      <c r="F9" s="7" t="s">
        <v>20</v>
      </c>
      <c r="J9" s="240"/>
      <c r="K9" s="240"/>
      <c r="M9" s="620"/>
      <c r="N9" s="620"/>
    </row>
    <row r="10" spans="1:14">
      <c r="A10" s="358" t="s">
        <v>2821</v>
      </c>
      <c r="B10" s="358">
        <f>7420*0.023</f>
        <v>170.66</v>
      </c>
      <c r="C10" s="453" t="s">
        <v>20</v>
      </c>
      <c r="D10">
        <v>35</v>
      </c>
      <c r="E10">
        <f>B10-D10</f>
        <v>135.66</v>
      </c>
      <c r="F10" s="7" t="s">
        <v>20</v>
      </c>
      <c r="J10" s="240"/>
      <c r="K10" s="240"/>
      <c r="M10" s="620"/>
      <c r="N10" s="620"/>
    </row>
    <row r="11" spans="1:14">
      <c r="J11" s="240"/>
      <c r="K11" s="240"/>
      <c r="M11" s="620"/>
      <c r="N11" s="620"/>
    </row>
    <row r="12" spans="1:14">
      <c r="A12" s="726" t="s">
        <v>2840</v>
      </c>
      <c r="B12" s="726"/>
      <c r="H12" s="261" t="s">
        <v>2865</v>
      </c>
      <c r="I12">
        <f>3540-850</f>
        <v>2690</v>
      </c>
      <c r="J12" s="261"/>
      <c r="M12" s="261"/>
    </row>
    <row r="13" spans="1:14" ht="158.4">
      <c r="A13" s="242" t="s">
        <v>857</v>
      </c>
      <c r="B13" s="242">
        <v>1200</v>
      </c>
      <c r="C13" s="329"/>
      <c r="H13" s="232" t="s">
        <v>2875</v>
      </c>
      <c r="I13">
        <f>I12+B20+100+40+200+1500+SUM(D8:D10)+E25</f>
        <v>4802</v>
      </c>
      <c r="M13" s="620"/>
      <c r="N13" s="620"/>
    </row>
    <row r="14" spans="1:14">
      <c r="A14" s="358" t="s">
        <v>2824</v>
      </c>
      <c r="B14" s="358">
        <v>95</v>
      </c>
      <c r="C14" s="453" t="s">
        <v>20</v>
      </c>
      <c r="E14">
        <f>B14-D14</f>
        <v>95</v>
      </c>
      <c r="F14" s="7" t="s">
        <v>20</v>
      </c>
      <c r="K14" s="494"/>
      <c r="M14" s="620"/>
      <c r="N14" s="620"/>
    </row>
    <row r="15" spans="1:14">
      <c r="A15" s="358" t="s">
        <v>1418</v>
      </c>
      <c r="B15" s="358">
        <v>28</v>
      </c>
      <c r="C15" s="453" t="s">
        <v>20</v>
      </c>
      <c r="E15">
        <f>B15-D15</f>
        <v>28</v>
      </c>
      <c r="F15" s="7" t="s">
        <v>20</v>
      </c>
      <c r="G15" s="261"/>
      <c r="J15" s="261"/>
      <c r="M15" s="261"/>
    </row>
    <row r="16" spans="1:14">
      <c r="A16" s="242" t="s">
        <v>1725</v>
      </c>
      <c r="B16" s="242">
        <f>2*150</f>
        <v>300</v>
      </c>
      <c r="C16" s="329"/>
      <c r="G16" s="261"/>
      <c r="J16" s="261"/>
      <c r="M16" s="261"/>
    </row>
    <row r="18" spans="1:14">
      <c r="A18" s="726" t="s">
        <v>2846</v>
      </c>
      <c r="B18" s="726"/>
      <c r="M18" s="620"/>
      <c r="N18" s="620"/>
    </row>
    <row r="19" spans="1:14">
      <c r="A19" s="242" t="s">
        <v>857</v>
      </c>
      <c r="B19" s="242">
        <v>850</v>
      </c>
      <c r="C19" s="329"/>
      <c r="E19">
        <f>B19-D19</f>
        <v>850</v>
      </c>
      <c r="F19" s="7" t="s">
        <v>20</v>
      </c>
    </row>
    <row r="20" spans="1:14">
      <c r="A20" s="358" t="s">
        <v>2825</v>
      </c>
      <c r="B20" s="358">
        <v>160</v>
      </c>
      <c r="C20" s="453" t="s">
        <v>20</v>
      </c>
      <c r="D20">
        <v>160</v>
      </c>
      <c r="E20">
        <f>B20-D20</f>
        <v>0</v>
      </c>
    </row>
    <row r="21" spans="1:14">
      <c r="A21" s="242" t="s">
        <v>1725</v>
      </c>
      <c r="B21" s="242">
        <f>9*70</f>
        <v>630</v>
      </c>
      <c r="C21" s="329"/>
      <c r="F21" s="7">
        <v>130</v>
      </c>
    </row>
    <row r="22" spans="1:14">
      <c r="F22" s="7">
        <v>870</v>
      </c>
      <c r="H22" t="s">
        <v>3325</v>
      </c>
    </row>
    <row r="23" spans="1:14">
      <c r="A23" s="726" t="s">
        <v>2841</v>
      </c>
      <c r="B23" s="726"/>
      <c r="H23" t="s">
        <v>3323</v>
      </c>
    </row>
    <row r="24" spans="1:14">
      <c r="A24" s="358" t="s">
        <v>857</v>
      </c>
      <c r="B24" s="358">
        <v>186.04</v>
      </c>
      <c r="C24" s="453" t="s">
        <v>20</v>
      </c>
      <c r="D24">
        <v>186.04</v>
      </c>
      <c r="E24">
        <f>B24-D24</f>
        <v>0</v>
      </c>
      <c r="H24">
        <v>1535</v>
      </c>
      <c r="I24" t="s">
        <v>3324</v>
      </c>
    </row>
    <row r="25" spans="1:14">
      <c r="A25" s="358" t="s">
        <v>2836</v>
      </c>
      <c r="B25" s="358">
        <v>126.79</v>
      </c>
      <c r="C25" s="453" t="s">
        <v>20</v>
      </c>
      <c r="D25">
        <v>126.79</v>
      </c>
      <c r="E25">
        <f>B25-D25</f>
        <v>0</v>
      </c>
    </row>
    <row r="26" spans="1:14">
      <c r="A26" s="242" t="s">
        <v>2837</v>
      </c>
      <c r="B26" s="242">
        <v>126.79</v>
      </c>
      <c r="C26" s="329"/>
      <c r="H26" t="s">
        <v>3326</v>
      </c>
    </row>
    <row r="27" spans="1:14">
      <c r="A27" s="242" t="s">
        <v>1725</v>
      </c>
      <c r="B27" s="242">
        <f>1*70</f>
        <v>70</v>
      </c>
      <c r="C27" s="329"/>
      <c r="L27">
        <v>3450</v>
      </c>
    </row>
    <row r="30" spans="1:14">
      <c r="A30" t="s">
        <v>2838</v>
      </c>
      <c r="B30">
        <f>SUMIF(C2:C27,"=Y",B2:B27)</f>
        <v>2793.73</v>
      </c>
      <c r="E30">
        <f>SUM(E2:E27)</f>
        <v>1759.3600000000001</v>
      </c>
    </row>
    <row r="31" spans="1:14">
      <c r="A31" t="s">
        <v>2839</v>
      </c>
      <c r="B31">
        <v>3450</v>
      </c>
    </row>
    <row r="32" spans="1:14">
      <c r="A32" t="s">
        <v>2842</v>
      </c>
      <c r="B32">
        <f>(B31+(100*2)+80+100+100)-SUMIF(C2:C27,"&lt;&gt;Y",B2:B27)</f>
        <v>-207.78999999999996</v>
      </c>
    </row>
    <row r="34" spans="1:1">
      <c r="A34" s="261"/>
    </row>
  </sheetData>
  <mergeCells count="4">
    <mergeCell ref="A7:B7"/>
    <mergeCell ref="A12:B12"/>
    <mergeCell ref="A18:B18"/>
    <mergeCell ref="A23:B23"/>
  </mergeCells>
  <pageMargins left="0.7" right="0.7" top="0.75" bottom="0.75" header="0.3" footer="0.3"/>
  <legacy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1575F-B237-4010-AEFA-72BE62CEA52C}">
  <dimension ref="A1:T102"/>
  <sheetViews>
    <sheetView topLeftCell="D42" zoomScale="90" zoomScaleNormal="90" workbookViewId="0">
      <selection activeCell="E61" sqref="E61"/>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7.44140625" customWidth="1"/>
    <col min="19" max="19" width="22.33203125" bestFit="1" customWidth="1"/>
    <col min="20" max="20" width="10.33203125" bestFit="1" customWidth="1"/>
    <col min="21" max="21" width="16.109375" customWidth="1"/>
  </cols>
  <sheetData>
    <row r="1" spans="1:20" ht="25.5" customHeight="1">
      <c r="A1" t="e">
        <f ca="1">UPPER(TEXT((1&amp;LEFT(B$1,3))-1,"MMM"))&amp;"-"&amp;UPPER(TEXT((1&amp;RIGHT(LEFT(B$1,7),3))-1,"MMM"))&amp;" "&amp;RIGHT(B$1,4)</f>
        <v>#VALUE!</v>
      </c>
      <c r="B1" s="730" t="str">
        <f ca="1">MID(CELL("filename",B1),FIND("]",CELL("filename",B1))+1,255)</f>
        <v>NEW HOME (NEAR FUTURE)</v>
      </c>
      <c r="C1" s="731"/>
      <c r="D1" s="731"/>
      <c r="E1" s="731"/>
      <c r="F1" s="731"/>
      <c r="G1" s="731"/>
      <c r="H1" s="731"/>
      <c r="I1" s="731"/>
      <c r="J1" s="731"/>
      <c r="K1" s="731"/>
      <c r="L1" s="731"/>
      <c r="M1" s="731"/>
      <c r="N1" s="731"/>
      <c r="O1" s="731"/>
      <c r="P1" s="298"/>
      <c r="Q1" s="281"/>
      <c r="R1" s="272"/>
      <c r="S1" s="272"/>
      <c r="T1" s="272"/>
    </row>
    <row r="2" spans="1:20">
      <c r="B2" s="118"/>
      <c r="C2" s="118"/>
      <c r="G2" s="79" t="s">
        <v>798</v>
      </c>
      <c r="H2" s="307" t="s">
        <v>1448</v>
      </c>
      <c r="I2" s="79" t="s">
        <v>799</v>
      </c>
      <c r="J2" s="307" t="s">
        <v>1424</v>
      </c>
      <c r="K2" s="79" t="s">
        <v>800</v>
      </c>
      <c r="L2" s="307" t="s">
        <v>1449</v>
      </c>
      <c r="M2" s="79" t="s">
        <v>801</v>
      </c>
      <c r="N2" s="307" t="s">
        <v>1450</v>
      </c>
      <c r="O2" s="273" t="s">
        <v>10</v>
      </c>
      <c r="P2" s="273"/>
      <c r="Q2" s="283" t="s">
        <v>803</v>
      </c>
    </row>
    <row r="3" spans="1:20">
      <c r="B3" s="118"/>
      <c r="C3" s="118"/>
      <c r="D3" s="290" t="str">
        <f>"£" &amp; ROUND(O5+O40+O25+IF(O41&lt;0,0,O41)+O42+O4,2) &amp; " / " &amp; "£" &amp; E44</f>
        <v>£4491.96 / £4629.46</v>
      </c>
      <c r="G3" s="732">
        <v>45621</v>
      </c>
      <c r="H3" s="732"/>
      <c r="I3" s="732">
        <f>G3+7</f>
        <v>45628</v>
      </c>
      <c r="J3" s="732"/>
      <c r="K3" s="732">
        <f>I3+7</f>
        <v>45635</v>
      </c>
      <c r="L3" s="732"/>
      <c r="M3" s="732">
        <f>K3+7</f>
        <v>45642</v>
      </c>
      <c r="N3" s="732"/>
      <c r="O3" s="308">
        <v>0</v>
      </c>
      <c r="P3" s="325" t="s">
        <v>1224</v>
      </c>
      <c r="Q3" s="282"/>
    </row>
    <row r="4" spans="1:20" ht="15" customHeight="1">
      <c r="B4" s="727" t="str">
        <f>_xlfn.CONCAT("Expenses - 50 - ",G44*0.5," / Actual = ",ROUND(D5,2)," (",ROUND((D5/G44)*100,2),")")</f>
        <v>Expenses - 50 - 2314.73 / Actual = 3606.43 (77.9)</v>
      </c>
      <c r="C4" s="727"/>
      <c r="D4" s="727"/>
      <c r="E4" s="727"/>
      <c r="F4" s="318"/>
      <c r="G4" s="243"/>
      <c r="H4" s="304">
        <f>SUM(H5:H42)</f>
        <v>0</v>
      </c>
      <c r="I4" s="243"/>
      <c r="J4" s="304">
        <f>SUM(J5:J42)</f>
        <v>0</v>
      </c>
      <c r="K4" s="243"/>
      <c r="L4" s="304">
        <f>SUM(L5:L42)</f>
        <v>0</v>
      </c>
      <c r="M4" s="243"/>
      <c r="N4" s="304">
        <f>SUM(N5:N42)-SUM(N27:N33)</f>
        <v>0</v>
      </c>
      <c r="O4" s="308">
        <f>IF(H43&lt;&gt;"PAID",H4,0)+IF(J43&lt;&gt;"PAID",J4,0)+IF(L43&lt;&gt;"PAID",L4,0)+IF(N43&lt;&gt;"PAID",N4,0)</f>
        <v>0</v>
      </c>
      <c r="P4" s="309" t="s">
        <v>973</v>
      </c>
      <c r="Q4" s="408">
        <f>O4+402.34</f>
        <v>402.34</v>
      </c>
      <c r="R4" s="243">
        <f>2761.15-SUM(O4:O5)</f>
        <v>-707.77999999999975</v>
      </c>
      <c r="S4" s="243"/>
    </row>
    <row r="5" spans="1:20" ht="15" customHeight="1">
      <c r="B5" s="733" t="str">
        <f>IF(D5&gt;E$44*0.5,ROUND(D5-E$44*0.5,2) &amp; " Over",ROUND(E$44*0.5-D5,2) &amp; " Under")</f>
        <v>1291.7 Over</v>
      </c>
      <c r="C5" s="733"/>
      <c r="D5" s="761">
        <f>ROUND(SUM(F6:F22),2)</f>
        <v>3606.43</v>
      </c>
      <c r="E5" s="761"/>
      <c r="F5" s="321"/>
      <c r="G5" s="284"/>
      <c r="H5" s="306"/>
      <c r="I5" s="390"/>
      <c r="J5" s="306"/>
      <c r="K5" s="390"/>
      <c r="L5" s="306"/>
      <c r="M5" s="79"/>
      <c r="N5" s="305"/>
      <c r="O5" s="285">
        <f>SUMIF(O6:O22,"&gt;0")</f>
        <v>3468.93</v>
      </c>
      <c r="P5" s="285" t="s">
        <v>892</v>
      </c>
      <c r="Q5" s="282">
        <f>SUM(Q6:Q22)</f>
        <v>0</v>
      </c>
      <c r="R5" s="243"/>
    </row>
    <row r="6" spans="1:20" ht="15" customHeight="1">
      <c r="B6" s="734" t="str">
        <f>"50%: " &amp; E$44*0.5</f>
        <v>50%: 2314.73</v>
      </c>
      <c r="C6" s="734" t="str">
        <f>ROUND((D5/E$44)*100,2) &amp; "%: " &amp;D5</f>
        <v>77.9%: 3606.43</v>
      </c>
      <c r="D6" s="13" t="s">
        <v>805</v>
      </c>
      <c r="E6" s="523">
        <v>0</v>
      </c>
      <c r="F6" s="528">
        <f>150</f>
        <v>150</v>
      </c>
      <c r="H6" s="304"/>
      <c r="J6" s="305"/>
      <c r="L6" s="305"/>
      <c r="N6" s="305"/>
      <c r="O6" s="274">
        <f>SUM(E6:F6)-SUM(G6:N6)</f>
        <v>150</v>
      </c>
      <c r="P6" s="274" t="str">
        <f t="shared" ref="P6:P22" si="0">D6</f>
        <v>Car Petrol / commuting</v>
      </c>
      <c r="Q6" s="282">
        <f>IF(O6&lt;0,O6*-1,0)</f>
        <v>0</v>
      </c>
      <c r="R6" s="243"/>
    </row>
    <row r="7" spans="1:20" ht="15" customHeight="1">
      <c r="B7" s="734"/>
      <c r="C7" s="734"/>
      <c r="D7" s="13" t="s">
        <v>169</v>
      </c>
      <c r="E7" s="523">
        <v>0</v>
      </c>
      <c r="F7" s="523">
        <f>400</f>
        <v>400</v>
      </c>
      <c r="H7" s="304"/>
      <c r="J7" s="305"/>
      <c r="L7" s="305"/>
      <c r="N7" s="305"/>
      <c r="O7" s="274">
        <f>SUM(E7:F7)-SUM(G7:N7)</f>
        <v>400</v>
      </c>
      <c r="P7" s="274" t="str">
        <f t="shared" si="0"/>
        <v>Food</v>
      </c>
      <c r="Q7" s="282">
        <f>IF(O7&lt;0,O7*-1,0)</f>
        <v>0</v>
      </c>
      <c r="R7" s="243"/>
    </row>
    <row r="8" spans="1:20" ht="15" customHeight="1">
      <c r="B8" s="734"/>
      <c r="C8" s="734"/>
      <c r="D8" s="13" t="s">
        <v>153</v>
      </c>
      <c r="E8" s="523">
        <v>0</v>
      </c>
      <c r="F8" s="523">
        <f>120</f>
        <v>120</v>
      </c>
      <c r="H8" s="305"/>
      <c r="J8" s="305"/>
      <c r="L8" s="305"/>
      <c r="N8" s="305"/>
      <c r="O8" s="274">
        <f>SUM(E8:F8)-SUM(G8:N8)</f>
        <v>120</v>
      </c>
      <c r="P8" s="274" t="str">
        <f t="shared" si="0"/>
        <v>Luna</v>
      </c>
      <c r="Q8" s="282">
        <f>IF(O8&lt;0,O8*-1,0)</f>
        <v>0</v>
      </c>
    </row>
    <row r="9" spans="1:20" ht="15" customHeight="1">
      <c r="B9" s="734"/>
      <c r="C9" s="734"/>
      <c r="D9" s="13" t="s">
        <v>189</v>
      </c>
      <c r="E9" s="735">
        <f>SUM(F10:F22)</f>
        <v>2936.43</v>
      </c>
      <c r="F9" s="735"/>
      <c r="G9" s="243"/>
      <c r="H9" s="305"/>
      <c r="J9" s="305"/>
      <c r="L9" s="305"/>
      <c r="N9" s="305"/>
      <c r="O9" s="274"/>
      <c r="P9" s="274" t="str">
        <f t="shared" si="0"/>
        <v>Direct debits</v>
      </c>
      <c r="Q9" s="282"/>
      <c r="R9" s="243"/>
    </row>
    <row r="10" spans="1:20" ht="15" customHeight="1" outlineLevel="1">
      <c r="B10" s="734"/>
      <c r="C10" s="734"/>
      <c r="D10" s="201" t="s">
        <v>595</v>
      </c>
      <c r="E10" s="523">
        <v>0</v>
      </c>
      <c r="F10" s="523">
        <f>R52</f>
        <v>1579.8</v>
      </c>
      <c r="H10" s="304"/>
      <c r="J10" s="305"/>
      <c r="L10" s="305"/>
      <c r="N10" s="305"/>
      <c r="O10" s="274">
        <f t="shared" ref="O10:O22" si="1">SUM(E10:F10)-SUM(G10:N10)</f>
        <v>1579.8</v>
      </c>
      <c r="P10" s="274" t="str">
        <f t="shared" si="0"/>
        <v>Mortgage</v>
      </c>
      <c r="Q10" s="282">
        <f t="shared" ref="Q10:Q22" si="2">IF(O10&lt;0,O10*-1,0)</f>
        <v>0</v>
      </c>
      <c r="R10" s="243"/>
      <c r="S10" s="11"/>
    </row>
    <row r="11" spans="1:20" ht="15" customHeight="1" outlineLevel="1">
      <c r="B11" s="734"/>
      <c r="C11" s="734"/>
      <c r="D11" s="201" t="s">
        <v>596</v>
      </c>
      <c r="E11" s="523">
        <v>0</v>
      </c>
      <c r="F11" s="523">
        <f>Q55</f>
        <v>168</v>
      </c>
      <c r="H11" s="305"/>
      <c r="J11" s="305"/>
      <c r="L11" s="305"/>
      <c r="N11" s="305"/>
      <c r="O11" s="274">
        <f t="shared" si="1"/>
        <v>168</v>
      </c>
      <c r="P11" s="274" t="str">
        <f t="shared" si="0"/>
        <v>Council tax</v>
      </c>
      <c r="Q11" s="282">
        <f t="shared" si="2"/>
        <v>0</v>
      </c>
      <c r="S11" s="349"/>
    </row>
    <row r="12" spans="1:20" ht="15" customHeight="1" outlineLevel="1">
      <c r="B12" s="734"/>
      <c r="C12" s="734"/>
      <c r="D12" s="201" t="s">
        <v>1002</v>
      </c>
      <c r="E12" s="523">
        <v>0</v>
      </c>
      <c r="F12" s="523">
        <f>Q53+Q54</f>
        <v>255</v>
      </c>
      <c r="H12" s="305"/>
      <c r="J12" s="305"/>
      <c r="L12" s="305"/>
      <c r="N12" s="305"/>
      <c r="O12" s="274">
        <f t="shared" si="1"/>
        <v>255</v>
      </c>
      <c r="P12" s="274" t="str">
        <f t="shared" si="0"/>
        <v>Utilities (G,W,E,HTB)</v>
      </c>
      <c r="Q12" s="282">
        <f t="shared" si="2"/>
        <v>0</v>
      </c>
    </row>
    <row r="13" spans="1:20" ht="15" customHeight="1" outlineLevel="1">
      <c r="B13" s="734"/>
      <c r="C13" s="734"/>
      <c r="D13" s="201" t="s">
        <v>996</v>
      </c>
      <c r="E13" s="523">
        <v>0</v>
      </c>
      <c r="F13" s="523">
        <f>Q56</f>
        <v>100</v>
      </c>
      <c r="H13" s="305"/>
      <c r="J13" s="305"/>
      <c r="L13" s="305"/>
      <c r="N13" s="305"/>
      <c r="O13" s="274">
        <f t="shared" si="1"/>
        <v>100</v>
      </c>
      <c r="P13" s="274" t="str">
        <f t="shared" si="0"/>
        <v>Home Insurance</v>
      </c>
      <c r="Q13" s="282">
        <f t="shared" si="2"/>
        <v>0</v>
      </c>
    </row>
    <row r="14" spans="1:20" ht="15" customHeight="1" outlineLevel="1">
      <c r="B14" s="734"/>
      <c r="C14" s="734"/>
      <c r="D14" s="201" t="s">
        <v>1056</v>
      </c>
      <c r="E14" s="523">
        <v>0</v>
      </c>
      <c r="F14" s="523">
        <f>31.99+22.99</f>
        <v>54.98</v>
      </c>
      <c r="H14" s="305"/>
      <c r="J14" s="305"/>
      <c r="L14" s="305"/>
      <c r="N14" s="305"/>
      <c r="O14" s="274">
        <f t="shared" si="1"/>
        <v>54.98</v>
      </c>
      <c r="P14" s="274" t="str">
        <f t="shared" si="0"/>
        <v>Pet Health / Insurance</v>
      </c>
      <c r="Q14" s="282">
        <f t="shared" si="2"/>
        <v>0</v>
      </c>
    </row>
    <row r="15" spans="1:20" ht="15" customHeight="1" outlineLevel="1">
      <c r="B15" s="734"/>
      <c r="C15" s="734"/>
      <c r="D15" s="201" t="s">
        <v>1057</v>
      </c>
      <c r="E15" s="523">
        <v>0</v>
      </c>
      <c r="F15" s="523">
        <f>(30.8+62.08*2)</f>
        <v>154.96</v>
      </c>
      <c r="H15" s="305"/>
      <c r="I15" s="11"/>
      <c r="J15" s="305"/>
      <c r="L15" s="305"/>
      <c r="N15" s="305"/>
      <c r="O15" s="274">
        <f t="shared" si="1"/>
        <v>154.96</v>
      </c>
      <c r="P15" s="274" t="str">
        <f t="shared" si="0"/>
        <v>Life / Income Insurance</v>
      </c>
      <c r="Q15" s="282">
        <f t="shared" si="2"/>
        <v>0</v>
      </c>
    </row>
    <row r="16" spans="1:20" ht="15" customHeight="1" outlineLevel="1">
      <c r="B16" s="734"/>
      <c r="C16" s="734"/>
      <c r="D16" s="201" t="s">
        <v>602</v>
      </c>
      <c r="E16" s="523">
        <v>0</v>
      </c>
      <c r="F16" s="523">
        <v>37</v>
      </c>
      <c r="H16" s="305"/>
      <c r="J16" s="305"/>
      <c r="L16" s="305"/>
      <c r="N16" s="305"/>
      <c r="O16" s="274">
        <f t="shared" si="1"/>
        <v>37</v>
      </c>
      <c r="P16" s="274" t="str">
        <f t="shared" si="0"/>
        <v>Broadband / TV</v>
      </c>
      <c r="Q16" s="282">
        <f t="shared" si="2"/>
        <v>0</v>
      </c>
    </row>
    <row r="17" spans="2:20" ht="15" customHeight="1" outlineLevel="1">
      <c r="B17" s="734"/>
      <c r="C17" s="734"/>
      <c r="D17" s="201" t="s">
        <v>788</v>
      </c>
      <c r="E17" s="523">
        <v>0</v>
      </c>
      <c r="F17" s="523">
        <v>29.1</v>
      </c>
      <c r="H17" s="305"/>
      <c r="J17" s="305"/>
      <c r="L17" s="305"/>
      <c r="N17" s="305"/>
      <c r="O17" s="274">
        <f t="shared" si="1"/>
        <v>29.1</v>
      </c>
      <c r="P17" s="274" t="str">
        <f t="shared" si="0"/>
        <v>Matt Phone</v>
      </c>
      <c r="Q17" s="282">
        <f t="shared" si="2"/>
        <v>0</v>
      </c>
    </row>
    <row r="18" spans="2:20" ht="15" customHeight="1" outlineLevel="1">
      <c r="B18" s="734"/>
      <c r="C18" s="734"/>
      <c r="D18" s="201" t="s">
        <v>690</v>
      </c>
      <c r="E18" s="523">
        <v>0</v>
      </c>
      <c r="F18" s="523">
        <f>14+48.17+270.97</f>
        <v>333.14000000000004</v>
      </c>
      <c r="H18" s="305"/>
      <c r="J18" s="305"/>
      <c r="L18" s="305"/>
      <c r="N18" s="305"/>
      <c r="O18" s="274">
        <f t="shared" si="1"/>
        <v>333.14000000000004</v>
      </c>
      <c r="P18" s="274" t="str">
        <f t="shared" si="0"/>
        <v>Cars</v>
      </c>
      <c r="Q18" s="282">
        <f t="shared" si="2"/>
        <v>0</v>
      </c>
    </row>
    <row r="19" spans="2:20" ht="15" customHeight="1" outlineLevel="1">
      <c r="B19" s="734"/>
      <c r="C19" s="734"/>
      <c r="D19" s="201" t="s">
        <v>944</v>
      </c>
      <c r="E19" s="523">
        <v>0</v>
      </c>
      <c r="F19" s="523">
        <v>15</v>
      </c>
      <c r="H19" s="305"/>
      <c r="J19" s="305"/>
      <c r="L19" s="305"/>
      <c r="N19" s="305"/>
      <c r="O19" s="274">
        <f t="shared" si="1"/>
        <v>15</v>
      </c>
      <c r="P19" s="274" t="str">
        <f t="shared" si="0"/>
        <v>Windows</v>
      </c>
      <c r="Q19" s="282">
        <f t="shared" si="2"/>
        <v>0</v>
      </c>
      <c r="R19" s="243"/>
    </row>
    <row r="20" spans="2:20" ht="15" customHeight="1" outlineLevel="1">
      <c r="B20" s="7"/>
      <c r="C20" s="7"/>
      <c r="D20" s="201" t="s">
        <v>920</v>
      </c>
      <c r="E20" s="523">
        <v>0</v>
      </c>
      <c r="F20" s="523">
        <f>137.5</f>
        <v>137.5</v>
      </c>
      <c r="H20" s="305"/>
      <c r="J20" s="305"/>
      <c r="L20" s="305"/>
      <c r="N20" s="305"/>
      <c r="O20" s="274"/>
      <c r="P20" s="274" t="str">
        <f t="shared" si="0"/>
        <v>Finance</v>
      </c>
      <c r="Q20" s="282"/>
      <c r="R20" s="243"/>
    </row>
    <row r="21" spans="2:20" ht="15" customHeight="1" outlineLevel="1">
      <c r="B21" s="7"/>
      <c r="C21" s="7"/>
      <c r="D21" s="201" t="s">
        <v>2042</v>
      </c>
      <c r="E21" s="523">
        <v>0</v>
      </c>
      <c r="F21" s="523">
        <f>0</f>
        <v>0</v>
      </c>
      <c r="H21" s="305"/>
      <c r="J21" s="305"/>
      <c r="L21" s="305"/>
      <c r="N21" s="305"/>
      <c r="O21" s="274">
        <f t="shared" si="1"/>
        <v>0</v>
      </c>
      <c r="P21" s="274" t="str">
        <f t="shared" si="0"/>
        <v>Health + Wellness</v>
      </c>
      <c r="Q21" s="282">
        <f t="shared" si="2"/>
        <v>0</v>
      </c>
      <c r="R21" s="243"/>
    </row>
    <row r="22" spans="2:20" ht="15" customHeight="1" outlineLevel="1">
      <c r="B22" s="7"/>
      <c r="C22" s="7"/>
      <c r="D22" s="201" t="s">
        <v>781</v>
      </c>
      <c r="E22" s="523">
        <v>0</v>
      </c>
      <c r="F22" s="523">
        <f>10.49+18+4.99+0.99+12+15+9.49+0.99</f>
        <v>71.95</v>
      </c>
      <c r="G22" s="11"/>
      <c r="H22" s="305"/>
      <c r="J22" s="305"/>
      <c r="L22" s="305"/>
      <c r="N22" s="305"/>
      <c r="O22" s="274">
        <f t="shared" si="1"/>
        <v>71.95</v>
      </c>
      <c r="P22" s="274" t="str">
        <f t="shared" si="0"/>
        <v>Subscriptions</v>
      </c>
      <c r="Q22" s="282">
        <f t="shared" si="2"/>
        <v>0</v>
      </c>
      <c r="R22" s="243"/>
    </row>
    <row r="23" spans="2:20" ht="15" customHeight="1">
      <c r="B23" s="118"/>
      <c r="C23" s="118"/>
      <c r="D23" s="188"/>
      <c r="H23" s="305"/>
      <c r="J23" s="305"/>
      <c r="L23" s="305"/>
      <c r="N23" s="305"/>
      <c r="O23" s="273"/>
      <c r="P23" s="273"/>
      <c r="Q23" s="282"/>
    </row>
    <row r="24" spans="2:20" ht="15" customHeight="1">
      <c r="B24" s="736" t="str">
        <f>_xlfn.CONCAT("Savings - 20 - ",G44*0.2," / Actual = ",D25," (",ROUND((D25/G44)*100,2),")")</f>
        <v>Savings - 20 - 925.892 / Actual = 830 (17.93)</v>
      </c>
      <c r="C24" s="736"/>
      <c r="D24" s="736"/>
      <c r="E24" s="736"/>
      <c r="F24" s="320"/>
      <c r="H24" s="305"/>
      <c r="J24" s="305"/>
      <c r="L24" s="305"/>
      <c r="N24" s="305"/>
      <c r="O24" s="274"/>
      <c r="P24" s="274"/>
      <c r="Q24" s="282"/>
    </row>
    <row r="25" spans="2:20" ht="15" customHeight="1">
      <c r="B25" s="727" t="str">
        <f>IF(ISNUMBER((SEARCH("Over",C$5))),"Operating under budget","Operating over budget")</f>
        <v>Operating over budget</v>
      </c>
      <c r="C25" s="727"/>
      <c r="D25" s="759">
        <f>F26</f>
        <v>830.00000000000023</v>
      </c>
      <c r="E25" s="759"/>
      <c r="F25" s="319"/>
      <c r="H25" s="305"/>
      <c r="J25" s="305"/>
      <c r="L25" s="305"/>
      <c r="N25" s="305"/>
      <c r="O25" s="285">
        <f>O26</f>
        <v>830.00000000000023</v>
      </c>
      <c r="P25" s="285" t="s">
        <v>895</v>
      </c>
      <c r="Q25" s="282">
        <f>SUM(Q26:Q26)</f>
        <v>0</v>
      </c>
    </row>
    <row r="26" spans="2:20" ht="15" customHeight="1" outlineLevel="1">
      <c r="B26" s="7" t="str">
        <f>"20% : " &amp; E$44*0.2</f>
        <v>20% : 925.892</v>
      </c>
      <c r="C26" s="7" t="str">
        <f>"20% : " &amp; E$44*0.2</f>
        <v>20% : 925.892</v>
      </c>
      <c r="D26" s="300" t="s">
        <v>183</v>
      </c>
      <c r="E26" s="523">
        <v>0</v>
      </c>
      <c r="F26" s="523">
        <f>SUM(F27:F37)</f>
        <v>830.00000000000023</v>
      </c>
      <c r="H26" s="305"/>
      <c r="J26" s="305"/>
      <c r="L26" s="305"/>
      <c r="N26" s="305"/>
      <c r="O26" s="274">
        <f>SUM(O27:O37)</f>
        <v>830.00000000000023</v>
      </c>
      <c r="P26" s="274" t="str">
        <f t="shared" ref="P26:P37" si="3">D26</f>
        <v>Savings</v>
      </c>
      <c r="Q26" s="282">
        <v>0</v>
      </c>
      <c r="R26" s="495"/>
      <c r="S26" s="243"/>
    </row>
    <row r="27" spans="2:20" ht="15" customHeight="1" outlineLevel="1">
      <c r="B27" s="7"/>
      <c r="C27" s="7"/>
      <c r="D27" s="300" t="s">
        <v>1485</v>
      </c>
      <c r="E27" s="523">
        <v>0</v>
      </c>
      <c r="F27" s="523">
        <v>40</v>
      </c>
      <c r="H27" s="305"/>
      <c r="J27" s="305"/>
      <c r="L27" s="362"/>
      <c r="N27" s="315"/>
      <c r="O27" s="274">
        <f>SUM(E27:F27)-SUM(G27:N27)</f>
        <v>40</v>
      </c>
      <c r="P27" s="274" t="str">
        <f t="shared" si="3"/>
        <v>MOT / Service</v>
      </c>
      <c r="Q27" s="282"/>
      <c r="R27" s="243"/>
    </row>
    <row r="28" spans="2:20" ht="15" customHeight="1" outlineLevel="1">
      <c r="B28" s="7"/>
      <c r="C28" s="7"/>
      <c r="D28" s="300" t="s">
        <v>690</v>
      </c>
      <c r="E28" s="523">
        <v>0</v>
      </c>
      <c r="F28" s="523">
        <f>-468.84-232.5</f>
        <v>-701.33999999999992</v>
      </c>
      <c r="H28" s="305"/>
      <c r="J28" s="305"/>
      <c r="L28" s="362"/>
      <c r="N28" s="315"/>
      <c r="O28" s="274">
        <f>SUM(E28:F28)-SUM(G28:N28)</f>
        <v>-701.33999999999992</v>
      </c>
      <c r="P28" s="274" t="str">
        <f t="shared" si="3"/>
        <v>Cars</v>
      </c>
      <c r="Q28" s="282"/>
      <c r="R28" s="243"/>
    </row>
    <row r="29" spans="2:20" ht="15" customHeight="1" outlineLevel="1">
      <c r="B29" s="7"/>
      <c r="C29" s="7"/>
      <c r="D29" s="300" t="s">
        <v>590</v>
      </c>
      <c r="E29" s="523">
        <v>0</v>
      </c>
      <c r="F29" s="523">
        <f>165+10.99+8.99+2.85+29.95+20+10.06+245-0.17+35</f>
        <v>527.67000000000007</v>
      </c>
      <c r="G29" s="305"/>
      <c r="J29" s="305"/>
      <c r="L29" s="362"/>
      <c r="N29" s="315"/>
      <c r="O29" s="274">
        <f>SUM(E29:F29)-SUM(G29:N29)-Q44</f>
        <v>527.67000000000007</v>
      </c>
      <c r="P29" s="274" t="str">
        <f t="shared" si="3"/>
        <v>Contingency</v>
      </c>
      <c r="Q29" s="282"/>
      <c r="T29" s="243"/>
    </row>
    <row r="30" spans="2:20" ht="15" customHeight="1" outlineLevel="1">
      <c r="B30" s="7"/>
      <c r="C30" s="7"/>
      <c r="D30" s="300" t="s">
        <v>1486</v>
      </c>
      <c r="E30" s="523">
        <v>0</v>
      </c>
      <c r="F30" s="523">
        <v>13.67</v>
      </c>
      <c r="H30" s="305"/>
      <c r="J30" s="305"/>
      <c r="L30" s="362"/>
      <c r="N30" s="315"/>
      <c r="O30" s="274">
        <f>SUM(E30:F30)-SUM(G30:N30)</f>
        <v>13.67</v>
      </c>
      <c r="P30" s="274" t="str">
        <f t="shared" si="3"/>
        <v>TV</v>
      </c>
      <c r="Q30" s="282"/>
    </row>
    <row r="31" spans="2:20" ht="15" customHeight="1" outlineLevel="1">
      <c r="B31" s="7"/>
      <c r="C31" s="7"/>
      <c r="D31" s="300" t="s">
        <v>1296</v>
      </c>
      <c r="E31" s="523">
        <v>0</v>
      </c>
      <c r="F31" s="523">
        <v>95</v>
      </c>
      <c r="H31" s="305"/>
      <c r="J31" s="305"/>
      <c r="L31" s="362"/>
      <c r="N31" s="315"/>
      <c r="O31" s="274">
        <f>SUM(E31:F31)-SUM(G31:N31)</f>
        <v>95</v>
      </c>
      <c r="P31" s="274" t="str">
        <f t="shared" si="3"/>
        <v>Offset</v>
      </c>
      <c r="Q31" s="282"/>
    </row>
    <row r="32" spans="2:20" ht="15" customHeight="1" outlineLevel="1">
      <c r="B32" s="7"/>
      <c r="C32" s="7"/>
      <c r="D32" s="300" t="s">
        <v>354</v>
      </c>
      <c r="E32" s="523">
        <v>0</v>
      </c>
      <c r="F32" s="523">
        <f>650+55-415</f>
        <v>290</v>
      </c>
      <c r="J32" s="305"/>
      <c r="L32" s="362"/>
      <c r="N32" s="315"/>
      <c r="O32" s="274">
        <f>SUM(E32:F32)-SUM(H32:N32)</f>
        <v>290</v>
      </c>
      <c r="P32" s="274" t="str">
        <f t="shared" si="3"/>
        <v>Holiday</v>
      </c>
      <c r="Q32" s="282"/>
    </row>
    <row r="33" spans="2:19" ht="15" customHeight="1" outlineLevel="1">
      <c r="B33" s="7"/>
      <c r="C33" s="7"/>
      <c r="D33" s="300" t="s">
        <v>701</v>
      </c>
      <c r="E33" s="523">
        <v>0</v>
      </c>
      <c r="F33" s="523">
        <f>250+35+175-170</f>
        <v>290</v>
      </c>
      <c r="J33" s="305"/>
      <c r="L33" s="362"/>
      <c r="N33" s="315"/>
      <c r="O33" s="274">
        <f>SUM(E33:F33)-SUM(G33:N33)</f>
        <v>290</v>
      </c>
      <c r="P33" s="274" t="str">
        <f t="shared" si="3"/>
        <v>Gift</v>
      </c>
      <c r="Q33" s="282"/>
    </row>
    <row r="34" spans="2:19" ht="15" customHeight="1" outlineLevel="1">
      <c r="B34" s="7"/>
      <c r="C34" s="7"/>
      <c r="D34" s="300" t="s">
        <v>1297</v>
      </c>
      <c r="E34" s="523">
        <v>0</v>
      </c>
      <c r="F34" s="523">
        <f>50+110+40</f>
        <v>200</v>
      </c>
      <c r="H34" s="305"/>
      <c r="L34" s="362"/>
      <c r="N34" s="315"/>
      <c r="O34" s="274">
        <f>SUM(E34:F34)-SUM(G34:N34)</f>
        <v>200</v>
      </c>
      <c r="P34" s="274" t="str">
        <f t="shared" si="3"/>
        <v>Skin</v>
      </c>
      <c r="Q34" s="282"/>
    </row>
    <row r="35" spans="2:19" ht="15" customHeight="1" outlineLevel="1">
      <c r="B35" s="7"/>
      <c r="C35" s="7"/>
      <c r="D35" s="300" t="s">
        <v>1391</v>
      </c>
      <c r="E35" s="523">
        <v>0</v>
      </c>
      <c r="F35" s="523">
        <v>75</v>
      </c>
      <c r="H35" s="305"/>
      <c r="J35" s="305"/>
      <c r="L35" s="362"/>
      <c r="N35" s="315"/>
      <c r="O35" s="274">
        <f>SUM(E35:F35)-SUM(G35:N35)</f>
        <v>75</v>
      </c>
      <c r="P35" s="274" t="str">
        <f t="shared" si="3"/>
        <v>Avios</v>
      </c>
      <c r="Q35" s="282"/>
    </row>
    <row r="36" spans="2:19" ht="15" customHeight="1" outlineLevel="1">
      <c r="B36" s="7"/>
      <c r="C36" s="7"/>
      <c r="D36" s="300" t="s">
        <v>1808</v>
      </c>
      <c r="E36" s="523">
        <v>0</v>
      </c>
      <c r="F36" s="523">
        <v>0</v>
      </c>
      <c r="H36" s="305"/>
      <c r="J36" s="305"/>
      <c r="L36" s="362"/>
      <c r="N36" s="315"/>
      <c r="O36" s="274">
        <f>SUM(E36:F36)-SUM(G36:N36)</f>
        <v>0</v>
      </c>
      <c r="P36" s="274" t="str">
        <f t="shared" si="3"/>
        <v>Prime</v>
      </c>
      <c r="Q36" s="282"/>
    </row>
    <row r="37" spans="2:19" ht="15" customHeight="1" outlineLevel="1">
      <c r="B37" s="7"/>
      <c r="C37" s="7"/>
      <c r="D37" s="300" t="s">
        <v>1589</v>
      </c>
      <c r="E37" s="523">
        <v>0</v>
      </c>
      <c r="F37" s="523">
        <v>0</v>
      </c>
      <c r="H37" s="305"/>
      <c r="J37" s="305"/>
      <c r="L37" s="362"/>
      <c r="N37" s="315"/>
      <c r="O37" s="274">
        <f>SUM(E37:F37)-SUM(G37:N37)</f>
        <v>0</v>
      </c>
      <c r="P37" s="274" t="str">
        <f t="shared" si="3"/>
        <v>Amex</v>
      </c>
      <c r="Q37" s="282"/>
    </row>
    <row r="38" spans="2:19" ht="15" customHeight="1">
      <c r="B38" s="118"/>
      <c r="C38" s="118"/>
      <c r="H38" s="305"/>
      <c r="J38" s="305"/>
      <c r="L38" s="305"/>
      <c r="N38" s="305"/>
      <c r="O38" s="273"/>
      <c r="P38" s="273"/>
      <c r="Q38" s="282"/>
      <c r="R38" s="243"/>
    </row>
    <row r="39" spans="2:19" ht="15" customHeight="1">
      <c r="B39" s="727" t="str">
        <f>_xlfn.CONCAT("Wants - 30 - ",G44*0.3," / Actual = ",D40," (",ROUND((D40/G44)*100,2),")")</f>
        <v>Wants - 30 - 1388.838 / Actual = 193.03 (4.17)</v>
      </c>
      <c r="C39" s="727"/>
      <c r="D39" s="727"/>
      <c r="E39" s="727"/>
      <c r="F39" s="318"/>
      <c r="H39" s="305"/>
      <c r="J39" s="305"/>
      <c r="L39" s="305"/>
      <c r="N39" s="305"/>
      <c r="O39" s="273"/>
      <c r="P39" s="273"/>
      <c r="Q39" s="282"/>
      <c r="S39" s="243"/>
    </row>
    <row r="40" spans="2:19" ht="15" customHeight="1">
      <c r="B40" s="727" t="str">
        <f>IF(ISNUMBER((SEARCH("Over",B$5))),"Operating under budget","Operating over budget")</f>
        <v>Operating under budget</v>
      </c>
      <c r="C40" s="727"/>
      <c r="D40" s="759">
        <f>(E$44-D5-D25-E43)</f>
        <v>193.02999999999997</v>
      </c>
      <c r="E40" s="727"/>
      <c r="F40" s="319">
        <f>F41</f>
        <v>193.02999999999997</v>
      </c>
      <c r="H40" s="305"/>
      <c r="J40" s="305"/>
      <c r="L40" s="305"/>
      <c r="N40" s="305"/>
      <c r="O40" s="285">
        <f>0</f>
        <v>0</v>
      </c>
      <c r="P40" s="285" t="s">
        <v>899</v>
      </c>
      <c r="Q40" s="282">
        <f>SUM(Q41:Q41)</f>
        <v>0</v>
      </c>
      <c r="S40" s="243"/>
    </row>
    <row r="41" spans="2:19" ht="18" outlineLevel="1">
      <c r="B41" s="7"/>
      <c r="C41" s="284"/>
      <c r="D41" s="13" t="s">
        <v>922</v>
      </c>
      <c r="E41" s="523">
        <v>0</v>
      </c>
      <c r="F41" s="523">
        <f>D40-F42</f>
        <v>193.02999999999997</v>
      </c>
      <c r="G41" s="11"/>
      <c r="N41" s="305"/>
      <c r="O41" s="274">
        <f>SUM(E41:F41)-SUM(G41:N41)</f>
        <v>193.02999999999997</v>
      </c>
      <c r="P41" s="274" t="str">
        <f>D41</f>
        <v>Matt Fun</v>
      </c>
      <c r="Q41" s="282">
        <f>IF(SUM(E41:F41)-SUM(G41:N41)&lt;=0,(SUM(E41:F41)-SUM(G41:N41))*-1,0)</f>
        <v>0</v>
      </c>
    </row>
    <row r="42" spans="2:19" ht="18" outlineLevel="1">
      <c r="B42" s="7"/>
      <c r="C42" s="284"/>
      <c r="D42" s="13" t="s">
        <v>152</v>
      </c>
      <c r="E42" s="523">
        <v>0</v>
      </c>
      <c r="F42" s="523">
        <v>0</v>
      </c>
      <c r="G42" s="11"/>
      <c r="H42" s="306"/>
      <c r="J42" s="305"/>
      <c r="L42" s="305"/>
      <c r="N42" s="305"/>
      <c r="O42" s="274">
        <f>SUM(E42:F42)-SUM(G42:N42)</f>
        <v>0</v>
      </c>
      <c r="P42" s="274" t="str">
        <f>D42</f>
        <v>Kris</v>
      </c>
      <c r="Q42" s="271">
        <f>IF(F42-SUM(G42:N42)&lt;=0,(F42-SUM(G42:N42))*-1,0)</f>
        <v>0</v>
      </c>
    </row>
    <row r="43" spans="2:19">
      <c r="B43" s="118"/>
      <c r="C43" s="118"/>
      <c r="E43" s="523">
        <f>E26</f>
        <v>0</v>
      </c>
      <c r="G43" s="349"/>
      <c r="J43" s="7"/>
      <c r="L43" s="7"/>
      <c r="N43" s="7"/>
      <c r="O43" s="273"/>
      <c r="P43" s="273"/>
      <c r="Q43" s="282"/>
    </row>
    <row r="44" spans="2:19" ht="18">
      <c r="B44" s="728" t="s">
        <v>817</v>
      </c>
      <c r="C44" s="728"/>
      <c r="D44" s="728"/>
      <c r="E44" s="529">
        <f>G44+I44+K44+M44+N44+E43</f>
        <v>4629.46</v>
      </c>
      <c r="F44" s="530"/>
      <c r="G44" s="271">
        <f>3579.46+910+140</f>
        <v>4629.46</v>
      </c>
      <c r="H44" s="282"/>
      <c r="I44" s="271"/>
      <c r="J44" s="271"/>
      <c r="K44" s="271"/>
      <c r="L44" s="271"/>
      <c r="M44" s="271"/>
      <c r="N44" s="271"/>
      <c r="O44" s="314">
        <f>ROUND(O5+O40+O25+IF(O41&lt;0,0,O41)+O42+O4,2)</f>
        <v>4491.96</v>
      </c>
      <c r="P44" s="274"/>
      <c r="Q44" s="282">
        <f>SUM(Q40,Q25,Q5)</f>
        <v>0</v>
      </c>
    </row>
    <row r="45" spans="2:19" ht="18">
      <c r="B45" s="118"/>
      <c r="C45" s="7"/>
      <c r="D45" s="13" t="s">
        <v>1451</v>
      </c>
      <c r="G45" s="523"/>
      <c r="H45" s="243"/>
      <c r="L45" s="243"/>
    </row>
    <row r="46" spans="2:19" ht="14.4">
      <c r="B46" s="729"/>
      <c r="C46" s="729"/>
      <c r="D46" s="729"/>
      <c r="E46" s="729"/>
      <c r="F46" s="729"/>
      <c r="G46" s="729"/>
      <c r="H46" s="297"/>
      <c r="K46" s="729"/>
      <c r="L46" s="729"/>
      <c r="M46" s="729"/>
      <c r="N46" s="729"/>
      <c r="O46" s="729"/>
      <c r="P46" s="297"/>
    </row>
    <row r="47" spans="2:19" ht="15" customHeight="1">
      <c r="B47" s="726" t="s">
        <v>955</v>
      </c>
      <c r="C47" s="726"/>
      <c r="E47"/>
      <c r="F47" s="348"/>
      <c r="H47" s="243"/>
      <c r="K47" s="212"/>
      <c r="L47" s="212"/>
      <c r="M47" s="243"/>
      <c r="N47" s="118" t="s">
        <v>2078</v>
      </c>
      <c r="O47" s="316">
        <v>45662</v>
      </c>
      <c r="P47" s="7">
        <f ca="1">DATEDIF(O47,NOW(),"d")</f>
        <v>589</v>
      </c>
      <c r="Q47">
        <v>7.99</v>
      </c>
      <c r="R47" t="s">
        <v>2079</v>
      </c>
    </row>
    <row r="48" spans="2:19">
      <c r="B48" s="523"/>
      <c r="C48" s="38"/>
      <c r="E48" s="534"/>
      <c r="F48" s="11"/>
      <c r="G48" s="531"/>
      <c r="I48" s="243"/>
      <c r="K48" s="11"/>
      <c r="L48" s="243"/>
      <c r="N48" s="483" t="s">
        <v>2076</v>
      </c>
      <c r="O48" s="42">
        <v>45662</v>
      </c>
      <c r="P48" s="7">
        <f ca="1">DATEDIF(O48,NOW(),"d")</f>
        <v>589</v>
      </c>
      <c r="Q48">
        <v>0</v>
      </c>
      <c r="R48" t="s">
        <v>1317</v>
      </c>
    </row>
    <row r="49" spans="2:20">
      <c r="E49" s="534"/>
      <c r="G49" s="458"/>
      <c r="H49" s="445"/>
      <c r="I49" s="11"/>
      <c r="J49" s="243"/>
      <c r="L49" s="243"/>
      <c r="N49" s="358" t="s">
        <v>2077</v>
      </c>
      <c r="O49" s="316">
        <v>45662</v>
      </c>
      <c r="P49" s="7">
        <f ca="1">DATEDIF(O49,NOW(),"d")</f>
        <v>589</v>
      </c>
      <c r="Q49">
        <v>5.99</v>
      </c>
      <c r="R49" t="s">
        <v>2063</v>
      </c>
    </row>
    <row r="50" spans="2:20" ht="16.2" customHeight="1">
      <c r="E50" s="534"/>
      <c r="G50" s="458"/>
      <c r="H50" s="243"/>
      <c r="I50" s="243"/>
      <c r="J50" s="213"/>
      <c r="K50" s="213"/>
      <c r="L50" s="243"/>
      <c r="O50" s="316"/>
    </row>
    <row r="51" spans="2:20">
      <c r="B51" s="532"/>
      <c r="D51" s="243" t="s">
        <v>2083</v>
      </c>
      <c r="E51" t="s">
        <v>2092</v>
      </c>
      <c r="F51" t="s">
        <v>2084</v>
      </c>
      <c r="G51" t="s">
        <v>2085</v>
      </c>
      <c r="H51" t="s">
        <v>2844</v>
      </c>
      <c r="I51" t="s">
        <v>2087</v>
      </c>
      <c r="J51" t="s">
        <v>2088</v>
      </c>
      <c r="K51" t="s">
        <v>2089</v>
      </c>
      <c r="L51" t="s">
        <v>2080</v>
      </c>
      <c r="M51" s="243" t="s">
        <v>2082</v>
      </c>
      <c r="N51" t="s">
        <v>2094</v>
      </c>
      <c r="O51" s="7" t="s">
        <v>2807</v>
      </c>
      <c r="P51" s="7" t="s">
        <v>2096</v>
      </c>
      <c r="Q51" t="s">
        <v>2097</v>
      </c>
      <c r="R51" t="s">
        <v>2095</v>
      </c>
      <c r="S51" t="s">
        <v>2081</v>
      </c>
      <c r="T51" t="s">
        <v>1266</v>
      </c>
    </row>
    <row r="52" spans="2:20" ht="14.4">
      <c r="D52">
        <v>155700</v>
      </c>
      <c r="E52" s="11">
        <v>235000</v>
      </c>
      <c r="F52" s="390">
        <f>E52-D52</f>
        <v>79300</v>
      </c>
      <c r="G52">
        <v>335000</v>
      </c>
      <c r="H52" s="243"/>
      <c r="I52" s="243">
        <f>SUM(I54:I61)</f>
        <v>45800</v>
      </c>
      <c r="J52" s="243">
        <f>G52-F52+H52+I52</f>
        <v>301500</v>
      </c>
      <c r="K52">
        <f>ROUND((J52/(G52+H52)) * 100, 2)</f>
        <v>90</v>
      </c>
      <c r="L52">
        <v>4.5</v>
      </c>
      <c r="M52" s="243">
        <v>28</v>
      </c>
      <c r="N52">
        <v>838</v>
      </c>
      <c r="O52" s="7">
        <f>487</f>
        <v>487</v>
      </c>
      <c r="P52" s="343">
        <f>SUM(P53:P57)</f>
        <v>488.88</v>
      </c>
      <c r="Q52">
        <f>SUM(Q53:Q57)</f>
        <v>677.96</v>
      </c>
      <c r="R52">
        <f>ROUND(((L52 / 100 / 12) * J52) / (1 - ((1 + (L52 / 100 / 12)) ^ ((M52 * -1) * 12))), 2)</f>
        <v>1579.8</v>
      </c>
      <c r="S52" s="243">
        <f>SUM(Q52:R52)-SUM(N52:P52)</f>
        <v>443.88000000000011</v>
      </c>
      <c r="T52">
        <f>ROUND((S52/R52) * 100, 2)</f>
        <v>28.1</v>
      </c>
    </row>
    <row r="53" spans="2:20">
      <c r="E53" s="534"/>
      <c r="F53" s="492"/>
      <c r="G53" s="118"/>
      <c r="H53" s="515"/>
      <c r="K53" s="725"/>
      <c r="L53" s="725"/>
      <c r="M53" s="243"/>
      <c r="O53" s="7" t="s">
        <v>2804</v>
      </c>
      <c r="P53" s="292">
        <v>107</v>
      </c>
      <c r="Q53" s="212">
        <v>207</v>
      </c>
      <c r="S53">
        <f>S52/2</f>
        <v>221.94000000000005</v>
      </c>
    </row>
    <row r="54" spans="2:20" ht="15" customHeight="1">
      <c r="F54"/>
      <c r="H54" s="243" t="s">
        <v>2814</v>
      </c>
      <c r="I54">
        <f>D52*0.03</f>
        <v>4671</v>
      </c>
      <c r="K54" s="353"/>
      <c r="L54" s="243"/>
      <c r="M54" s="243"/>
      <c r="N54" s="243"/>
      <c r="O54" s="7" t="s">
        <v>2805</v>
      </c>
      <c r="P54" s="56">
        <v>48</v>
      </c>
      <c r="Q54" s="38">
        <v>48</v>
      </c>
    </row>
    <row r="55" spans="2:20" ht="15.45" customHeight="1">
      <c r="D55" s="726" t="s">
        <v>2852</v>
      </c>
      <c r="E55" s="726"/>
      <c r="F55"/>
      <c r="G55" s="243"/>
      <c r="H55" s="243" t="s">
        <v>2815</v>
      </c>
      <c r="I55">
        <f>IF(G52&lt;=925000,(G52-250000)*0.05+125000*0.02,0)</f>
        <v>6750</v>
      </c>
      <c r="L55" s="243"/>
      <c r="O55" s="7" t="s">
        <v>2806</v>
      </c>
      <c r="P55">
        <v>168</v>
      </c>
      <c r="Q55">
        <v>168</v>
      </c>
      <c r="S55" s="243"/>
    </row>
    <row r="56" spans="2:20" ht="15" customHeight="1">
      <c r="D56" t="s">
        <v>2851</v>
      </c>
      <c r="E56" s="523">
        <v>13000</v>
      </c>
      <c r="F56" t="s">
        <v>2856</v>
      </c>
      <c r="G56" s="11"/>
      <c r="H56" s="243" t="s">
        <v>2816</v>
      </c>
      <c r="I56">
        <v>0</v>
      </c>
      <c r="K56" s="353"/>
      <c r="O56" s="7" t="s">
        <v>1894</v>
      </c>
      <c r="P56" s="7">
        <v>73</v>
      </c>
      <c r="Q56">
        <v>100</v>
      </c>
    </row>
    <row r="57" spans="2:20" ht="16.2" customHeight="1">
      <c r="D57" t="s">
        <v>2853</v>
      </c>
      <c r="E57" s="625">
        <v>170</v>
      </c>
      <c r="F57" s="188" t="s">
        <v>2261</v>
      </c>
      <c r="G57" s="243"/>
      <c r="H57" s="243" t="s">
        <v>2817</v>
      </c>
      <c r="I57">
        <v>500</v>
      </c>
      <c r="O57" s="7" t="s">
        <v>2850</v>
      </c>
      <c r="P57" s="284">
        <f>(30.8+62.08)</f>
        <v>92.88</v>
      </c>
      <c r="Q57">
        <f>(30.8+62.08*2)</f>
        <v>154.96</v>
      </c>
    </row>
    <row r="58" spans="2:20">
      <c r="B58" s="11"/>
      <c r="D58" t="s">
        <v>2854</v>
      </c>
      <c r="E58" s="534">
        <v>48.22</v>
      </c>
      <c r="F58" s="622" t="s">
        <v>2261</v>
      </c>
      <c r="G58" s="243"/>
      <c r="H58" s="243" t="s">
        <v>2818</v>
      </c>
      <c r="I58" s="243">
        <v>1500</v>
      </c>
      <c r="J58" s="79"/>
      <c r="O58"/>
      <c r="P58"/>
    </row>
    <row r="59" spans="2:20">
      <c r="B59" s="11"/>
      <c r="D59" t="s">
        <v>2855</v>
      </c>
      <c r="E59" s="284">
        <f>73.32+19</f>
        <v>92.32</v>
      </c>
      <c r="F59" s="622" t="s">
        <v>2261</v>
      </c>
      <c r="G59" s="369"/>
      <c r="H59" s="243" t="s">
        <v>2819</v>
      </c>
      <c r="I59" s="55">
        <f>(E52*0.01)*1.2</f>
        <v>2820</v>
      </c>
      <c r="J59" s="390"/>
      <c r="O59"/>
      <c r="P59"/>
    </row>
    <row r="60" spans="2:20">
      <c r="E60" s="534"/>
      <c r="G60" s="369"/>
      <c r="H60" s="243" t="s">
        <v>2845</v>
      </c>
      <c r="I60" s="243">
        <v>21000</v>
      </c>
      <c r="J60" s="79"/>
      <c r="L60" s="243"/>
      <c r="M60" s="243"/>
      <c r="O60"/>
      <c r="P60"/>
    </row>
    <row r="61" spans="2:20">
      <c r="B61" s="212"/>
      <c r="C61" s="212"/>
      <c r="G61" s="532"/>
      <c r="H61" s="243" t="s">
        <v>2847</v>
      </c>
      <c r="I61" s="55">
        <f>(G52*0.9)-(G52-F52+H52+SUM(I54:I60))</f>
        <v>8559</v>
      </c>
      <c r="J61" s="517"/>
      <c r="K61" s="118"/>
      <c r="O61"/>
      <c r="P61"/>
    </row>
    <row r="62" spans="2:20">
      <c r="C62" s="56"/>
      <c r="F62"/>
      <c r="I62" s="494"/>
      <c r="J62" s="79"/>
      <c r="O62"/>
      <c r="P62"/>
    </row>
    <row r="63" spans="2:20" ht="15.75" customHeight="1">
      <c r="C63" s="56"/>
      <c r="F63"/>
      <c r="L63" s="243"/>
      <c r="M63" s="243"/>
      <c r="O63"/>
      <c r="P63"/>
    </row>
    <row r="64" spans="2:20" ht="14.4">
      <c r="C64" s="56"/>
      <c r="E64"/>
      <c r="F64"/>
      <c r="M64" s="243"/>
      <c r="O64"/>
      <c r="P64"/>
    </row>
    <row r="65" spans="2:16" ht="14.4">
      <c r="C65" s="56"/>
      <c r="D65" s="188"/>
      <c r="E65"/>
      <c r="F65" s="79"/>
      <c r="O65"/>
      <c r="P65"/>
    </row>
    <row r="66" spans="2:16">
      <c r="C66" s="56"/>
      <c r="E66"/>
      <c r="K66" s="118"/>
      <c r="M66" s="243"/>
      <c r="O66"/>
      <c r="P66"/>
    </row>
    <row r="67" spans="2:16">
      <c r="C67" s="56"/>
      <c r="E67" s="407"/>
      <c r="O67"/>
      <c r="P67"/>
    </row>
    <row r="68" spans="2:16">
      <c r="C68" s="56"/>
      <c r="E68"/>
      <c r="I68" s="407"/>
      <c r="J68" s="79"/>
      <c r="N68" s="288"/>
      <c r="O68"/>
      <c r="P68"/>
    </row>
    <row r="69" spans="2:16">
      <c r="C69" s="56"/>
      <c r="E69" s="347"/>
      <c r="O69"/>
      <c r="P69"/>
    </row>
    <row r="70" spans="2:16">
      <c r="C70" s="56"/>
      <c r="E70" s="332"/>
      <c r="O70"/>
      <c r="P70"/>
    </row>
    <row r="71" spans="2:16" ht="14.4">
      <c r="C71" s="56"/>
      <c r="E71" s="407"/>
      <c r="F71"/>
      <c r="G71" s="407"/>
      <c r="O71"/>
      <c r="P71"/>
    </row>
    <row r="72" spans="2:16" ht="15.45" customHeight="1">
      <c r="C72" s="56"/>
      <c r="E72" s="407"/>
      <c r="F72"/>
      <c r="G72" s="407"/>
      <c r="O72"/>
      <c r="P72"/>
    </row>
    <row r="73" spans="2:16" ht="14.4">
      <c r="D73" s="459"/>
      <c r="E73" s="243"/>
      <c r="F73" s="459"/>
      <c r="G73" s="243"/>
      <c r="O73"/>
      <c r="P73"/>
    </row>
    <row r="74" spans="2:16" ht="14.4">
      <c r="B74" s="212"/>
      <c r="C74" s="294"/>
      <c r="D74" s="188"/>
      <c r="E74"/>
      <c r="F74" s="188"/>
      <c r="O74"/>
      <c r="P74"/>
    </row>
    <row r="75" spans="2:16" ht="15.45" customHeight="1">
      <c r="C75" s="56"/>
      <c r="E75"/>
      <c r="F75"/>
      <c r="M75" s="243"/>
      <c r="O75"/>
      <c r="P75"/>
    </row>
    <row r="76" spans="2:16">
      <c r="C76" s="56"/>
      <c r="E76" s="532"/>
      <c r="F76"/>
      <c r="G76" s="532"/>
      <c r="O76"/>
      <c r="P76"/>
    </row>
    <row r="77" spans="2:16">
      <c r="C77" s="56"/>
      <c r="L77" s="459"/>
      <c r="M77" s="461"/>
      <c r="O77"/>
      <c r="P77"/>
    </row>
    <row r="78" spans="2:16">
      <c r="C78" s="56"/>
      <c r="D78" s="426"/>
      <c r="E78" s="533"/>
      <c r="L78" s="188"/>
      <c r="M78" s="230"/>
      <c r="O78"/>
      <c r="P78"/>
    </row>
    <row r="79" spans="2:16">
      <c r="C79" s="56"/>
      <c r="D79" s="405"/>
      <c r="E79" s="407"/>
      <c r="L79" s="188"/>
      <c r="M79" s="230"/>
      <c r="O79"/>
      <c r="P79"/>
    </row>
    <row r="80" spans="2:16">
      <c r="C80" s="56"/>
      <c r="D80" s="532"/>
      <c r="E80"/>
      <c r="L80" s="188"/>
      <c r="M80" s="230"/>
      <c r="O80"/>
      <c r="P80"/>
    </row>
    <row r="81" spans="5:16">
      <c r="E81" s="533"/>
      <c r="L81" s="188"/>
      <c r="M81" s="230"/>
      <c r="O81"/>
      <c r="P81"/>
    </row>
    <row r="82" spans="5:16">
      <c r="E82" s="533"/>
      <c r="L82" s="532"/>
      <c r="M82" s="230"/>
      <c r="O82"/>
      <c r="P82"/>
    </row>
    <row r="83" spans="5:16">
      <c r="E83" s="533"/>
      <c r="F83" s="212"/>
      <c r="L83" s="405"/>
      <c r="M83" s="230"/>
      <c r="O83"/>
      <c r="P83"/>
    </row>
    <row r="84" spans="5:16" ht="14.4">
      <c r="E84"/>
      <c r="F84"/>
      <c r="L84" s="405"/>
      <c r="M84" s="462"/>
      <c r="O84"/>
      <c r="P84"/>
    </row>
    <row r="85" spans="5:16" ht="14.4">
      <c r="E85"/>
      <c r="F85"/>
      <c r="O85"/>
      <c r="P85"/>
    </row>
    <row r="86" spans="5:16" ht="14.4">
      <c r="E86"/>
      <c r="F86"/>
      <c r="O86"/>
      <c r="P86"/>
    </row>
    <row r="87" spans="5:16" ht="14.4">
      <c r="E87" s="292"/>
      <c r="F87" s="56"/>
      <c r="O87"/>
      <c r="P87"/>
    </row>
    <row r="88" spans="5:16" ht="14.4">
      <c r="E88" s="42"/>
      <c r="F88" s="56"/>
      <c r="O88"/>
      <c r="P88"/>
    </row>
    <row r="89" spans="5:16" ht="14.4">
      <c r="E89" s="56"/>
      <c r="F89" s="56"/>
      <c r="O89"/>
      <c r="P89"/>
    </row>
    <row r="90" spans="5:16">
      <c r="O90"/>
      <c r="P90"/>
    </row>
    <row r="91" spans="5:16" ht="14.4">
      <c r="E91" s="212"/>
      <c r="F91" s="212"/>
      <c r="O91"/>
      <c r="P91"/>
    </row>
    <row r="92" spans="5:16" ht="14.4">
      <c r="E92"/>
      <c r="F92" s="56"/>
      <c r="O92"/>
      <c r="P92"/>
    </row>
    <row r="93" spans="5:16" ht="14.4">
      <c r="E93" s="56"/>
      <c r="F93" s="56"/>
      <c r="O93"/>
      <c r="P93"/>
    </row>
    <row r="94" spans="5:16" ht="14.4">
      <c r="E94" s="56"/>
      <c r="F94" s="56"/>
      <c r="G94" s="407"/>
      <c r="O94"/>
      <c r="P94"/>
    </row>
    <row r="95" spans="5:16" ht="14.4">
      <c r="E95" s="56"/>
      <c r="F95" s="56"/>
      <c r="G95" s="407"/>
      <c r="O95"/>
      <c r="P95"/>
    </row>
    <row r="96" spans="5:16" ht="14.4">
      <c r="E96" s="56"/>
      <c r="F96" s="56"/>
      <c r="G96" s="407"/>
      <c r="O96"/>
      <c r="P96"/>
    </row>
    <row r="97" spans="5:16" ht="14.4">
      <c r="E97" s="56"/>
      <c r="F97" s="56"/>
      <c r="G97" s="407"/>
      <c r="O97"/>
      <c r="P97"/>
    </row>
    <row r="98" spans="5:16">
      <c r="G98" s="407"/>
      <c r="O98"/>
      <c r="P98"/>
    </row>
    <row r="99" spans="5:16">
      <c r="G99" s="407"/>
      <c r="O99"/>
      <c r="P99"/>
    </row>
    <row r="100" spans="5:16">
      <c r="G100" s="407"/>
      <c r="O100"/>
      <c r="P100"/>
    </row>
    <row r="101" spans="5:16">
      <c r="G101" s="407"/>
      <c r="H101">
        <f>16700</f>
        <v>16700</v>
      </c>
    </row>
    <row r="102" spans="5:16">
      <c r="H102">
        <v>14000</v>
      </c>
    </row>
  </sheetData>
  <mergeCells count="23">
    <mergeCell ref="B4:E4"/>
    <mergeCell ref="B1:O1"/>
    <mergeCell ref="G3:H3"/>
    <mergeCell ref="I3:J3"/>
    <mergeCell ref="K3:L3"/>
    <mergeCell ref="M3:N3"/>
    <mergeCell ref="B44:D44"/>
    <mergeCell ref="B5:C5"/>
    <mergeCell ref="D5:E5"/>
    <mergeCell ref="B6:B19"/>
    <mergeCell ref="C6:C19"/>
    <mergeCell ref="E9:F9"/>
    <mergeCell ref="B24:E24"/>
    <mergeCell ref="B25:C25"/>
    <mergeCell ref="D25:E25"/>
    <mergeCell ref="B39:E39"/>
    <mergeCell ref="B40:C40"/>
    <mergeCell ref="D40:E40"/>
    <mergeCell ref="B46:G46"/>
    <mergeCell ref="K46:O46"/>
    <mergeCell ref="B47:C47"/>
    <mergeCell ref="K53:L53"/>
    <mergeCell ref="D55:E55"/>
  </mergeCells>
  <pageMargins left="0.7" right="0.7" top="0.75" bottom="0.75" header="0.3" footer="0.3"/>
  <pageSetup orientation="portrait" r:id="rId1"/>
  <legacyDrawing r:id="rId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3D2B-899E-4989-957D-3E61C3399776}">
  <dimension ref="A1:M237"/>
  <sheetViews>
    <sheetView topLeftCell="E1" workbookViewId="0">
      <selection activeCell="L13" sqref="L13"/>
    </sheetView>
  </sheetViews>
  <sheetFormatPr defaultColWidth="8.44140625" defaultRowHeight="14.4"/>
  <cols>
    <col min="1" max="1" width="24" bestFit="1" customWidth="1"/>
    <col min="2" max="2" width="24" customWidth="1"/>
    <col min="3" max="3" width="80.6640625" bestFit="1" customWidth="1"/>
    <col min="4" max="4" width="27.33203125" bestFit="1" customWidth="1"/>
    <col min="5" max="5" width="32.109375" bestFit="1" customWidth="1"/>
    <col min="6" max="6" width="18.109375" bestFit="1" customWidth="1"/>
    <col min="10" max="10" width="26.77734375" customWidth="1"/>
    <col min="11" max="11" width="16.109375" customWidth="1"/>
  </cols>
  <sheetData>
    <row r="1" spans="1:13">
      <c r="A1" t="s">
        <v>2399</v>
      </c>
      <c r="B1" t="s">
        <v>2734</v>
      </c>
      <c r="C1" t="s">
        <v>2400</v>
      </c>
      <c r="D1" t="s">
        <v>2401</v>
      </c>
      <c r="E1" t="s">
        <v>2402</v>
      </c>
      <c r="F1" t="s">
        <v>2403</v>
      </c>
    </row>
    <row r="2" spans="1:13">
      <c r="A2" t="s">
        <v>2491</v>
      </c>
      <c r="B2" t="s">
        <v>383</v>
      </c>
      <c r="C2" t="s">
        <v>2492</v>
      </c>
      <c r="D2" t="s">
        <v>2406</v>
      </c>
      <c r="E2" t="s">
        <v>2493</v>
      </c>
      <c r="F2">
        <v>141480</v>
      </c>
      <c r="G2">
        <f>SUM(F2:F237)</f>
        <v>397078</v>
      </c>
      <c r="H2" t="s">
        <v>1287</v>
      </c>
      <c r="J2" t="s">
        <v>2737</v>
      </c>
    </row>
    <row r="3" spans="1:13">
      <c r="A3" t="s">
        <v>2654</v>
      </c>
      <c r="B3" t="s">
        <v>152</v>
      </c>
      <c r="C3" t="s">
        <v>2655</v>
      </c>
      <c r="D3" t="s">
        <v>2409</v>
      </c>
      <c r="E3" t="s">
        <v>2430</v>
      </c>
      <c r="F3">
        <v>60000</v>
      </c>
      <c r="G3">
        <f>F2+F5</f>
        <v>180177</v>
      </c>
      <c r="H3" t="s">
        <v>2735</v>
      </c>
      <c r="J3">
        <f>G3/109</f>
        <v>1653</v>
      </c>
      <c r="K3" t="s">
        <v>2738</v>
      </c>
    </row>
    <row r="4" spans="1:13">
      <c r="A4" t="s">
        <v>2404</v>
      </c>
      <c r="B4" t="s">
        <v>383</v>
      </c>
      <c r="C4" t="s">
        <v>2405</v>
      </c>
      <c r="D4" t="s">
        <v>2406</v>
      </c>
      <c r="E4" t="s">
        <v>2405</v>
      </c>
      <c r="F4">
        <v>46621</v>
      </c>
      <c r="G4">
        <f>F3+25000+25000+7000+F8+(F7-1500)</f>
        <v>167000</v>
      </c>
      <c r="H4" t="s">
        <v>2736</v>
      </c>
      <c r="J4">
        <f>300+300+300</f>
        <v>900</v>
      </c>
      <c r="K4" t="s">
        <v>2739</v>
      </c>
    </row>
    <row r="5" spans="1:13">
      <c r="A5" t="s">
        <v>2572</v>
      </c>
      <c r="B5" t="s">
        <v>383</v>
      </c>
      <c r="C5" t="s">
        <v>2492</v>
      </c>
      <c r="D5" t="s">
        <v>2406</v>
      </c>
      <c r="E5" t="s">
        <v>2493</v>
      </c>
      <c r="F5">
        <v>38697</v>
      </c>
      <c r="G5">
        <f>G2-G3-G4</f>
        <v>49901</v>
      </c>
      <c r="J5">
        <f>12*12</f>
        <v>144</v>
      </c>
      <c r="K5" t="s">
        <v>2740</v>
      </c>
    </row>
    <row r="6" spans="1:13">
      <c r="A6" t="s">
        <v>2597</v>
      </c>
      <c r="B6" t="s">
        <v>383</v>
      </c>
      <c r="C6" t="s">
        <v>2405</v>
      </c>
      <c r="D6" t="s">
        <v>2406</v>
      </c>
      <c r="E6" t="s">
        <v>2405</v>
      </c>
      <c r="F6">
        <v>28609</v>
      </c>
      <c r="G6">
        <f>G5/2</f>
        <v>24950.5</v>
      </c>
    </row>
    <row r="7" spans="1:13">
      <c r="A7" t="s">
        <v>2464</v>
      </c>
      <c r="B7" t="s">
        <v>383</v>
      </c>
      <c r="C7" t="s">
        <v>2408</v>
      </c>
      <c r="D7" t="s">
        <v>2409</v>
      </c>
      <c r="E7" t="s">
        <v>2408</v>
      </c>
      <c r="F7">
        <v>26500</v>
      </c>
    </row>
    <row r="8" spans="1:13">
      <c r="A8" t="s">
        <v>2604</v>
      </c>
      <c r="B8" t="s">
        <v>383</v>
      </c>
      <c r="C8" t="s">
        <v>2605</v>
      </c>
      <c r="D8" t="s">
        <v>2409</v>
      </c>
      <c r="E8" t="s">
        <v>2430</v>
      </c>
      <c r="F8">
        <v>25000</v>
      </c>
      <c r="J8" t="s">
        <v>2743</v>
      </c>
      <c r="K8" t="s">
        <v>2744</v>
      </c>
      <c r="L8" t="s">
        <v>183</v>
      </c>
    </row>
    <row r="9" spans="1:13">
      <c r="A9" t="s">
        <v>2494</v>
      </c>
      <c r="B9" t="s">
        <v>383</v>
      </c>
      <c r="C9" t="s">
        <v>2432</v>
      </c>
      <c r="D9" t="s">
        <v>2406</v>
      </c>
      <c r="E9" t="s">
        <v>2432</v>
      </c>
      <c r="F9">
        <v>16450</v>
      </c>
      <c r="J9">
        <v>300</v>
      </c>
      <c r="K9">
        <v>1800</v>
      </c>
      <c r="L9">
        <f>K9-J9</f>
        <v>1500</v>
      </c>
      <c r="M9" t="s">
        <v>873</v>
      </c>
    </row>
    <row r="10" spans="1:13">
      <c r="A10" t="s">
        <v>2495</v>
      </c>
      <c r="B10" t="s">
        <v>383</v>
      </c>
      <c r="C10" t="s">
        <v>2429</v>
      </c>
      <c r="D10" t="s">
        <v>2409</v>
      </c>
      <c r="E10" t="s">
        <v>2430</v>
      </c>
      <c r="F10">
        <v>14456</v>
      </c>
      <c r="J10">
        <v>0</v>
      </c>
      <c r="K10">
        <v>2000</v>
      </c>
      <c r="L10">
        <f>K10-J10</f>
        <v>2000</v>
      </c>
      <c r="M10" t="s">
        <v>2741</v>
      </c>
    </row>
    <row r="11" spans="1:13">
      <c r="A11" t="s">
        <v>2649</v>
      </c>
      <c r="B11" t="s">
        <v>152</v>
      </c>
      <c r="C11" t="s">
        <v>2429</v>
      </c>
      <c r="D11" t="s">
        <v>2409</v>
      </c>
      <c r="E11" t="s">
        <v>2430</v>
      </c>
      <c r="F11">
        <v>13173</v>
      </c>
      <c r="J11">
        <v>1310</v>
      </c>
      <c r="K11">
        <v>5800</v>
      </c>
      <c r="L11">
        <f>K11-J11</f>
        <v>4490</v>
      </c>
      <c r="M11" t="s">
        <v>2209</v>
      </c>
    </row>
    <row r="12" spans="1:13">
      <c r="A12" t="s">
        <v>2434</v>
      </c>
      <c r="B12" t="s">
        <v>383</v>
      </c>
      <c r="C12" t="s">
        <v>2432</v>
      </c>
      <c r="D12" t="s">
        <v>2406</v>
      </c>
      <c r="E12" t="s">
        <v>2432</v>
      </c>
      <c r="F12">
        <v>9800</v>
      </c>
      <c r="J12">
        <v>250</v>
      </c>
      <c r="K12">
        <v>900</v>
      </c>
      <c r="L12">
        <f>K12-J12</f>
        <v>650</v>
      </c>
      <c r="M12" t="s">
        <v>2742</v>
      </c>
    </row>
    <row r="13" spans="1:13">
      <c r="A13" t="s">
        <v>2598</v>
      </c>
      <c r="B13" t="s">
        <v>383</v>
      </c>
      <c r="C13" t="s">
        <v>2599</v>
      </c>
      <c r="D13" t="s">
        <v>2409</v>
      </c>
      <c r="E13" t="s">
        <v>2430</v>
      </c>
      <c r="F13">
        <v>9000</v>
      </c>
      <c r="L13">
        <f>SUM(L9:L12)</f>
        <v>8640</v>
      </c>
      <c r="M13">
        <f>L13-SUM(J3:J5)</f>
        <v>5943</v>
      </c>
    </row>
    <row r="14" spans="1:13">
      <c r="A14" t="s">
        <v>2578</v>
      </c>
      <c r="B14" t="s">
        <v>383</v>
      </c>
      <c r="C14" t="s">
        <v>2579</v>
      </c>
      <c r="D14" t="s">
        <v>2406</v>
      </c>
      <c r="E14" t="s">
        <v>2580</v>
      </c>
      <c r="F14">
        <v>8886</v>
      </c>
    </row>
    <row r="15" spans="1:13">
      <c r="A15" t="s">
        <v>2589</v>
      </c>
      <c r="B15" t="s">
        <v>383</v>
      </c>
      <c r="C15" t="s">
        <v>2541</v>
      </c>
      <c r="D15" t="s">
        <v>2409</v>
      </c>
      <c r="E15" t="s">
        <v>2430</v>
      </c>
      <c r="F15">
        <v>8574</v>
      </c>
    </row>
    <row r="16" spans="1:13">
      <c r="A16" t="s">
        <v>2640</v>
      </c>
      <c r="B16" t="s">
        <v>152</v>
      </c>
      <c r="C16" t="s">
        <v>2429</v>
      </c>
      <c r="D16" t="s">
        <v>2409</v>
      </c>
      <c r="E16" t="s">
        <v>2430</v>
      </c>
      <c r="F16">
        <v>8505</v>
      </c>
    </row>
    <row r="17" spans="1:6">
      <c r="A17" t="s">
        <v>2656</v>
      </c>
      <c r="B17" t="s">
        <v>152</v>
      </c>
      <c r="C17" t="s">
        <v>2429</v>
      </c>
      <c r="D17" t="s">
        <v>2409</v>
      </c>
      <c r="E17" t="s">
        <v>2430</v>
      </c>
      <c r="F17">
        <v>8371</v>
      </c>
    </row>
    <row r="18" spans="1:6">
      <c r="A18" t="s">
        <v>2638</v>
      </c>
      <c r="B18" t="s">
        <v>152</v>
      </c>
      <c r="C18" t="s">
        <v>2503</v>
      </c>
      <c r="D18" t="s">
        <v>2416</v>
      </c>
      <c r="E18" t="s">
        <v>2417</v>
      </c>
      <c r="F18">
        <v>8310</v>
      </c>
    </row>
    <row r="19" spans="1:6">
      <c r="A19" t="s">
        <v>2591</v>
      </c>
      <c r="B19" t="s">
        <v>383</v>
      </c>
      <c r="C19" t="s">
        <v>2541</v>
      </c>
      <c r="D19" t="s">
        <v>2409</v>
      </c>
      <c r="E19" t="s">
        <v>2430</v>
      </c>
      <c r="F19">
        <v>7725</v>
      </c>
    </row>
    <row r="20" spans="1:6">
      <c r="A20" t="s">
        <v>2537</v>
      </c>
      <c r="B20" t="s">
        <v>383</v>
      </c>
      <c r="C20" t="s">
        <v>2503</v>
      </c>
      <c r="D20" t="s">
        <v>2416</v>
      </c>
      <c r="E20" t="s">
        <v>2417</v>
      </c>
      <c r="F20">
        <v>7228</v>
      </c>
    </row>
    <row r="21" spans="1:6">
      <c r="A21" t="s">
        <v>2680</v>
      </c>
      <c r="B21" t="s">
        <v>152</v>
      </c>
      <c r="C21" t="s">
        <v>2405</v>
      </c>
      <c r="D21" t="s">
        <v>2406</v>
      </c>
      <c r="E21" t="s">
        <v>2405</v>
      </c>
      <c r="F21">
        <v>6892</v>
      </c>
    </row>
    <row r="22" spans="1:6">
      <c r="A22" t="s">
        <v>2545</v>
      </c>
      <c r="B22" t="s">
        <v>383</v>
      </c>
      <c r="C22" t="s">
        <v>2541</v>
      </c>
      <c r="D22" t="s">
        <v>2409</v>
      </c>
      <c r="E22" t="s">
        <v>2430</v>
      </c>
      <c r="F22">
        <v>6747</v>
      </c>
    </row>
    <row r="23" spans="1:6">
      <c r="A23" t="s">
        <v>2604</v>
      </c>
      <c r="B23" t="s">
        <v>383</v>
      </c>
      <c r="C23" t="s">
        <v>2541</v>
      </c>
      <c r="D23" t="s">
        <v>2409</v>
      </c>
      <c r="E23" t="s">
        <v>2430</v>
      </c>
      <c r="F23">
        <v>6633</v>
      </c>
    </row>
    <row r="24" spans="1:6">
      <c r="A24" t="s">
        <v>2499</v>
      </c>
      <c r="B24" t="s">
        <v>383</v>
      </c>
      <c r="C24" t="s">
        <v>2500</v>
      </c>
      <c r="D24" t="s">
        <v>2416</v>
      </c>
      <c r="E24" t="s">
        <v>2417</v>
      </c>
      <c r="F24">
        <v>6500</v>
      </c>
    </row>
    <row r="25" spans="1:6">
      <c r="A25" t="s">
        <v>2485</v>
      </c>
      <c r="B25" t="s">
        <v>383</v>
      </c>
      <c r="C25" t="s">
        <v>2488</v>
      </c>
      <c r="D25" t="s">
        <v>2489</v>
      </c>
      <c r="E25" t="s">
        <v>2424</v>
      </c>
      <c r="F25">
        <v>6497</v>
      </c>
    </row>
    <row r="26" spans="1:6">
      <c r="A26" t="s">
        <v>2556</v>
      </c>
      <c r="B26" t="s">
        <v>383</v>
      </c>
      <c r="C26" t="s">
        <v>2541</v>
      </c>
      <c r="D26" t="s">
        <v>2409</v>
      </c>
      <c r="E26" t="s">
        <v>2430</v>
      </c>
      <c r="F26">
        <v>6100</v>
      </c>
    </row>
    <row r="27" spans="1:6">
      <c r="A27" t="s">
        <v>2571</v>
      </c>
      <c r="B27" t="s">
        <v>383</v>
      </c>
      <c r="C27" t="s">
        <v>2437</v>
      </c>
      <c r="D27" t="s">
        <v>2438</v>
      </c>
      <c r="E27" t="s">
        <v>2439</v>
      </c>
      <c r="F27">
        <v>5242</v>
      </c>
    </row>
    <row r="28" spans="1:6">
      <c r="A28" t="s">
        <v>2594</v>
      </c>
      <c r="B28" t="s">
        <v>383</v>
      </c>
      <c r="C28" t="s">
        <v>2405</v>
      </c>
      <c r="D28" t="s">
        <v>2406</v>
      </c>
      <c r="E28" t="s">
        <v>2405</v>
      </c>
      <c r="F28">
        <v>5126</v>
      </c>
    </row>
    <row r="29" spans="1:6">
      <c r="A29" t="s">
        <v>2600</v>
      </c>
      <c r="B29" t="s">
        <v>383</v>
      </c>
      <c r="C29" t="s">
        <v>2601</v>
      </c>
      <c r="D29" t="s">
        <v>1391</v>
      </c>
      <c r="E29" t="s">
        <v>2602</v>
      </c>
      <c r="F29">
        <v>5040</v>
      </c>
    </row>
    <row r="30" spans="1:6">
      <c r="A30" t="s">
        <v>2598</v>
      </c>
      <c r="B30" t="s">
        <v>383</v>
      </c>
      <c r="C30" t="s">
        <v>2541</v>
      </c>
      <c r="D30" t="s">
        <v>2409</v>
      </c>
      <c r="E30" t="s">
        <v>2430</v>
      </c>
      <c r="F30">
        <v>4786</v>
      </c>
    </row>
    <row r="31" spans="1:6">
      <c r="A31" t="s">
        <v>2697</v>
      </c>
      <c r="B31" t="s">
        <v>152</v>
      </c>
      <c r="C31" t="s">
        <v>2405</v>
      </c>
      <c r="D31" t="s">
        <v>2406</v>
      </c>
      <c r="E31" t="s">
        <v>2405</v>
      </c>
      <c r="F31">
        <v>4286</v>
      </c>
    </row>
    <row r="32" spans="1:6">
      <c r="A32" t="s">
        <v>2542</v>
      </c>
      <c r="B32" t="s">
        <v>383</v>
      </c>
      <c r="C32" t="s">
        <v>2405</v>
      </c>
      <c r="D32" t="s">
        <v>2406</v>
      </c>
      <c r="E32" t="s">
        <v>2405</v>
      </c>
      <c r="F32">
        <v>4203</v>
      </c>
    </row>
    <row r="33" spans="1:6">
      <c r="A33" t="s">
        <v>2586</v>
      </c>
      <c r="B33" t="s">
        <v>383</v>
      </c>
      <c r="C33" t="s">
        <v>2432</v>
      </c>
      <c r="D33" t="s">
        <v>2406</v>
      </c>
      <c r="E33" t="s">
        <v>2432</v>
      </c>
      <c r="F33">
        <v>3975</v>
      </c>
    </row>
    <row r="34" spans="1:6">
      <c r="A34" t="s">
        <v>2586</v>
      </c>
      <c r="B34" t="s">
        <v>383</v>
      </c>
      <c r="C34" t="s">
        <v>2432</v>
      </c>
      <c r="D34" t="s">
        <v>2406</v>
      </c>
      <c r="E34" t="s">
        <v>2432</v>
      </c>
      <c r="F34">
        <v>3975</v>
      </c>
    </row>
    <row r="35" spans="1:6">
      <c r="A35" t="s">
        <v>2595</v>
      </c>
      <c r="B35" t="s">
        <v>383</v>
      </c>
      <c r="C35" t="s">
        <v>2541</v>
      </c>
      <c r="D35" t="s">
        <v>2409</v>
      </c>
      <c r="E35" t="s">
        <v>2430</v>
      </c>
      <c r="F35">
        <v>3949</v>
      </c>
    </row>
    <row r="36" spans="1:6">
      <c r="A36" t="s">
        <v>2479</v>
      </c>
      <c r="B36" t="s">
        <v>383</v>
      </c>
      <c r="C36" t="s">
        <v>2480</v>
      </c>
      <c r="D36" t="s">
        <v>2409</v>
      </c>
      <c r="E36" t="s">
        <v>2430</v>
      </c>
      <c r="F36">
        <v>3930</v>
      </c>
    </row>
    <row r="37" spans="1:6">
      <c r="A37" t="s">
        <v>2527</v>
      </c>
      <c r="B37" t="s">
        <v>383</v>
      </c>
      <c r="C37" t="s">
        <v>2528</v>
      </c>
      <c r="D37" t="s">
        <v>2416</v>
      </c>
      <c r="E37" t="s">
        <v>2417</v>
      </c>
      <c r="F37">
        <v>3886</v>
      </c>
    </row>
    <row r="38" spans="1:6">
      <c r="A38" t="s">
        <v>2703</v>
      </c>
      <c r="B38" t="s">
        <v>152</v>
      </c>
      <c r="C38" t="s">
        <v>2643</v>
      </c>
      <c r="D38" t="s">
        <v>2416</v>
      </c>
      <c r="E38" t="s">
        <v>2417</v>
      </c>
      <c r="F38">
        <v>3820</v>
      </c>
    </row>
    <row r="39" spans="1:6">
      <c r="A39" t="s">
        <v>2436</v>
      </c>
      <c r="B39" t="s">
        <v>383</v>
      </c>
      <c r="C39" t="s">
        <v>2437</v>
      </c>
      <c r="D39" t="s">
        <v>2438</v>
      </c>
      <c r="E39" t="s">
        <v>2439</v>
      </c>
      <c r="F39">
        <v>3695</v>
      </c>
    </row>
    <row r="40" spans="1:6">
      <c r="A40" t="s">
        <v>2615</v>
      </c>
      <c r="B40" t="s">
        <v>152</v>
      </c>
      <c r="C40" t="s">
        <v>2503</v>
      </c>
      <c r="D40" t="s">
        <v>2416</v>
      </c>
      <c r="E40" t="s">
        <v>2417</v>
      </c>
      <c r="F40">
        <v>3628</v>
      </c>
    </row>
    <row r="41" spans="1:6">
      <c r="A41" t="s">
        <v>2420</v>
      </c>
      <c r="B41" t="s">
        <v>383</v>
      </c>
      <c r="C41" t="s">
        <v>2421</v>
      </c>
      <c r="D41" t="s">
        <v>2416</v>
      </c>
      <c r="E41" t="s">
        <v>2417</v>
      </c>
      <c r="F41">
        <v>3500</v>
      </c>
    </row>
    <row r="42" spans="1:6">
      <c r="A42" t="s">
        <v>2573</v>
      </c>
      <c r="B42" t="s">
        <v>383</v>
      </c>
      <c r="C42" t="s">
        <v>2541</v>
      </c>
      <c r="D42" t="s">
        <v>2409</v>
      </c>
      <c r="E42" t="s">
        <v>2430</v>
      </c>
      <c r="F42">
        <v>3454</v>
      </c>
    </row>
    <row r="43" spans="1:6">
      <c r="A43" t="s">
        <v>2582</v>
      </c>
      <c r="B43" t="s">
        <v>383</v>
      </c>
      <c r="C43" t="s">
        <v>2541</v>
      </c>
      <c r="D43" t="s">
        <v>2409</v>
      </c>
      <c r="E43" t="s">
        <v>2430</v>
      </c>
      <c r="F43">
        <v>3342</v>
      </c>
    </row>
    <row r="44" spans="1:6">
      <c r="A44" t="s">
        <v>2596</v>
      </c>
      <c r="B44" t="s">
        <v>383</v>
      </c>
      <c r="C44" t="s">
        <v>2405</v>
      </c>
      <c r="D44" t="s">
        <v>2406</v>
      </c>
      <c r="E44" t="s">
        <v>2405</v>
      </c>
      <c r="F44">
        <v>3306</v>
      </c>
    </row>
    <row r="45" spans="1:6">
      <c r="A45" t="s">
        <v>2627</v>
      </c>
      <c r="B45" t="s">
        <v>152</v>
      </c>
      <c r="C45" t="s">
        <v>2429</v>
      </c>
      <c r="D45" t="s">
        <v>2409</v>
      </c>
      <c r="E45" t="s">
        <v>2430</v>
      </c>
      <c r="F45">
        <v>3204</v>
      </c>
    </row>
    <row r="46" spans="1:6">
      <c r="A46" t="s">
        <v>2689</v>
      </c>
      <c r="B46" t="s">
        <v>152</v>
      </c>
      <c r="C46" t="s">
        <v>2405</v>
      </c>
      <c r="D46" t="s">
        <v>2406</v>
      </c>
      <c r="E46" t="s">
        <v>2405</v>
      </c>
      <c r="F46">
        <v>3150</v>
      </c>
    </row>
    <row r="47" spans="1:6">
      <c r="A47" t="s">
        <v>2604</v>
      </c>
      <c r="B47" t="s">
        <v>383</v>
      </c>
      <c r="C47" t="s">
        <v>2599</v>
      </c>
      <c r="D47" t="s">
        <v>2409</v>
      </c>
      <c r="E47" t="s">
        <v>2430</v>
      </c>
      <c r="F47">
        <v>3000</v>
      </c>
    </row>
    <row r="48" spans="1:6">
      <c r="A48" t="s">
        <v>2665</v>
      </c>
      <c r="B48" t="s">
        <v>152</v>
      </c>
      <c r="C48" t="s">
        <v>2655</v>
      </c>
      <c r="D48" t="s">
        <v>2409</v>
      </c>
      <c r="E48" t="s">
        <v>2430</v>
      </c>
      <c r="F48">
        <v>3000</v>
      </c>
    </row>
    <row r="49" spans="1:6">
      <c r="A49" t="s">
        <v>2560</v>
      </c>
      <c r="B49" t="s">
        <v>383</v>
      </c>
      <c r="C49" t="s">
        <v>2561</v>
      </c>
      <c r="D49" t="s">
        <v>2562</v>
      </c>
      <c r="E49" t="s">
        <v>2563</v>
      </c>
      <c r="F49">
        <v>2860</v>
      </c>
    </row>
    <row r="50" spans="1:6">
      <c r="A50" t="s">
        <v>2509</v>
      </c>
      <c r="B50" t="s">
        <v>383</v>
      </c>
      <c r="C50" t="s">
        <v>2429</v>
      </c>
      <c r="D50" t="s">
        <v>2409</v>
      </c>
      <c r="E50" t="s">
        <v>2430</v>
      </c>
      <c r="F50">
        <v>2751</v>
      </c>
    </row>
    <row r="51" spans="1:6">
      <c r="A51" t="s">
        <v>2592</v>
      </c>
      <c r="B51" t="s">
        <v>383</v>
      </c>
      <c r="C51" t="s">
        <v>2405</v>
      </c>
      <c r="D51" t="s">
        <v>2406</v>
      </c>
      <c r="E51" t="s">
        <v>2405</v>
      </c>
      <c r="F51">
        <v>2726</v>
      </c>
    </row>
    <row r="52" spans="1:6">
      <c r="A52" t="s">
        <v>2603</v>
      </c>
      <c r="B52" t="s">
        <v>383</v>
      </c>
      <c r="C52" t="s">
        <v>2405</v>
      </c>
      <c r="D52" t="s">
        <v>2406</v>
      </c>
      <c r="E52" t="s">
        <v>2405</v>
      </c>
      <c r="F52">
        <v>2697</v>
      </c>
    </row>
    <row r="53" spans="1:6">
      <c r="A53" t="s">
        <v>2431</v>
      </c>
      <c r="B53" t="s">
        <v>383</v>
      </c>
      <c r="C53" t="s">
        <v>2432</v>
      </c>
      <c r="D53" t="s">
        <v>2406</v>
      </c>
      <c r="E53" t="s">
        <v>2432</v>
      </c>
      <c r="F53">
        <v>2625</v>
      </c>
    </row>
    <row r="54" spans="1:6">
      <c r="A54" t="s">
        <v>2628</v>
      </c>
      <c r="B54" t="s">
        <v>152</v>
      </c>
      <c r="C54" t="s">
        <v>2503</v>
      </c>
      <c r="D54" t="s">
        <v>2416</v>
      </c>
      <c r="E54" t="s">
        <v>2417</v>
      </c>
      <c r="F54">
        <v>2576</v>
      </c>
    </row>
    <row r="55" spans="1:6">
      <c r="A55" t="s">
        <v>2583</v>
      </c>
      <c r="B55" t="s">
        <v>383</v>
      </c>
      <c r="C55" t="s">
        <v>2405</v>
      </c>
      <c r="D55" t="s">
        <v>2406</v>
      </c>
      <c r="E55" t="s">
        <v>2405</v>
      </c>
      <c r="F55">
        <v>2456</v>
      </c>
    </row>
    <row r="56" spans="1:6">
      <c r="A56" t="s">
        <v>2478</v>
      </c>
      <c r="B56" t="s">
        <v>383</v>
      </c>
      <c r="C56" t="s">
        <v>2432</v>
      </c>
      <c r="D56" t="s">
        <v>2406</v>
      </c>
      <c r="E56" t="s">
        <v>2432</v>
      </c>
      <c r="F56">
        <v>2450</v>
      </c>
    </row>
    <row r="57" spans="1:6">
      <c r="A57" t="s">
        <v>2536</v>
      </c>
      <c r="B57" t="s">
        <v>383</v>
      </c>
      <c r="C57" t="s">
        <v>2429</v>
      </c>
      <c r="D57" t="s">
        <v>2409</v>
      </c>
      <c r="E57" t="s">
        <v>2430</v>
      </c>
      <c r="F57">
        <v>2408</v>
      </c>
    </row>
    <row r="58" spans="1:6">
      <c r="A58" t="s">
        <v>2618</v>
      </c>
      <c r="B58" t="s">
        <v>152</v>
      </c>
      <c r="C58" t="s">
        <v>2503</v>
      </c>
      <c r="D58" t="s">
        <v>2416</v>
      </c>
      <c r="E58" t="s">
        <v>2417</v>
      </c>
      <c r="F58">
        <v>2278</v>
      </c>
    </row>
    <row r="59" spans="1:6">
      <c r="A59" t="s">
        <v>2523</v>
      </c>
      <c r="B59" t="s">
        <v>383</v>
      </c>
      <c r="C59" t="s">
        <v>2429</v>
      </c>
      <c r="D59" t="s">
        <v>2409</v>
      </c>
      <c r="E59" t="s">
        <v>2430</v>
      </c>
      <c r="F59">
        <v>2127</v>
      </c>
    </row>
    <row r="60" spans="1:6">
      <c r="A60" t="s">
        <v>2540</v>
      </c>
      <c r="B60" t="s">
        <v>383</v>
      </c>
      <c r="C60" t="s">
        <v>2541</v>
      </c>
      <c r="D60" t="s">
        <v>2409</v>
      </c>
      <c r="E60" t="s">
        <v>2430</v>
      </c>
      <c r="F60">
        <v>2087</v>
      </c>
    </row>
    <row r="61" spans="1:6">
      <c r="A61" t="s">
        <v>2471</v>
      </c>
      <c r="B61" t="s">
        <v>383</v>
      </c>
      <c r="C61" t="s">
        <v>2472</v>
      </c>
      <c r="D61" t="s">
        <v>2416</v>
      </c>
      <c r="E61" t="s">
        <v>2417</v>
      </c>
      <c r="F61">
        <v>2000</v>
      </c>
    </row>
    <row r="62" spans="1:6">
      <c r="A62" t="s">
        <v>2473</v>
      </c>
      <c r="B62" t="s">
        <v>383</v>
      </c>
      <c r="C62" t="s">
        <v>2472</v>
      </c>
      <c r="D62" t="s">
        <v>2416</v>
      </c>
      <c r="E62" t="s">
        <v>2417</v>
      </c>
      <c r="F62">
        <v>2000</v>
      </c>
    </row>
    <row r="63" spans="1:6">
      <c r="A63" t="s">
        <v>2715</v>
      </c>
      <c r="B63" t="s">
        <v>152</v>
      </c>
      <c r="C63" t="s">
        <v>2405</v>
      </c>
      <c r="D63" t="s">
        <v>2406</v>
      </c>
      <c r="E63" t="s">
        <v>2405</v>
      </c>
      <c r="F63">
        <v>1965</v>
      </c>
    </row>
    <row r="64" spans="1:6">
      <c r="A64" t="s">
        <v>2576</v>
      </c>
      <c r="B64" t="s">
        <v>383</v>
      </c>
      <c r="C64" t="s">
        <v>2405</v>
      </c>
      <c r="D64" t="s">
        <v>2406</v>
      </c>
      <c r="E64" t="s">
        <v>2405</v>
      </c>
      <c r="F64">
        <v>1887</v>
      </c>
    </row>
    <row r="65" spans="1:6">
      <c r="A65" t="s">
        <v>2558</v>
      </c>
      <c r="B65" t="s">
        <v>383</v>
      </c>
      <c r="C65" t="s">
        <v>2405</v>
      </c>
      <c r="D65" t="s">
        <v>2406</v>
      </c>
      <c r="E65" t="s">
        <v>2405</v>
      </c>
      <c r="F65">
        <v>1719</v>
      </c>
    </row>
    <row r="66" spans="1:6">
      <c r="A66" t="s">
        <v>2637</v>
      </c>
      <c r="B66" t="s">
        <v>152</v>
      </c>
      <c r="C66" t="s">
        <v>2503</v>
      </c>
      <c r="D66" t="s">
        <v>2416</v>
      </c>
      <c r="E66" t="s">
        <v>2417</v>
      </c>
      <c r="F66">
        <v>1540</v>
      </c>
    </row>
    <row r="67" spans="1:6">
      <c r="A67" t="s">
        <v>2407</v>
      </c>
      <c r="B67" t="s">
        <v>383</v>
      </c>
      <c r="C67" t="s">
        <v>2408</v>
      </c>
      <c r="D67" t="s">
        <v>2409</v>
      </c>
      <c r="E67" t="s">
        <v>2408</v>
      </c>
      <c r="F67">
        <v>1500</v>
      </c>
    </row>
    <row r="68" spans="1:6">
      <c r="A68" t="s">
        <v>2419</v>
      </c>
      <c r="B68" t="s">
        <v>383</v>
      </c>
      <c r="C68" t="s">
        <v>2408</v>
      </c>
      <c r="D68" t="s">
        <v>2409</v>
      </c>
      <c r="E68" t="s">
        <v>2408</v>
      </c>
      <c r="F68">
        <v>1500</v>
      </c>
    </row>
    <row r="69" spans="1:6">
      <c r="A69" t="s">
        <v>2433</v>
      </c>
      <c r="B69" t="s">
        <v>383</v>
      </c>
      <c r="C69" t="s">
        <v>2408</v>
      </c>
      <c r="D69" t="s">
        <v>2409</v>
      </c>
      <c r="E69" t="s">
        <v>2408</v>
      </c>
      <c r="F69">
        <v>1500</v>
      </c>
    </row>
    <row r="70" spans="1:6">
      <c r="A70" t="s">
        <v>2442</v>
      </c>
      <c r="B70" t="s">
        <v>383</v>
      </c>
      <c r="C70" t="s">
        <v>2408</v>
      </c>
      <c r="D70" t="s">
        <v>2409</v>
      </c>
      <c r="E70" t="s">
        <v>2408</v>
      </c>
      <c r="F70">
        <v>1500</v>
      </c>
    </row>
    <row r="71" spans="1:6">
      <c r="A71" t="s">
        <v>2447</v>
      </c>
      <c r="B71" t="s">
        <v>383</v>
      </c>
      <c r="C71" t="s">
        <v>2408</v>
      </c>
      <c r="D71" t="s">
        <v>2409</v>
      </c>
      <c r="E71" t="s">
        <v>2408</v>
      </c>
      <c r="F71">
        <v>1500</v>
      </c>
    </row>
    <row r="72" spans="1:6">
      <c r="A72" t="s">
        <v>2462</v>
      </c>
      <c r="B72" t="s">
        <v>383</v>
      </c>
      <c r="C72" t="s">
        <v>2408</v>
      </c>
      <c r="D72" t="s">
        <v>2409</v>
      </c>
      <c r="E72" t="s">
        <v>2408</v>
      </c>
      <c r="F72">
        <v>1500</v>
      </c>
    </row>
    <row r="73" spans="1:6">
      <c r="A73" t="s">
        <v>2470</v>
      </c>
      <c r="B73" t="s">
        <v>383</v>
      </c>
      <c r="C73" t="s">
        <v>2408</v>
      </c>
      <c r="D73" t="s">
        <v>2409</v>
      </c>
      <c r="E73" t="s">
        <v>2408</v>
      </c>
      <c r="F73">
        <v>1500</v>
      </c>
    </row>
    <row r="74" spans="1:6">
      <c r="A74" t="s">
        <v>2481</v>
      </c>
      <c r="B74" t="s">
        <v>383</v>
      </c>
      <c r="C74" t="s">
        <v>2408</v>
      </c>
      <c r="D74" t="s">
        <v>2409</v>
      </c>
      <c r="E74" t="s">
        <v>2408</v>
      </c>
      <c r="F74">
        <v>1500</v>
      </c>
    </row>
    <row r="75" spans="1:6">
      <c r="A75" t="s">
        <v>2496</v>
      </c>
      <c r="B75" t="s">
        <v>383</v>
      </c>
      <c r="C75" t="s">
        <v>2408</v>
      </c>
      <c r="D75" t="s">
        <v>2409</v>
      </c>
      <c r="E75" t="s">
        <v>2408</v>
      </c>
      <c r="F75">
        <v>1500</v>
      </c>
    </row>
    <row r="76" spans="1:6">
      <c r="A76" t="s">
        <v>2514</v>
      </c>
      <c r="B76" t="s">
        <v>383</v>
      </c>
      <c r="C76" t="s">
        <v>2408</v>
      </c>
      <c r="D76" t="s">
        <v>2409</v>
      </c>
      <c r="E76" t="s">
        <v>2408</v>
      </c>
      <c r="F76">
        <v>1500</v>
      </c>
    </row>
    <row r="77" spans="1:6">
      <c r="A77" t="s">
        <v>2620</v>
      </c>
      <c r="B77" t="s">
        <v>152</v>
      </c>
      <c r="C77" t="s">
        <v>2503</v>
      </c>
      <c r="D77" t="s">
        <v>2416</v>
      </c>
      <c r="E77" t="s">
        <v>2417</v>
      </c>
      <c r="F77">
        <v>1412</v>
      </c>
    </row>
    <row r="78" spans="1:6">
      <c r="A78" t="s">
        <v>2553</v>
      </c>
      <c r="B78" t="s">
        <v>383</v>
      </c>
      <c r="C78" t="s">
        <v>2437</v>
      </c>
      <c r="D78" t="s">
        <v>2438</v>
      </c>
      <c r="E78" t="s">
        <v>2439</v>
      </c>
      <c r="F78">
        <v>1262</v>
      </c>
    </row>
    <row r="79" spans="1:6">
      <c r="A79" t="s">
        <v>2501</v>
      </c>
      <c r="B79" t="s">
        <v>383</v>
      </c>
      <c r="C79" t="s">
        <v>2432</v>
      </c>
      <c r="D79" t="s">
        <v>2406</v>
      </c>
      <c r="E79" t="s">
        <v>2432</v>
      </c>
      <c r="F79">
        <v>1175</v>
      </c>
    </row>
    <row r="80" spans="1:6">
      <c r="A80" t="s">
        <v>2706</v>
      </c>
      <c r="B80" t="s">
        <v>152</v>
      </c>
      <c r="C80" t="s">
        <v>2405</v>
      </c>
      <c r="D80" t="s">
        <v>2406</v>
      </c>
      <c r="E80" t="s">
        <v>2405</v>
      </c>
      <c r="F80">
        <v>1132</v>
      </c>
    </row>
    <row r="81" spans="1:6">
      <c r="A81" t="s">
        <v>2522</v>
      </c>
      <c r="B81" t="s">
        <v>383</v>
      </c>
      <c r="C81" t="s">
        <v>2415</v>
      </c>
      <c r="D81" t="s">
        <v>2416</v>
      </c>
      <c r="E81" t="s">
        <v>2417</v>
      </c>
      <c r="F81">
        <v>1088</v>
      </c>
    </row>
    <row r="82" spans="1:6">
      <c r="A82" t="s">
        <v>2502</v>
      </c>
      <c r="B82" t="s">
        <v>383</v>
      </c>
      <c r="C82" t="s">
        <v>2503</v>
      </c>
      <c r="D82" t="s">
        <v>2416</v>
      </c>
      <c r="E82" t="s">
        <v>2417</v>
      </c>
      <c r="F82">
        <v>1074</v>
      </c>
    </row>
    <row r="83" spans="1:6">
      <c r="A83" t="s">
        <v>2479</v>
      </c>
      <c r="B83" t="s">
        <v>383</v>
      </c>
      <c r="C83" t="s">
        <v>2429</v>
      </c>
      <c r="D83" t="s">
        <v>2409</v>
      </c>
      <c r="E83" t="s">
        <v>2430</v>
      </c>
      <c r="F83">
        <v>1031</v>
      </c>
    </row>
    <row r="84" spans="1:6">
      <c r="A84" t="s">
        <v>2445</v>
      </c>
      <c r="B84" t="s">
        <v>383</v>
      </c>
      <c r="C84" t="s">
        <v>2432</v>
      </c>
      <c r="D84" t="s">
        <v>2406</v>
      </c>
      <c r="E84" t="s">
        <v>2432</v>
      </c>
      <c r="F84">
        <v>1025</v>
      </c>
    </row>
    <row r="85" spans="1:6">
      <c r="A85" t="s">
        <v>2712</v>
      </c>
      <c r="B85" t="s">
        <v>152</v>
      </c>
      <c r="C85" t="s">
        <v>2405</v>
      </c>
      <c r="D85" t="s">
        <v>2406</v>
      </c>
      <c r="E85" t="s">
        <v>2405</v>
      </c>
      <c r="F85">
        <v>1010</v>
      </c>
    </row>
    <row r="86" spans="1:6">
      <c r="A86" t="s">
        <v>2547</v>
      </c>
      <c r="B86" t="s">
        <v>383</v>
      </c>
      <c r="C86" t="s">
        <v>2405</v>
      </c>
      <c r="D86" t="s">
        <v>2406</v>
      </c>
      <c r="E86" t="s">
        <v>2405</v>
      </c>
      <c r="F86">
        <v>1002</v>
      </c>
    </row>
    <row r="87" spans="1:6">
      <c r="A87" t="s">
        <v>2414</v>
      </c>
      <c r="B87" t="s">
        <v>383</v>
      </c>
      <c r="C87" t="s">
        <v>2415</v>
      </c>
      <c r="D87" t="s">
        <v>2416</v>
      </c>
      <c r="E87" t="s">
        <v>2417</v>
      </c>
      <c r="F87">
        <v>1000</v>
      </c>
    </row>
    <row r="88" spans="1:6">
      <c r="A88" t="s">
        <v>2440</v>
      </c>
      <c r="B88" t="s">
        <v>383</v>
      </c>
      <c r="C88" t="s">
        <v>2415</v>
      </c>
      <c r="D88" t="s">
        <v>2416</v>
      </c>
      <c r="E88" t="s">
        <v>2417</v>
      </c>
      <c r="F88">
        <v>1000</v>
      </c>
    </row>
    <row r="89" spans="1:6">
      <c r="A89" t="s">
        <v>2482</v>
      </c>
      <c r="B89" t="s">
        <v>383</v>
      </c>
      <c r="C89" t="s">
        <v>2483</v>
      </c>
      <c r="D89" t="s">
        <v>1391</v>
      </c>
      <c r="E89" t="s">
        <v>2484</v>
      </c>
      <c r="F89">
        <v>1000</v>
      </c>
    </row>
    <row r="90" spans="1:6">
      <c r="A90" t="s">
        <v>2435</v>
      </c>
      <c r="B90" t="s">
        <v>383</v>
      </c>
      <c r="C90" t="s">
        <v>2415</v>
      </c>
      <c r="D90" t="s">
        <v>2416</v>
      </c>
      <c r="E90" t="s">
        <v>2417</v>
      </c>
      <c r="F90">
        <v>946</v>
      </c>
    </row>
    <row r="91" spans="1:6">
      <c r="A91" t="s">
        <v>2474</v>
      </c>
      <c r="B91" t="s">
        <v>383</v>
      </c>
      <c r="C91" t="s">
        <v>2469</v>
      </c>
      <c r="D91" t="s">
        <v>2416</v>
      </c>
      <c r="E91" t="s">
        <v>2417</v>
      </c>
      <c r="F91">
        <v>938</v>
      </c>
    </row>
    <row r="92" spans="1:6">
      <c r="A92" t="s">
        <v>2556</v>
      </c>
      <c r="B92" t="s">
        <v>383</v>
      </c>
      <c r="C92" t="s">
        <v>2557</v>
      </c>
      <c r="D92" t="s">
        <v>2409</v>
      </c>
      <c r="E92" t="s">
        <v>2430</v>
      </c>
      <c r="F92">
        <v>900</v>
      </c>
    </row>
    <row r="93" spans="1:6">
      <c r="A93" t="s">
        <v>2534</v>
      </c>
      <c r="B93" t="s">
        <v>383</v>
      </c>
      <c r="C93" t="s">
        <v>2512</v>
      </c>
      <c r="D93" t="s">
        <v>2416</v>
      </c>
      <c r="E93" t="s">
        <v>2417</v>
      </c>
      <c r="F93">
        <v>900</v>
      </c>
    </row>
    <row r="94" spans="1:6">
      <c r="A94" t="s">
        <v>2724</v>
      </c>
      <c r="B94" t="s">
        <v>152</v>
      </c>
      <c r="C94" t="s">
        <v>2725</v>
      </c>
      <c r="D94" t="s">
        <v>1721</v>
      </c>
      <c r="E94" t="s">
        <v>2723</v>
      </c>
      <c r="F94">
        <v>888</v>
      </c>
    </row>
    <row r="95" spans="1:6">
      <c r="A95" t="s">
        <v>2728</v>
      </c>
      <c r="B95" t="s">
        <v>152</v>
      </c>
      <c r="C95" t="s">
        <v>2729</v>
      </c>
      <c r="D95" t="s">
        <v>1721</v>
      </c>
      <c r="E95" t="s">
        <v>2723</v>
      </c>
      <c r="F95">
        <v>888</v>
      </c>
    </row>
    <row r="96" spans="1:6">
      <c r="A96" t="s">
        <v>2721</v>
      </c>
      <c r="B96" t="s">
        <v>152</v>
      </c>
      <c r="C96" t="s">
        <v>2722</v>
      </c>
      <c r="D96" t="s">
        <v>1721</v>
      </c>
      <c r="E96" t="s">
        <v>2723</v>
      </c>
      <c r="F96">
        <v>882</v>
      </c>
    </row>
    <row r="97" spans="1:6">
      <c r="A97" t="s">
        <v>2665</v>
      </c>
      <c r="B97" t="s">
        <v>152</v>
      </c>
      <c r="C97" t="s">
        <v>2429</v>
      </c>
      <c r="D97" t="s">
        <v>2409</v>
      </c>
      <c r="E97" t="s">
        <v>2430</v>
      </c>
      <c r="F97">
        <v>819</v>
      </c>
    </row>
    <row r="98" spans="1:6">
      <c r="A98" t="s">
        <v>2425</v>
      </c>
      <c r="B98" t="s">
        <v>383</v>
      </c>
      <c r="C98" t="s">
        <v>2415</v>
      </c>
      <c r="D98" t="s">
        <v>2416</v>
      </c>
      <c r="E98" t="s">
        <v>2417</v>
      </c>
      <c r="F98">
        <v>800</v>
      </c>
    </row>
    <row r="99" spans="1:6">
      <c r="A99" t="s">
        <v>2554</v>
      </c>
      <c r="B99" t="s">
        <v>383</v>
      </c>
      <c r="C99" t="s">
        <v>2525</v>
      </c>
      <c r="D99" t="s">
        <v>2416</v>
      </c>
      <c r="E99" t="s">
        <v>2417</v>
      </c>
      <c r="F99">
        <v>788</v>
      </c>
    </row>
    <row r="100" spans="1:6">
      <c r="A100" t="s">
        <v>2577</v>
      </c>
      <c r="B100" t="s">
        <v>383</v>
      </c>
      <c r="C100" t="s">
        <v>2518</v>
      </c>
      <c r="D100" t="s">
        <v>2416</v>
      </c>
      <c r="E100" t="s">
        <v>2417</v>
      </c>
      <c r="F100">
        <v>762</v>
      </c>
    </row>
    <row r="101" spans="1:6">
      <c r="A101" t="s">
        <v>2513</v>
      </c>
      <c r="B101" t="s">
        <v>383</v>
      </c>
      <c r="C101" t="s">
        <v>2503</v>
      </c>
      <c r="D101" t="s">
        <v>2416</v>
      </c>
      <c r="E101" t="s">
        <v>2417</v>
      </c>
      <c r="F101">
        <v>752</v>
      </c>
    </row>
    <row r="102" spans="1:6">
      <c r="A102" t="s">
        <v>2498</v>
      </c>
      <c r="B102" t="s">
        <v>383</v>
      </c>
      <c r="C102" t="s">
        <v>2415</v>
      </c>
      <c r="D102" t="s">
        <v>2416</v>
      </c>
      <c r="E102" t="s">
        <v>2417</v>
      </c>
      <c r="F102">
        <v>726</v>
      </c>
    </row>
    <row r="103" spans="1:6">
      <c r="A103" t="s">
        <v>2468</v>
      </c>
      <c r="B103" t="s">
        <v>383</v>
      </c>
      <c r="C103" t="s">
        <v>2469</v>
      </c>
      <c r="D103" t="s">
        <v>2416</v>
      </c>
      <c r="E103" t="s">
        <v>2417</v>
      </c>
      <c r="F103">
        <v>724</v>
      </c>
    </row>
    <row r="104" spans="1:6">
      <c r="A104" t="s">
        <v>2476</v>
      </c>
      <c r="B104" t="s">
        <v>383</v>
      </c>
      <c r="C104" t="s">
        <v>2477</v>
      </c>
      <c r="D104" t="s">
        <v>2416</v>
      </c>
      <c r="E104" t="s">
        <v>2417</v>
      </c>
      <c r="F104">
        <v>718</v>
      </c>
    </row>
    <row r="105" spans="1:6">
      <c r="A105" t="s">
        <v>2566</v>
      </c>
      <c r="B105" t="s">
        <v>383</v>
      </c>
      <c r="C105" t="s">
        <v>2567</v>
      </c>
      <c r="D105" t="s">
        <v>2416</v>
      </c>
      <c r="E105" t="s">
        <v>2417</v>
      </c>
      <c r="F105">
        <v>696</v>
      </c>
    </row>
    <row r="106" spans="1:6">
      <c r="A106" t="s">
        <v>2534</v>
      </c>
      <c r="B106" t="s">
        <v>383</v>
      </c>
      <c r="C106" t="s">
        <v>2457</v>
      </c>
      <c r="D106" t="s">
        <v>2416</v>
      </c>
      <c r="E106" t="s">
        <v>2417</v>
      </c>
      <c r="F106">
        <v>692</v>
      </c>
    </row>
    <row r="107" spans="1:6">
      <c r="A107" t="s">
        <v>2461</v>
      </c>
      <c r="B107" t="s">
        <v>383</v>
      </c>
      <c r="C107" t="s">
        <v>2429</v>
      </c>
      <c r="D107" t="s">
        <v>2409</v>
      </c>
      <c r="E107" t="s">
        <v>2430</v>
      </c>
      <c r="F107">
        <v>678</v>
      </c>
    </row>
    <row r="108" spans="1:6">
      <c r="A108" t="s">
        <v>2720</v>
      </c>
      <c r="B108" t="s">
        <v>152</v>
      </c>
      <c r="C108" t="s">
        <v>2718</v>
      </c>
      <c r="D108" t="s">
        <v>2416</v>
      </c>
      <c r="E108" t="s">
        <v>2417</v>
      </c>
      <c r="F108">
        <v>676</v>
      </c>
    </row>
    <row r="109" spans="1:6">
      <c r="A109" t="s">
        <v>2519</v>
      </c>
      <c r="B109" t="s">
        <v>383</v>
      </c>
      <c r="C109" t="s">
        <v>2518</v>
      </c>
      <c r="D109" t="s">
        <v>2416</v>
      </c>
      <c r="E109" t="s">
        <v>2417</v>
      </c>
      <c r="F109">
        <v>672</v>
      </c>
    </row>
    <row r="110" spans="1:6">
      <c r="A110" t="s">
        <v>2418</v>
      </c>
      <c r="B110" t="s">
        <v>383</v>
      </c>
      <c r="C110" t="s">
        <v>2405</v>
      </c>
      <c r="D110" t="s">
        <v>2406</v>
      </c>
      <c r="E110" t="s">
        <v>2405</v>
      </c>
      <c r="F110">
        <v>632</v>
      </c>
    </row>
    <row r="111" spans="1:6">
      <c r="A111" t="s">
        <v>2581</v>
      </c>
      <c r="B111" t="s">
        <v>383</v>
      </c>
      <c r="C111" t="s">
        <v>2525</v>
      </c>
      <c r="D111" t="s">
        <v>2416</v>
      </c>
      <c r="E111" t="s">
        <v>2417</v>
      </c>
      <c r="F111">
        <v>630</v>
      </c>
    </row>
    <row r="112" spans="1:6">
      <c r="A112" t="s">
        <v>2652</v>
      </c>
      <c r="B112" t="s">
        <v>152</v>
      </c>
      <c r="C112" t="s">
        <v>2525</v>
      </c>
      <c r="D112" t="s">
        <v>2416</v>
      </c>
      <c r="E112" t="s">
        <v>2417</v>
      </c>
      <c r="F112">
        <v>630</v>
      </c>
    </row>
    <row r="113" spans="1:6">
      <c r="A113" t="s">
        <v>2676</v>
      </c>
      <c r="B113" t="s">
        <v>152</v>
      </c>
      <c r="C113" t="s">
        <v>2575</v>
      </c>
      <c r="D113" t="s">
        <v>2416</v>
      </c>
      <c r="E113" t="s">
        <v>2417</v>
      </c>
      <c r="F113">
        <v>598</v>
      </c>
    </row>
    <row r="114" spans="1:6">
      <c r="A114" t="s">
        <v>2616</v>
      </c>
      <c r="B114" t="s">
        <v>152</v>
      </c>
      <c r="C114" t="s">
        <v>2617</v>
      </c>
      <c r="D114" t="s">
        <v>2416</v>
      </c>
      <c r="E114" t="s">
        <v>2417</v>
      </c>
      <c r="F114">
        <v>586</v>
      </c>
    </row>
    <row r="115" spans="1:6">
      <c r="A115" t="s">
        <v>2590</v>
      </c>
      <c r="B115" t="s">
        <v>383</v>
      </c>
      <c r="C115" t="s">
        <v>2405</v>
      </c>
      <c r="D115" t="s">
        <v>2406</v>
      </c>
      <c r="E115" t="s">
        <v>2405</v>
      </c>
      <c r="F115">
        <v>569</v>
      </c>
    </row>
    <row r="116" spans="1:6">
      <c r="A116" t="s">
        <v>2667</v>
      </c>
      <c r="B116" t="s">
        <v>152</v>
      </c>
      <c r="C116" t="s">
        <v>2525</v>
      </c>
      <c r="D116" t="s">
        <v>2416</v>
      </c>
      <c r="E116" t="s">
        <v>2417</v>
      </c>
      <c r="F116">
        <v>568</v>
      </c>
    </row>
    <row r="117" spans="1:6">
      <c r="A117" t="s">
        <v>2699</v>
      </c>
      <c r="B117" t="s">
        <v>152</v>
      </c>
      <c r="C117" t="s">
        <v>2700</v>
      </c>
      <c r="D117" t="s">
        <v>2416</v>
      </c>
      <c r="E117" t="s">
        <v>2417</v>
      </c>
      <c r="F117">
        <v>560</v>
      </c>
    </row>
    <row r="118" spans="1:6">
      <c r="A118" t="s">
        <v>2534</v>
      </c>
      <c r="B118" t="s">
        <v>383</v>
      </c>
      <c r="C118" t="s">
        <v>2457</v>
      </c>
      <c r="D118" t="s">
        <v>2416</v>
      </c>
      <c r="E118" t="s">
        <v>2417</v>
      </c>
      <c r="F118">
        <v>558</v>
      </c>
    </row>
    <row r="119" spans="1:6">
      <c r="A119" t="s">
        <v>2520</v>
      </c>
      <c r="B119" t="s">
        <v>383</v>
      </c>
      <c r="C119" t="s">
        <v>2521</v>
      </c>
      <c r="D119" t="s">
        <v>2416</v>
      </c>
      <c r="E119" t="s">
        <v>2417</v>
      </c>
      <c r="F119">
        <v>556</v>
      </c>
    </row>
    <row r="120" spans="1:6">
      <c r="A120" t="s">
        <v>2651</v>
      </c>
      <c r="B120" t="s">
        <v>152</v>
      </c>
      <c r="C120" t="s">
        <v>2518</v>
      </c>
      <c r="D120" t="s">
        <v>2416</v>
      </c>
      <c r="E120" t="s">
        <v>2417</v>
      </c>
      <c r="F120">
        <v>506</v>
      </c>
    </row>
    <row r="121" spans="1:6">
      <c r="A121" t="s">
        <v>2705</v>
      </c>
      <c r="B121" t="s">
        <v>152</v>
      </c>
      <c r="C121" t="s">
        <v>2530</v>
      </c>
      <c r="D121" t="s">
        <v>2416</v>
      </c>
      <c r="E121" t="s">
        <v>2417</v>
      </c>
      <c r="F121">
        <v>502</v>
      </c>
    </row>
    <row r="122" spans="1:6">
      <c r="A122" t="s">
        <v>2720</v>
      </c>
      <c r="B122" t="s">
        <v>152</v>
      </c>
      <c r="C122" t="s">
        <v>2718</v>
      </c>
      <c r="D122" t="s">
        <v>2416</v>
      </c>
      <c r="E122" t="s">
        <v>2417</v>
      </c>
      <c r="F122">
        <v>488</v>
      </c>
    </row>
    <row r="123" spans="1:6">
      <c r="A123" t="s">
        <v>2710</v>
      </c>
      <c r="B123" t="s">
        <v>152</v>
      </c>
      <c r="C123" t="s">
        <v>2709</v>
      </c>
      <c r="D123" t="s">
        <v>2416</v>
      </c>
      <c r="E123" t="s">
        <v>2417</v>
      </c>
      <c r="F123">
        <v>476</v>
      </c>
    </row>
    <row r="124" spans="1:6">
      <c r="A124" t="s">
        <v>2704</v>
      </c>
      <c r="B124" t="s">
        <v>152</v>
      </c>
      <c r="C124" t="s">
        <v>2405</v>
      </c>
      <c r="D124" t="s">
        <v>2406</v>
      </c>
      <c r="E124" t="s">
        <v>2405</v>
      </c>
      <c r="F124">
        <v>403</v>
      </c>
    </row>
    <row r="125" spans="1:6">
      <c r="A125" t="s">
        <v>2526</v>
      </c>
      <c r="B125" t="s">
        <v>383</v>
      </c>
      <c r="C125" t="s">
        <v>2525</v>
      </c>
      <c r="D125" t="s">
        <v>2416</v>
      </c>
      <c r="E125" t="s">
        <v>2417</v>
      </c>
      <c r="F125">
        <v>394</v>
      </c>
    </row>
    <row r="126" spans="1:6">
      <c r="A126" t="s">
        <v>2574</v>
      </c>
      <c r="B126" t="s">
        <v>383</v>
      </c>
      <c r="C126" t="s">
        <v>2575</v>
      </c>
      <c r="D126" t="s">
        <v>2416</v>
      </c>
      <c r="E126" t="s">
        <v>2417</v>
      </c>
      <c r="F126">
        <v>368</v>
      </c>
    </row>
    <row r="127" spans="1:6">
      <c r="A127" t="s">
        <v>2465</v>
      </c>
      <c r="B127" t="s">
        <v>383</v>
      </c>
      <c r="C127" t="s">
        <v>2466</v>
      </c>
      <c r="D127" t="s">
        <v>2416</v>
      </c>
      <c r="E127" t="s">
        <v>2417</v>
      </c>
      <c r="F127">
        <v>362</v>
      </c>
    </row>
    <row r="128" spans="1:6">
      <c r="A128" t="s">
        <v>2475</v>
      </c>
      <c r="B128" t="s">
        <v>383</v>
      </c>
      <c r="C128" t="s">
        <v>2466</v>
      </c>
      <c r="D128" t="s">
        <v>2416</v>
      </c>
      <c r="E128" t="s">
        <v>2417</v>
      </c>
      <c r="F128">
        <v>360</v>
      </c>
    </row>
    <row r="129" spans="1:6">
      <c r="A129" t="s">
        <v>2646</v>
      </c>
      <c r="B129" t="s">
        <v>152</v>
      </c>
      <c r="C129" t="s">
        <v>2211</v>
      </c>
      <c r="D129" t="s">
        <v>2416</v>
      </c>
      <c r="E129" t="s">
        <v>2417</v>
      </c>
      <c r="F129">
        <v>350</v>
      </c>
    </row>
    <row r="130" spans="1:6">
      <c r="A130" t="s">
        <v>2695</v>
      </c>
      <c r="B130" t="s">
        <v>152</v>
      </c>
      <c r="C130" t="s">
        <v>2696</v>
      </c>
      <c r="D130" t="s">
        <v>2416</v>
      </c>
      <c r="E130" t="s">
        <v>2417</v>
      </c>
      <c r="F130">
        <v>336</v>
      </c>
    </row>
    <row r="131" spans="1:6">
      <c r="A131" t="s">
        <v>2543</v>
      </c>
      <c r="B131" t="s">
        <v>383</v>
      </c>
      <c r="C131" t="s">
        <v>2544</v>
      </c>
      <c r="D131" t="s">
        <v>2416</v>
      </c>
      <c r="E131" t="s">
        <v>2417</v>
      </c>
      <c r="F131">
        <v>336</v>
      </c>
    </row>
    <row r="132" spans="1:6">
      <c r="A132" t="s">
        <v>2611</v>
      </c>
      <c r="B132" t="s">
        <v>152</v>
      </c>
      <c r="C132" t="s">
        <v>2530</v>
      </c>
      <c r="D132" t="s">
        <v>2416</v>
      </c>
      <c r="E132" t="s">
        <v>2417</v>
      </c>
      <c r="F132">
        <v>320</v>
      </c>
    </row>
    <row r="133" spans="1:6">
      <c r="A133" t="s">
        <v>2691</v>
      </c>
      <c r="B133" t="s">
        <v>152</v>
      </c>
      <c r="C133" t="s">
        <v>2518</v>
      </c>
      <c r="D133" t="s">
        <v>2416</v>
      </c>
      <c r="E133" t="s">
        <v>2417</v>
      </c>
      <c r="F133">
        <v>308</v>
      </c>
    </row>
    <row r="134" spans="1:6">
      <c r="A134" t="s">
        <v>2529</v>
      </c>
      <c r="B134" t="s">
        <v>383</v>
      </c>
      <c r="C134" t="s">
        <v>2530</v>
      </c>
      <c r="D134" t="s">
        <v>2416</v>
      </c>
      <c r="E134" t="s">
        <v>2417</v>
      </c>
      <c r="F134">
        <v>296</v>
      </c>
    </row>
    <row r="135" spans="1:6">
      <c r="A135" t="s">
        <v>2683</v>
      </c>
      <c r="B135" t="s">
        <v>152</v>
      </c>
      <c r="C135" t="s">
        <v>2684</v>
      </c>
      <c r="D135" t="s">
        <v>2416</v>
      </c>
      <c r="E135" t="s">
        <v>2417</v>
      </c>
      <c r="F135">
        <v>288</v>
      </c>
    </row>
    <row r="136" spans="1:6">
      <c r="A136" t="s">
        <v>2698</v>
      </c>
      <c r="B136" t="s">
        <v>152</v>
      </c>
      <c r="C136" t="s">
        <v>2466</v>
      </c>
      <c r="D136" t="s">
        <v>2416</v>
      </c>
      <c r="E136" t="s">
        <v>2417</v>
      </c>
      <c r="F136">
        <v>280</v>
      </c>
    </row>
    <row r="137" spans="1:6">
      <c r="A137" t="s">
        <v>2456</v>
      </c>
      <c r="B137" t="s">
        <v>383</v>
      </c>
      <c r="C137" t="s">
        <v>2457</v>
      </c>
      <c r="D137" t="s">
        <v>2416</v>
      </c>
      <c r="E137" t="s">
        <v>2417</v>
      </c>
      <c r="F137">
        <v>278</v>
      </c>
    </row>
    <row r="138" spans="1:6">
      <c r="A138" t="s">
        <v>2510</v>
      </c>
      <c r="B138" t="s">
        <v>383</v>
      </c>
      <c r="C138" t="s">
        <v>2480</v>
      </c>
      <c r="D138" t="s">
        <v>2409</v>
      </c>
      <c r="E138" t="s">
        <v>2430</v>
      </c>
      <c r="F138">
        <v>276</v>
      </c>
    </row>
    <row r="139" spans="1:6">
      <c r="A139" t="s">
        <v>2687</v>
      </c>
      <c r="B139" t="s">
        <v>152</v>
      </c>
      <c r="C139" t="s">
        <v>2688</v>
      </c>
      <c r="D139" t="s">
        <v>2416</v>
      </c>
      <c r="E139" t="s">
        <v>2417</v>
      </c>
      <c r="F139">
        <v>276</v>
      </c>
    </row>
    <row r="140" spans="1:6">
      <c r="A140" t="s">
        <v>2504</v>
      </c>
      <c r="B140" t="s">
        <v>383</v>
      </c>
      <c r="C140" t="s">
        <v>2505</v>
      </c>
      <c r="D140" t="s">
        <v>2506</v>
      </c>
      <c r="E140" t="s">
        <v>2424</v>
      </c>
      <c r="F140">
        <v>276</v>
      </c>
    </row>
    <row r="141" spans="1:6">
      <c r="A141" t="s">
        <v>2538</v>
      </c>
      <c r="B141" t="s">
        <v>383</v>
      </c>
      <c r="C141" t="s">
        <v>2539</v>
      </c>
      <c r="D141" t="s">
        <v>2416</v>
      </c>
      <c r="E141" t="s">
        <v>2417</v>
      </c>
      <c r="F141">
        <v>274</v>
      </c>
    </row>
    <row r="142" spans="1:6">
      <c r="A142" t="s">
        <v>2645</v>
      </c>
      <c r="B142" t="s">
        <v>152</v>
      </c>
      <c r="C142" t="s">
        <v>2643</v>
      </c>
      <c r="D142" t="s">
        <v>2416</v>
      </c>
      <c r="E142" t="s">
        <v>2417</v>
      </c>
      <c r="F142">
        <v>270</v>
      </c>
    </row>
    <row r="143" spans="1:6">
      <c r="A143" t="s">
        <v>2648</v>
      </c>
      <c r="B143" t="s">
        <v>152</v>
      </c>
      <c r="C143" t="s">
        <v>2530</v>
      </c>
      <c r="D143" t="s">
        <v>2416</v>
      </c>
      <c r="E143" t="s">
        <v>2417</v>
      </c>
      <c r="F143">
        <v>262</v>
      </c>
    </row>
    <row r="144" spans="1:6">
      <c r="A144" t="s">
        <v>2661</v>
      </c>
      <c r="B144" t="s">
        <v>152</v>
      </c>
      <c r="C144" t="s">
        <v>2624</v>
      </c>
      <c r="D144" t="s">
        <v>2416</v>
      </c>
      <c r="E144" t="s">
        <v>2417</v>
      </c>
      <c r="F144">
        <v>260</v>
      </c>
    </row>
    <row r="145" spans="1:6">
      <c r="A145" t="s">
        <v>2410</v>
      </c>
      <c r="B145" t="s">
        <v>383</v>
      </c>
      <c r="C145" t="s">
        <v>2411</v>
      </c>
      <c r="D145" t="s">
        <v>2412</v>
      </c>
      <c r="E145" t="s">
        <v>2413</v>
      </c>
      <c r="F145">
        <v>250</v>
      </c>
    </row>
    <row r="146" spans="1:6">
      <c r="A146" t="s">
        <v>2490</v>
      </c>
      <c r="B146" t="s">
        <v>383</v>
      </c>
      <c r="C146" t="s">
        <v>2411</v>
      </c>
      <c r="D146" t="s">
        <v>2412</v>
      </c>
      <c r="E146" t="s">
        <v>2413</v>
      </c>
      <c r="F146">
        <v>250</v>
      </c>
    </row>
    <row r="147" spans="1:6">
      <c r="A147" t="s">
        <v>2559</v>
      </c>
      <c r="B147" t="s">
        <v>383</v>
      </c>
      <c r="C147" t="s">
        <v>2411</v>
      </c>
      <c r="D147" t="s">
        <v>2412</v>
      </c>
      <c r="E147" t="s">
        <v>2413</v>
      </c>
      <c r="F147">
        <v>250</v>
      </c>
    </row>
    <row r="148" spans="1:6">
      <c r="A148" t="s">
        <v>2568</v>
      </c>
      <c r="B148" t="s">
        <v>383</v>
      </c>
      <c r="C148" t="s">
        <v>2411</v>
      </c>
      <c r="D148" t="s">
        <v>2412</v>
      </c>
      <c r="E148" t="s">
        <v>2413</v>
      </c>
      <c r="F148">
        <v>250</v>
      </c>
    </row>
    <row r="149" spans="1:6">
      <c r="A149" t="s">
        <v>2713</v>
      </c>
      <c r="B149" t="s">
        <v>152</v>
      </c>
      <c r="C149" t="s">
        <v>2525</v>
      </c>
      <c r="D149" t="s">
        <v>2416</v>
      </c>
      <c r="E149" t="s">
        <v>2417</v>
      </c>
      <c r="F149">
        <v>246</v>
      </c>
    </row>
    <row r="150" spans="1:6">
      <c r="A150" t="s">
        <v>2612</v>
      </c>
      <c r="B150" t="s">
        <v>152</v>
      </c>
      <c r="C150" t="s">
        <v>2613</v>
      </c>
      <c r="D150" t="s">
        <v>2416</v>
      </c>
      <c r="E150" t="s">
        <v>2417</v>
      </c>
      <c r="F150">
        <v>246</v>
      </c>
    </row>
    <row r="151" spans="1:6">
      <c r="A151" t="s">
        <v>2681</v>
      </c>
      <c r="B151" t="s">
        <v>152</v>
      </c>
      <c r="C151" t="s">
        <v>2682</v>
      </c>
      <c r="D151" t="s">
        <v>2416</v>
      </c>
      <c r="E151" t="s">
        <v>2417</v>
      </c>
      <c r="F151">
        <v>234</v>
      </c>
    </row>
    <row r="152" spans="1:6">
      <c r="A152" t="s">
        <v>2653</v>
      </c>
      <c r="B152" t="s">
        <v>152</v>
      </c>
      <c r="C152" t="s">
        <v>2525</v>
      </c>
      <c r="D152" t="s">
        <v>2416</v>
      </c>
      <c r="E152" t="s">
        <v>2417</v>
      </c>
      <c r="F152">
        <v>222</v>
      </c>
    </row>
    <row r="153" spans="1:6">
      <c r="A153" t="s">
        <v>2647</v>
      </c>
      <c r="B153" t="s">
        <v>152</v>
      </c>
      <c r="C153" t="s">
        <v>2630</v>
      </c>
      <c r="D153" t="s">
        <v>2416</v>
      </c>
      <c r="E153" t="s">
        <v>2417</v>
      </c>
      <c r="F153">
        <v>214</v>
      </c>
    </row>
    <row r="154" spans="1:6">
      <c r="A154" t="s">
        <v>2642</v>
      </c>
      <c r="B154" t="s">
        <v>152</v>
      </c>
      <c r="C154" t="s">
        <v>2643</v>
      </c>
      <c r="D154" t="s">
        <v>2416</v>
      </c>
      <c r="E154" t="s">
        <v>2417</v>
      </c>
      <c r="F154">
        <v>196</v>
      </c>
    </row>
    <row r="155" spans="1:6">
      <c r="A155" t="s">
        <v>2714</v>
      </c>
      <c r="B155" t="s">
        <v>152</v>
      </c>
      <c r="C155" t="s">
        <v>2530</v>
      </c>
      <c r="D155" t="s">
        <v>2416</v>
      </c>
      <c r="E155" t="s">
        <v>2417</v>
      </c>
      <c r="F155">
        <v>194</v>
      </c>
    </row>
    <row r="156" spans="1:6">
      <c r="A156" t="s">
        <v>2707</v>
      </c>
      <c r="B156" t="s">
        <v>152</v>
      </c>
      <c r="C156" t="s">
        <v>2552</v>
      </c>
      <c r="D156" t="s">
        <v>2416</v>
      </c>
      <c r="E156" t="s">
        <v>2417</v>
      </c>
      <c r="F156">
        <v>194</v>
      </c>
    </row>
    <row r="157" spans="1:6">
      <c r="A157" t="s">
        <v>2458</v>
      </c>
      <c r="B157" t="s">
        <v>383</v>
      </c>
      <c r="C157" t="s">
        <v>2457</v>
      </c>
      <c r="D157" t="s">
        <v>2416</v>
      </c>
      <c r="E157" t="s">
        <v>2417</v>
      </c>
      <c r="F157">
        <v>186</v>
      </c>
    </row>
    <row r="158" spans="1:6">
      <c r="A158" t="s">
        <v>2639</v>
      </c>
      <c r="B158" t="s">
        <v>152</v>
      </c>
      <c r="C158" t="s">
        <v>2544</v>
      </c>
      <c r="D158" t="s">
        <v>2416</v>
      </c>
      <c r="E158" t="s">
        <v>2417</v>
      </c>
      <c r="F158">
        <v>166</v>
      </c>
    </row>
    <row r="159" spans="1:6">
      <c r="A159" t="s">
        <v>2463</v>
      </c>
      <c r="B159" t="s">
        <v>383</v>
      </c>
      <c r="C159" t="s">
        <v>2429</v>
      </c>
      <c r="D159" t="s">
        <v>2409</v>
      </c>
      <c r="E159" t="s">
        <v>2430</v>
      </c>
      <c r="F159">
        <v>160</v>
      </c>
    </row>
    <row r="160" spans="1:6">
      <c r="A160" t="s">
        <v>2443</v>
      </c>
      <c r="B160" t="s">
        <v>383</v>
      </c>
      <c r="C160" t="s">
        <v>2444</v>
      </c>
      <c r="D160" t="s">
        <v>2416</v>
      </c>
      <c r="E160" t="s">
        <v>2417</v>
      </c>
      <c r="F160">
        <v>154</v>
      </c>
    </row>
    <row r="161" spans="1:6">
      <c r="A161" t="s">
        <v>2690</v>
      </c>
      <c r="B161" t="s">
        <v>152</v>
      </c>
      <c r="C161" t="s">
        <v>2466</v>
      </c>
      <c r="D161" t="s">
        <v>2416</v>
      </c>
      <c r="E161" t="s">
        <v>2417</v>
      </c>
      <c r="F161">
        <v>154</v>
      </c>
    </row>
    <row r="162" spans="1:6">
      <c r="A162" t="s">
        <v>2593</v>
      </c>
      <c r="B162" t="s">
        <v>383</v>
      </c>
      <c r="C162" t="s">
        <v>2541</v>
      </c>
      <c r="D162" t="s">
        <v>2409</v>
      </c>
      <c r="E162" t="s">
        <v>2430</v>
      </c>
      <c r="F162">
        <v>153</v>
      </c>
    </row>
    <row r="163" spans="1:6">
      <c r="A163" t="s">
        <v>2635</v>
      </c>
      <c r="B163" t="s">
        <v>152</v>
      </c>
      <c r="C163" t="s">
        <v>2544</v>
      </c>
      <c r="D163" t="s">
        <v>2416</v>
      </c>
      <c r="E163" t="s">
        <v>2417</v>
      </c>
      <c r="F163">
        <v>150</v>
      </c>
    </row>
    <row r="164" spans="1:6">
      <c r="A164" t="s">
        <v>2663</v>
      </c>
      <c r="B164" t="s">
        <v>152</v>
      </c>
      <c r="C164" t="s">
        <v>2664</v>
      </c>
      <c r="D164" t="s">
        <v>2416</v>
      </c>
      <c r="E164" t="s">
        <v>2417</v>
      </c>
      <c r="F164">
        <v>148</v>
      </c>
    </row>
    <row r="165" spans="1:6">
      <c r="A165" t="s">
        <v>2548</v>
      </c>
      <c r="B165" t="s">
        <v>383</v>
      </c>
      <c r="C165" t="s">
        <v>2530</v>
      </c>
      <c r="D165" t="s">
        <v>2416</v>
      </c>
      <c r="E165" t="s">
        <v>2417</v>
      </c>
      <c r="F165">
        <v>146</v>
      </c>
    </row>
    <row r="166" spans="1:6">
      <c r="A166" t="s">
        <v>2485</v>
      </c>
      <c r="B166" t="s">
        <v>383</v>
      </c>
      <c r="C166" t="s">
        <v>2488</v>
      </c>
      <c r="D166" t="s">
        <v>2489</v>
      </c>
      <c r="E166" t="s">
        <v>2424</v>
      </c>
      <c r="F166">
        <v>139</v>
      </c>
    </row>
    <row r="167" spans="1:6">
      <c r="A167" t="s">
        <v>2685</v>
      </c>
      <c r="B167" t="s">
        <v>152</v>
      </c>
      <c r="C167" t="s">
        <v>2686</v>
      </c>
      <c r="D167" t="s">
        <v>2416</v>
      </c>
      <c r="E167" t="s">
        <v>2417</v>
      </c>
      <c r="F167">
        <v>138</v>
      </c>
    </row>
    <row r="168" spans="1:6">
      <c r="A168" t="s">
        <v>2671</v>
      </c>
      <c r="B168" t="s">
        <v>152</v>
      </c>
      <c r="C168" t="s">
        <v>2672</v>
      </c>
      <c r="D168" t="s">
        <v>2673</v>
      </c>
      <c r="E168" t="s">
        <v>2424</v>
      </c>
      <c r="F168">
        <v>137</v>
      </c>
    </row>
    <row r="169" spans="1:6">
      <c r="A169" t="s">
        <v>2702</v>
      </c>
      <c r="B169" t="s">
        <v>152</v>
      </c>
      <c r="C169" t="s">
        <v>2669</v>
      </c>
      <c r="D169" t="s">
        <v>2416</v>
      </c>
      <c r="E169" t="s">
        <v>2417</v>
      </c>
      <c r="F169">
        <v>128</v>
      </c>
    </row>
    <row r="170" spans="1:6">
      <c r="A170" t="s">
        <v>2549</v>
      </c>
      <c r="B170" t="s">
        <v>383</v>
      </c>
      <c r="C170" t="s">
        <v>2550</v>
      </c>
      <c r="D170" t="s">
        <v>2416</v>
      </c>
      <c r="E170" t="s">
        <v>2417</v>
      </c>
      <c r="F170">
        <v>126</v>
      </c>
    </row>
    <row r="171" spans="1:6">
      <c r="A171" t="s">
        <v>2565</v>
      </c>
      <c r="B171" t="s">
        <v>383</v>
      </c>
      <c r="C171" t="s">
        <v>2457</v>
      </c>
      <c r="D171" t="s">
        <v>2416</v>
      </c>
      <c r="E171" t="s">
        <v>2417</v>
      </c>
      <c r="F171">
        <v>116</v>
      </c>
    </row>
    <row r="172" spans="1:6">
      <c r="A172" t="s">
        <v>2662</v>
      </c>
      <c r="B172" t="s">
        <v>152</v>
      </c>
      <c r="C172" t="s">
        <v>2530</v>
      </c>
      <c r="D172" t="s">
        <v>2416</v>
      </c>
      <c r="E172" t="s">
        <v>2417</v>
      </c>
      <c r="F172">
        <v>110</v>
      </c>
    </row>
    <row r="173" spans="1:6">
      <c r="A173" t="s">
        <v>2677</v>
      </c>
      <c r="B173" t="s">
        <v>152</v>
      </c>
      <c r="C173" t="s">
        <v>2643</v>
      </c>
      <c r="D173" t="s">
        <v>2416</v>
      </c>
      <c r="E173" t="s">
        <v>2417</v>
      </c>
      <c r="F173">
        <v>108</v>
      </c>
    </row>
    <row r="174" spans="1:6">
      <c r="A174" t="s">
        <v>2670</v>
      </c>
      <c r="B174" t="s">
        <v>152</v>
      </c>
      <c r="C174" t="s">
        <v>2669</v>
      </c>
      <c r="D174" t="s">
        <v>2416</v>
      </c>
      <c r="E174" t="s">
        <v>2417</v>
      </c>
      <c r="F174">
        <v>108</v>
      </c>
    </row>
    <row r="175" spans="1:6">
      <c r="A175" t="s">
        <v>2551</v>
      </c>
      <c r="B175" t="s">
        <v>383</v>
      </c>
      <c r="C175" t="s">
        <v>2552</v>
      </c>
      <c r="D175" t="s">
        <v>2416</v>
      </c>
      <c r="E175" t="s">
        <v>2417</v>
      </c>
      <c r="F175">
        <v>106</v>
      </c>
    </row>
    <row r="176" spans="1:6">
      <c r="A176" t="s">
        <v>2674</v>
      </c>
      <c r="B176" t="s">
        <v>152</v>
      </c>
      <c r="C176" t="s">
        <v>2675</v>
      </c>
      <c r="D176" t="s">
        <v>2416</v>
      </c>
      <c r="E176" t="s">
        <v>2417</v>
      </c>
      <c r="F176">
        <v>106</v>
      </c>
    </row>
    <row r="177" spans="1:6">
      <c r="A177" t="s">
        <v>2625</v>
      </c>
      <c r="B177" t="s">
        <v>152</v>
      </c>
      <c r="C177" t="s">
        <v>2624</v>
      </c>
      <c r="D177" t="s">
        <v>2416</v>
      </c>
      <c r="E177" t="s">
        <v>2417</v>
      </c>
      <c r="F177">
        <v>104</v>
      </c>
    </row>
    <row r="178" spans="1:6">
      <c r="A178" t="s">
        <v>2678</v>
      </c>
      <c r="B178" t="s">
        <v>152</v>
      </c>
      <c r="C178" t="s">
        <v>2679</v>
      </c>
      <c r="D178" t="s">
        <v>2416</v>
      </c>
      <c r="E178" t="s">
        <v>2417</v>
      </c>
      <c r="F178">
        <v>100</v>
      </c>
    </row>
    <row r="179" spans="1:6">
      <c r="A179" t="s">
        <v>2454</v>
      </c>
      <c r="B179" t="s">
        <v>383</v>
      </c>
      <c r="C179" t="s">
        <v>2455</v>
      </c>
      <c r="D179" t="s">
        <v>2416</v>
      </c>
      <c r="E179" t="s">
        <v>2417</v>
      </c>
      <c r="F179">
        <v>100</v>
      </c>
    </row>
    <row r="180" spans="1:6">
      <c r="A180" t="s">
        <v>2608</v>
      </c>
      <c r="B180" t="s">
        <v>152</v>
      </c>
      <c r="C180" t="s">
        <v>2609</v>
      </c>
      <c r="D180" t="s">
        <v>2416</v>
      </c>
      <c r="E180" t="s">
        <v>2417</v>
      </c>
      <c r="F180">
        <v>96</v>
      </c>
    </row>
    <row r="181" spans="1:6">
      <c r="A181" t="s">
        <v>2555</v>
      </c>
      <c r="B181" t="s">
        <v>383</v>
      </c>
      <c r="C181" t="s">
        <v>2552</v>
      </c>
      <c r="D181" t="s">
        <v>2416</v>
      </c>
      <c r="E181" t="s">
        <v>2417</v>
      </c>
      <c r="F181">
        <v>94</v>
      </c>
    </row>
    <row r="182" spans="1:6">
      <c r="A182" t="s">
        <v>2626</v>
      </c>
      <c r="B182" t="s">
        <v>152</v>
      </c>
      <c r="C182" t="s">
        <v>2622</v>
      </c>
      <c r="D182" t="s">
        <v>2416</v>
      </c>
      <c r="E182" t="s">
        <v>2417</v>
      </c>
      <c r="F182">
        <v>90</v>
      </c>
    </row>
    <row r="183" spans="1:6">
      <c r="A183" t="s">
        <v>2614</v>
      </c>
      <c r="B183" t="s">
        <v>152</v>
      </c>
      <c r="C183" t="s">
        <v>2429</v>
      </c>
      <c r="D183" t="s">
        <v>2409</v>
      </c>
      <c r="E183" t="s">
        <v>2430</v>
      </c>
      <c r="F183">
        <v>84</v>
      </c>
    </row>
    <row r="184" spans="1:6">
      <c r="A184" t="s">
        <v>2428</v>
      </c>
      <c r="B184" t="s">
        <v>383</v>
      </c>
      <c r="C184" t="s">
        <v>2429</v>
      </c>
      <c r="D184" t="s">
        <v>2409</v>
      </c>
      <c r="E184" t="s">
        <v>2430</v>
      </c>
      <c r="F184">
        <v>80</v>
      </c>
    </row>
    <row r="185" spans="1:6">
      <c r="A185" t="s">
        <v>2621</v>
      </c>
      <c r="B185" t="s">
        <v>152</v>
      </c>
      <c r="C185" t="s">
        <v>2622</v>
      </c>
      <c r="D185" t="s">
        <v>2416</v>
      </c>
      <c r="E185" t="s">
        <v>2417</v>
      </c>
      <c r="F185">
        <v>80</v>
      </c>
    </row>
    <row r="186" spans="1:6">
      <c r="A186" t="s">
        <v>2619</v>
      </c>
      <c r="B186" t="s">
        <v>152</v>
      </c>
      <c r="C186" t="s">
        <v>1645</v>
      </c>
      <c r="D186" t="s">
        <v>2416</v>
      </c>
      <c r="E186" t="s">
        <v>2417</v>
      </c>
      <c r="F186">
        <v>80</v>
      </c>
    </row>
    <row r="187" spans="1:6">
      <c r="A187" t="s">
        <v>2708</v>
      </c>
      <c r="B187" t="s">
        <v>152</v>
      </c>
      <c r="C187" t="s">
        <v>2709</v>
      </c>
      <c r="D187" t="s">
        <v>2416</v>
      </c>
      <c r="E187" t="s">
        <v>2417</v>
      </c>
      <c r="F187">
        <v>68</v>
      </c>
    </row>
    <row r="188" spans="1:6">
      <c r="A188" t="s">
        <v>2657</v>
      </c>
      <c r="B188" t="s">
        <v>152</v>
      </c>
      <c r="C188" t="s">
        <v>2658</v>
      </c>
      <c r="D188" t="s">
        <v>2416</v>
      </c>
      <c r="E188" t="s">
        <v>2417</v>
      </c>
      <c r="F188">
        <v>68</v>
      </c>
    </row>
    <row r="189" spans="1:6">
      <c r="A189" t="s">
        <v>2716</v>
      </c>
      <c r="B189" t="s">
        <v>152</v>
      </c>
      <c r="C189" t="s">
        <v>2530</v>
      </c>
      <c r="D189" t="s">
        <v>2416</v>
      </c>
      <c r="E189" t="s">
        <v>2417</v>
      </c>
      <c r="F189">
        <v>66</v>
      </c>
    </row>
    <row r="190" spans="1:6">
      <c r="A190" t="s">
        <v>2701</v>
      </c>
      <c r="B190" t="s">
        <v>152</v>
      </c>
      <c r="C190" t="s">
        <v>2466</v>
      </c>
      <c r="D190" t="s">
        <v>2416</v>
      </c>
      <c r="E190" t="s">
        <v>2417</v>
      </c>
      <c r="F190">
        <v>64</v>
      </c>
    </row>
    <row r="191" spans="1:6">
      <c r="A191" t="s">
        <v>2644</v>
      </c>
      <c r="B191" t="s">
        <v>152</v>
      </c>
      <c r="C191" t="s">
        <v>2457</v>
      </c>
      <c r="D191" t="s">
        <v>2416</v>
      </c>
      <c r="E191" t="s">
        <v>2417</v>
      </c>
      <c r="F191">
        <v>60</v>
      </c>
    </row>
    <row r="192" spans="1:6">
      <c r="A192" t="s">
        <v>2650</v>
      </c>
      <c r="B192" t="s">
        <v>152</v>
      </c>
      <c r="C192" t="s">
        <v>2466</v>
      </c>
      <c r="D192" t="s">
        <v>2416</v>
      </c>
      <c r="E192" t="s">
        <v>2417</v>
      </c>
      <c r="F192">
        <v>54</v>
      </c>
    </row>
    <row r="193" spans="1:6">
      <c r="A193" t="s">
        <v>2634</v>
      </c>
      <c r="B193" t="s">
        <v>152</v>
      </c>
      <c r="C193" t="s">
        <v>2518</v>
      </c>
      <c r="D193" t="s">
        <v>2416</v>
      </c>
      <c r="E193" t="s">
        <v>2417</v>
      </c>
      <c r="F193">
        <v>52</v>
      </c>
    </row>
    <row r="194" spans="1:6">
      <c r="A194" t="s">
        <v>2632</v>
      </c>
      <c r="B194" t="s">
        <v>152</v>
      </c>
      <c r="C194" t="s">
        <v>2466</v>
      </c>
      <c r="D194" t="s">
        <v>2416</v>
      </c>
      <c r="E194" t="s">
        <v>2417</v>
      </c>
      <c r="F194">
        <v>26</v>
      </c>
    </row>
    <row r="195" spans="1:6">
      <c r="A195" t="s">
        <v>2467</v>
      </c>
      <c r="B195" t="s">
        <v>383</v>
      </c>
      <c r="C195" t="s">
        <v>2429</v>
      </c>
      <c r="D195" t="s">
        <v>2409</v>
      </c>
      <c r="E195" t="s">
        <v>2430</v>
      </c>
      <c r="F195">
        <v>19</v>
      </c>
    </row>
    <row r="196" spans="1:6">
      <c r="A196" t="s">
        <v>2610</v>
      </c>
      <c r="B196" t="s">
        <v>152</v>
      </c>
      <c r="C196" t="s">
        <v>2609</v>
      </c>
      <c r="D196" t="s">
        <v>2416</v>
      </c>
      <c r="E196" t="s">
        <v>2417</v>
      </c>
      <c r="F196">
        <v>18</v>
      </c>
    </row>
    <row r="197" spans="1:6">
      <c r="A197" t="s">
        <v>2441</v>
      </c>
      <c r="B197" t="s">
        <v>383</v>
      </c>
      <c r="C197" t="s">
        <v>2429</v>
      </c>
      <c r="D197" t="s">
        <v>2409</v>
      </c>
      <c r="E197" t="s">
        <v>2430</v>
      </c>
      <c r="F197">
        <v>15</v>
      </c>
    </row>
    <row r="198" spans="1:6">
      <c r="A198" t="s">
        <v>2693</v>
      </c>
      <c r="B198" t="s">
        <v>152</v>
      </c>
      <c r="C198" t="s">
        <v>2694</v>
      </c>
      <c r="D198" t="s">
        <v>2416</v>
      </c>
      <c r="E198" t="s">
        <v>2417</v>
      </c>
      <c r="F198">
        <v>14</v>
      </c>
    </row>
    <row r="199" spans="1:6">
      <c r="A199" t="s">
        <v>2446</v>
      </c>
      <c r="B199" t="s">
        <v>383</v>
      </c>
      <c r="C199" t="s">
        <v>2429</v>
      </c>
      <c r="D199" t="s">
        <v>2409</v>
      </c>
      <c r="E199" t="s">
        <v>2430</v>
      </c>
      <c r="F199">
        <v>8</v>
      </c>
    </row>
    <row r="200" spans="1:6">
      <c r="A200" t="s">
        <v>2692</v>
      </c>
      <c r="B200" t="s">
        <v>152</v>
      </c>
      <c r="C200" t="s">
        <v>2686</v>
      </c>
      <c r="D200" t="s">
        <v>2416</v>
      </c>
      <c r="E200" t="s">
        <v>2417</v>
      </c>
      <c r="F200">
        <v>8</v>
      </c>
    </row>
    <row r="201" spans="1:6">
      <c r="A201" t="s">
        <v>2426</v>
      </c>
      <c r="B201" t="s">
        <v>383</v>
      </c>
      <c r="C201" t="s">
        <v>2427</v>
      </c>
      <c r="D201" t="s">
        <v>2409</v>
      </c>
      <c r="E201" t="s">
        <v>2424</v>
      </c>
      <c r="F201">
        <v>0</v>
      </c>
    </row>
    <row r="202" spans="1:6">
      <c r="A202" t="s">
        <v>2636</v>
      </c>
      <c r="B202" t="s">
        <v>152</v>
      </c>
      <c r="C202" t="s">
        <v>2427</v>
      </c>
      <c r="D202" t="s">
        <v>2409</v>
      </c>
      <c r="E202" t="s">
        <v>2424</v>
      </c>
      <c r="F202">
        <v>0</v>
      </c>
    </row>
    <row r="203" spans="1:6">
      <c r="A203" t="s">
        <v>2545</v>
      </c>
      <c r="B203" t="s">
        <v>383</v>
      </c>
      <c r="C203" t="s">
        <v>2546</v>
      </c>
      <c r="D203" t="s">
        <v>2409</v>
      </c>
      <c r="E203" t="s">
        <v>2430</v>
      </c>
      <c r="F203">
        <v>0</v>
      </c>
    </row>
    <row r="204" spans="1:6">
      <c r="A204" t="s">
        <v>2726</v>
      </c>
      <c r="B204" t="s">
        <v>152</v>
      </c>
      <c r="C204" t="s">
        <v>2727</v>
      </c>
      <c r="D204" t="s">
        <v>2508</v>
      </c>
      <c r="E204" t="s">
        <v>2723</v>
      </c>
      <c r="F204">
        <v>0</v>
      </c>
    </row>
    <row r="205" spans="1:6">
      <c r="A205" t="s">
        <v>2515</v>
      </c>
      <c r="B205" t="s">
        <v>383</v>
      </c>
      <c r="C205" t="s">
        <v>2516</v>
      </c>
      <c r="D205" t="s">
        <v>2508</v>
      </c>
      <c r="E205" t="s">
        <v>2424</v>
      </c>
      <c r="F205">
        <v>0</v>
      </c>
    </row>
    <row r="206" spans="1:6">
      <c r="A206" t="s">
        <v>2732</v>
      </c>
      <c r="B206" t="s">
        <v>152</v>
      </c>
      <c r="C206" t="s">
        <v>2733</v>
      </c>
      <c r="D206" t="s">
        <v>2508</v>
      </c>
      <c r="E206" t="s">
        <v>1405</v>
      </c>
      <c r="F206">
        <v>0</v>
      </c>
    </row>
    <row r="207" spans="1:6">
      <c r="A207" t="s">
        <v>2730</v>
      </c>
      <c r="B207" t="s">
        <v>152</v>
      </c>
      <c r="C207" t="s">
        <v>2731</v>
      </c>
      <c r="D207" t="s">
        <v>2508</v>
      </c>
      <c r="E207" t="s">
        <v>1405</v>
      </c>
      <c r="F207">
        <v>0</v>
      </c>
    </row>
    <row r="208" spans="1:6">
      <c r="A208" t="s">
        <v>2531</v>
      </c>
      <c r="B208" t="s">
        <v>383</v>
      </c>
      <c r="C208" t="s">
        <v>2532</v>
      </c>
      <c r="D208" t="s">
        <v>2533</v>
      </c>
      <c r="E208" t="s">
        <v>2424</v>
      </c>
      <c r="F208">
        <v>0</v>
      </c>
    </row>
    <row r="209" spans="1:6">
      <c r="A209" t="s">
        <v>2451</v>
      </c>
      <c r="B209" t="s">
        <v>383</v>
      </c>
      <c r="C209" t="s">
        <v>2452</v>
      </c>
      <c r="D209" t="s">
        <v>2453</v>
      </c>
      <c r="E209" t="s">
        <v>2424</v>
      </c>
      <c r="F209">
        <v>0</v>
      </c>
    </row>
    <row r="210" spans="1:6">
      <c r="A210" t="s">
        <v>2535</v>
      </c>
      <c r="B210" t="s">
        <v>383</v>
      </c>
      <c r="C210" t="s">
        <v>2452</v>
      </c>
      <c r="D210" t="s">
        <v>2453</v>
      </c>
      <c r="E210" t="s">
        <v>2424</v>
      </c>
      <c r="F210">
        <v>0</v>
      </c>
    </row>
    <row r="211" spans="1:6">
      <c r="A211" t="s">
        <v>2711</v>
      </c>
      <c r="B211" t="s">
        <v>152</v>
      </c>
      <c r="C211" t="s">
        <v>2452</v>
      </c>
      <c r="D211" t="s">
        <v>2453</v>
      </c>
      <c r="E211" t="s">
        <v>2424</v>
      </c>
      <c r="F211">
        <v>0</v>
      </c>
    </row>
    <row r="212" spans="1:6">
      <c r="A212" t="s">
        <v>2504</v>
      </c>
      <c r="B212" t="s">
        <v>383</v>
      </c>
      <c r="C212" t="s">
        <v>2507</v>
      </c>
      <c r="D212" t="s">
        <v>2508</v>
      </c>
      <c r="E212" t="s">
        <v>2424</v>
      </c>
      <c r="F212">
        <v>0</v>
      </c>
    </row>
    <row r="213" spans="1:6">
      <c r="A213" t="s">
        <v>2448</v>
      </c>
      <c r="B213" t="s">
        <v>383</v>
      </c>
      <c r="C213" t="s">
        <v>2449</v>
      </c>
      <c r="D213" t="s">
        <v>2450</v>
      </c>
      <c r="E213" t="s">
        <v>2424</v>
      </c>
      <c r="F213">
        <v>0</v>
      </c>
    </row>
    <row r="214" spans="1:6">
      <c r="A214" t="s">
        <v>2659</v>
      </c>
      <c r="B214" t="s">
        <v>152</v>
      </c>
      <c r="C214" t="s">
        <v>2660</v>
      </c>
      <c r="D214" t="s">
        <v>2450</v>
      </c>
      <c r="E214" t="s">
        <v>2424</v>
      </c>
      <c r="F214">
        <v>0</v>
      </c>
    </row>
    <row r="215" spans="1:6">
      <c r="A215" t="s">
        <v>2641</v>
      </c>
      <c r="B215" t="s">
        <v>152</v>
      </c>
      <c r="C215" t="s">
        <v>2457</v>
      </c>
      <c r="D215" t="s">
        <v>2423</v>
      </c>
      <c r="E215" t="s">
        <v>2424</v>
      </c>
      <c r="F215">
        <v>-60</v>
      </c>
    </row>
    <row r="216" spans="1:6">
      <c r="A216" t="s">
        <v>2666</v>
      </c>
      <c r="B216" t="s">
        <v>152</v>
      </c>
      <c r="C216" t="s">
        <v>2466</v>
      </c>
      <c r="D216" t="s">
        <v>2423</v>
      </c>
      <c r="E216" t="s">
        <v>2424</v>
      </c>
      <c r="F216">
        <v>-64</v>
      </c>
    </row>
    <row r="217" spans="1:6">
      <c r="A217" t="s">
        <v>2564</v>
      </c>
      <c r="B217" t="s">
        <v>383</v>
      </c>
      <c r="C217" t="s">
        <v>2457</v>
      </c>
      <c r="D217" t="s">
        <v>2423</v>
      </c>
      <c r="E217" t="s">
        <v>2424</v>
      </c>
      <c r="F217">
        <v>-116</v>
      </c>
    </row>
    <row r="218" spans="1:6">
      <c r="A218" t="s">
        <v>2668</v>
      </c>
      <c r="B218" t="s">
        <v>152</v>
      </c>
      <c r="C218" t="s">
        <v>2669</v>
      </c>
      <c r="D218" t="s">
        <v>2423</v>
      </c>
      <c r="E218" t="s">
        <v>2424</v>
      </c>
      <c r="F218">
        <v>-128</v>
      </c>
    </row>
    <row r="219" spans="1:6">
      <c r="A219" t="s">
        <v>2631</v>
      </c>
      <c r="B219" t="s">
        <v>152</v>
      </c>
      <c r="C219" t="s">
        <v>2466</v>
      </c>
      <c r="D219" t="s">
        <v>2423</v>
      </c>
      <c r="E219" t="s">
        <v>2424</v>
      </c>
      <c r="F219">
        <v>-154</v>
      </c>
    </row>
    <row r="220" spans="1:6">
      <c r="A220" t="s">
        <v>2629</v>
      </c>
      <c r="B220" t="s">
        <v>152</v>
      </c>
      <c r="C220" t="s">
        <v>2630</v>
      </c>
      <c r="D220" t="s">
        <v>2423</v>
      </c>
      <c r="E220" t="s">
        <v>2424</v>
      </c>
      <c r="F220">
        <v>-214</v>
      </c>
    </row>
    <row r="221" spans="1:6">
      <c r="A221" t="s">
        <v>2623</v>
      </c>
      <c r="B221" t="s">
        <v>152</v>
      </c>
      <c r="C221" t="s">
        <v>2624</v>
      </c>
      <c r="D221" t="s">
        <v>2423</v>
      </c>
      <c r="E221" t="s">
        <v>2424</v>
      </c>
      <c r="F221">
        <v>-260</v>
      </c>
    </row>
    <row r="222" spans="1:6">
      <c r="A222" t="s">
        <v>2633</v>
      </c>
      <c r="B222" t="s">
        <v>152</v>
      </c>
      <c r="C222" t="s">
        <v>2518</v>
      </c>
      <c r="D222" t="s">
        <v>2423</v>
      </c>
      <c r="E222" t="s">
        <v>2424</v>
      </c>
      <c r="F222">
        <v>-308</v>
      </c>
    </row>
    <row r="223" spans="1:6">
      <c r="A223" t="s">
        <v>2719</v>
      </c>
      <c r="B223" t="s">
        <v>152</v>
      </c>
      <c r="C223" t="s">
        <v>2718</v>
      </c>
      <c r="D223" t="s">
        <v>2423</v>
      </c>
      <c r="E223" t="s">
        <v>2424</v>
      </c>
      <c r="F223">
        <v>-488</v>
      </c>
    </row>
    <row r="224" spans="1:6">
      <c r="A224" t="s">
        <v>2459</v>
      </c>
      <c r="B224" t="s">
        <v>383</v>
      </c>
      <c r="C224" t="s">
        <v>2457</v>
      </c>
      <c r="D224" t="s">
        <v>2423</v>
      </c>
      <c r="E224" t="s">
        <v>2424</v>
      </c>
      <c r="F224">
        <v>-558</v>
      </c>
    </row>
    <row r="225" spans="1:6">
      <c r="A225" t="s">
        <v>2717</v>
      </c>
      <c r="B225" t="s">
        <v>152</v>
      </c>
      <c r="C225" t="s">
        <v>2718</v>
      </c>
      <c r="D225" t="s">
        <v>2423</v>
      </c>
      <c r="E225" t="s">
        <v>2424</v>
      </c>
      <c r="F225">
        <v>-676</v>
      </c>
    </row>
    <row r="226" spans="1:6">
      <c r="A226" t="s">
        <v>2460</v>
      </c>
      <c r="B226" t="s">
        <v>383</v>
      </c>
      <c r="C226" t="s">
        <v>2457</v>
      </c>
      <c r="D226" t="s">
        <v>2423</v>
      </c>
      <c r="E226" t="s">
        <v>2424</v>
      </c>
      <c r="F226">
        <v>-692</v>
      </c>
    </row>
    <row r="227" spans="1:6">
      <c r="A227" t="s">
        <v>2517</v>
      </c>
      <c r="B227" t="s">
        <v>383</v>
      </c>
      <c r="C227" t="s">
        <v>2518</v>
      </c>
      <c r="D227" t="s">
        <v>2423</v>
      </c>
      <c r="E227" t="s">
        <v>2424</v>
      </c>
      <c r="F227">
        <v>-762</v>
      </c>
    </row>
    <row r="228" spans="1:6">
      <c r="A228" t="s">
        <v>2524</v>
      </c>
      <c r="B228" t="s">
        <v>383</v>
      </c>
      <c r="C228" t="s">
        <v>2525</v>
      </c>
      <c r="D228" t="s">
        <v>2423</v>
      </c>
      <c r="E228" t="s">
        <v>2424</v>
      </c>
      <c r="F228">
        <v>-788</v>
      </c>
    </row>
    <row r="229" spans="1:6">
      <c r="A229" t="s">
        <v>2511</v>
      </c>
      <c r="B229" t="s">
        <v>383</v>
      </c>
      <c r="C229" t="s">
        <v>2512</v>
      </c>
      <c r="D229" t="s">
        <v>2423</v>
      </c>
      <c r="E229" t="s">
        <v>2424</v>
      </c>
      <c r="F229">
        <v>-900</v>
      </c>
    </row>
    <row r="230" spans="1:6">
      <c r="A230" t="s">
        <v>2422</v>
      </c>
      <c r="B230" t="s">
        <v>383</v>
      </c>
      <c r="C230" t="s">
        <v>2415</v>
      </c>
      <c r="D230" t="s">
        <v>2423</v>
      </c>
      <c r="E230" t="s">
        <v>2424</v>
      </c>
      <c r="F230">
        <v>-1000</v>
      </c>
    </row>
    <row r="231" spans="1:6">
      <c r="A231" t="s">
        <v>2497</v>
      </c>
      <c r="B231" t="s">
        <v>383</v>
      </c>
      <c r="C231" t="s">
        <v>2415</v>
      </c>
      <c r="D231" t="s">
        <v>2423</v>
      </c>
      <c r="E231" t="s">
        <v>2424</v>
      </c>
      <c r="F231">
        <v>-1088</v>
      </c>
    </row>
    <row r="232" spans="1:6">
      <c r="A232" t="s">
        <v>2584</v>
      </c>
      <c r="B232" t="s">
        <v>383</v>
      </c>
      <c r="C232" t="s">
        <v>2432</v>
      </c>
      <c r="D232" t="s">
        <v>2585</v>
      </c>
      <c r="E232" t="s">
        <v>2432</v>
      </c>
      <c r="F232">
        <v>-3975</v>
      </c>
    </row>
    <row r="233" spans="1:6">
      <c r="A233" t="s">
        <v>2485</v>
      </c>
      <c r="B233" t="s">
        <v>152</v>
      </c>
      <c r="C233" t="s">
        <v>2607</v>
      </c>
      <c r="D233" t="s">
        <v>2489</v>
      </c>
      <c r="E233" t="s">
        <v>2424</v>
      </c>
      <c r="F233">
        <v>-6497</v>
      </c>
    </row>
    <row r="234" spans="1:6">
      <c r="A234" t="s">
        <v>2606</v>
      </c>
      <c r="B234" t="s">
        <v>152</v>
      </c>
      <c r="C234" t="s">
        <v>2607</v>
      </c>
      <c r="D234" t="s">
        <v>2489</v>
      </c>
      <c r="E234" t="s">
        <v>2424</v>
      </c>
      <c r="F234">
        <v>-6518</v>
      </c>
    </row>
    <row r="235" spans="1:6">
      <c r="A235" t="s">
        <v>2569</v>
      </c>
      <c r="B235" t="s">
        <v>383</v>
      </c>
      <c r="C235" t="s">
        <v>2570</v>
      </c>
      <c r="D235" t="s">
        <v>2487</v>
      </c>
      <c r="E235" t="s">
        <v>2424</v>
      </c>
      <c r="F235">
        <v>-65000</v>
      </c>
    </row>
    <row r="236" spans="1:6">
      <c r="A236" t="s">
        <v>2587</v>
      </c>
      <c r="B236" t="s">
        <v>383</v>
      </c>
      <c r="C236" t="s">
        <v>2579</v>
      </c>
      <c r="D236" t="s">
        <v>2588</v>
      </c>
      <c r="E236" t="s">
        <v>2580</v>
      </c>
      <c r="F236">
        <v>-91000</v>
      </c>
    </row>
    <row r="237" spans="1:6">
      <c r="A237" t="s">
        <v>2485</v>
      </c>
      <c r="B237" t="s">
        <v>383</v>
      </c>
      <c r="C237" t="s">
        <v>2486</v>
      </c>
      <c r="D237" t="s">
        <v>2487</v>
      </c>
      <c r="E237" t="s">
        <v>2424</v>
      </c>
      <c r="F237">
        <v>-141500</v>
      </c>
    </row>
  </sheetData>
  <pageMargins left="0.7" right="0.7" top="0.75" bottom="0.75" header="0.3" footer="0.3"/>
  <tableParts count="1">
    <tablePart r:id="rId1"/>
  </tableParts>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DB486-C774-4EE5-B3C8-AF9666536C9C}">
  <dimension ref="A1:F8"/>
  <sheetViews>
    <sheetView workbookViewId="0">
      <selection activeCell="B8" sqref="B8"/>
    </sheetView>
  </sheetViews>
  <sheetFormatPr defaultColWidth="8.44140625" defaultRowHeight="14.4"/>
  <cols>
    <col min="1" max="1" width="16.109375" customWidth="1"/>
    <col min="2" max="2" width="13.6640625" customWidth="1"/>
    <col min="3" max="3" width="14" customWidth="1"/>
  </cols>
  <sheetData>
    <row r="1" spans="1:6">
      <c r="B1" t="s">
        <v>2355</v>
      </c>
      <c r="C1" t="s">
        <v>2356</v>
      </c>
      <c r="E1" t="s">
        <v>2912</v>
      </c>
    </row>
    <row r="2" spans="1:6">
      <c r="A2" t="s">
        <v>650</v>
      </c>
      <c r="B2">
        <v>500</v>
      </c>
      <c r="C2">
        <v>708</v>
      </c>
      <c r="E2" t="s">
        <v>625</v>
      </c>
      <c r="F2">
        <v>0</v>
      </c>
    </row>
    <row r="3" spans="1:6">
      <c r="E3" t="s">
        <v>2913</v>
      </c>
      <c r="F3">
        <v>3500</v>
      </c>
    </row>
    <row r="4" spans="1:6">
      <c r="A4" t="s">
        <v>2389</v>
      </c>
      <c r="B4">
        <v>412</v>
      </c>
      <c r="E4" t="s">
        <v>2914</v>
      </c>
      <c r="F4">
        <v>7500</v>
      </c>
    </row>
    <row r="5" spans="1:6">
      <c r="A5" t="s">
        <v>887</v>
      </c>
      <c r="B5">
        <v>2500</v>
      </c>
      <c r="E5" t="s">
        <v>2915</v>
      </c>
      <c r="F5">
        <v>20000</v>
      </c>
    </row>
    <row r="6" spans="1:6">
      <c r="A6" t="s">
        <v>2390</v>
      </c>
      <c r="B6">
        <v>200</v>
      </c>
    </row>
    <row r="8" spans="1:6">
      <c r="A8" t="s">
        <v>2916</v>
      </c>
      <c r="B8">
        <f>3500-SUM(B2:B6)</f>
        <v>-112</v>
      </c>
    </row>
  </sheetData>
  <pageMargins left="0.7" right="0.7" top="0.75" bottom="0.75" header="0.3" footer="0.3"/>
  <legacyDrawing r:id="rId1"/>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B644-1456-4110-9FAF-B8A15BFB366C}">
  <dimension ref="A1:Y72"/>
  <sheetViews>
    <sheetView topLeftCell="A7" workbookViewId="0">
      <selection activeCell="M8" sqref="M8"/>
    </sheetView>
  </sheetViews>
  <sheetFormatPr defaultColWidth="8.44140625" defaultRowHeight="14.4"/>
  <cols>
    <col min="1" max="1" width="25.44140625" customWidth="1"/>
    <col min="11" max="11" width="8.44140625" style="242"/>
    <col min="21" max="21" width="20.33203125" customWidth="1"/>
    <col min="22" max="22" width="10.44140625" bestFit="1" customWidth="1"/>
    <col min="23" max="23" width="17.6640625" customWidth="1"/>
    <col min="25" max="25" width="14" customWidth="1"/>
  </cols>
  <sheetData>
    <row r="1" spans="1:25" ht="25.8">
      <c r="A1" s="452" t="s">
        <v>2105</v>
      </c>
      <c r="B1" s="452"/>
      <c r="C1" s="452"/>
      <c r="D1" s="452"/>
      <c r="E1" s="452"/>
      <c r="F1" s="452"/>
      <c r="G1" s="452"/>
      <c r="H1" s="452"/>
      <c r="I1" s="452"/>
      <c r="J1" s="452"/>
      <c r="K1" s="537"/>
      <c r="L1" s="452"/>
      <c r="M1" s="452"/>
      <c r="N1" s="452"/>
      <c r="P1" t="s">
        <v>2112</v>
      </c>
      <c r="U1" s="737" t="s">
        <v>2249</v>
      </c>
      <c r="V1" s="737"/>
      <c r="W1" s="737"/>
      <c r="X1" s="737"/>
      <c r="Y1" s="737"/>
    </row>
    <row r="2" spans="1:25">
      <c r="A2" s="358"/>
      <c r="B2" s="358"/>
      <c r="C2" s="90" t="s">
        <v>17</v>
      </c>
      <c r="D2" s="90" t="s">
        <v>29</v>
      </c>
      <c r="E2" s="90" t="s">
        <v>37</v>
      </c>
      <c r="F2" s="90" t="s">
        <v>53</v>
      </c>
      <c r="G2" s="90" t="s">
        <v>59</v>
      </c>
      <c r="H2" s="90" t="s">
        <v>69</v>
      </c>
      <c r="I2" s="90" t="s">
        <v>81</v>
      </c>
      <c r="J2" s="90" t="s">
        <v>89</v>
      </c>
      <c r="K2" s="357" t="s">
        <v>93</v>
      </c>
      <c r="L2" s="90" t="s">
        <v>101</v>
      </c>
      <c r="M2" s="90" t="s">
        <v>111</v>
      </c>
      <c r="N2" s="90" t="s">
        <v>118</v>
      </c>
      <c r="P2" s="90" t="s">
        <v>2113</v>
      </c>
      <c r="U2" t="s">
        <v>135</v>
      </c>
      <c r="V2" t="s">
        <v>2255</v>
      </c>
      <c r="W2" t="s">
        <v>2256</v>
      </c>
      <c r="X2" t="s">
        <v>2250</v>
      </c>
      <c r="Y2" t="s">
        <v>2251</v>
      </c>
    </row>
    <row r="3" spans="1:25">
      <c r="A3" s="358" t="s">
        <v>1289</v>
      </c>
      <c r="B3" s="414" t="s">
        <v>1290</v>
      </c>
      <c r="C3">
        <f>200000</f>
        <v>200000</v>
      </c>
      <c r="D3">
        <f>$B$4</f>
        <v>9500</v>
      </c>
      <c r="E3">
        <f t="shared" ref="E3:N3" si="0">$B$4</f>
        <v>9500</v>
      </c>
      <c r="F3">
        <f t="shared" si="0"/>
        <v>9500</v>
      </c>
      <c r="G3">
        <f t="shared" si="0"/>
        <v>9500</v>
      </c>
      <c r="H3">
        <f t="shared" si="0"/>
        <v>9500</v>
      </c>
      <c r="I3">
        <f t="shared" si="0"/>
        <v>9500</v>
      </c>
      <c r="J3">
        <f t="shared" si="0"/>
        <v>9500</v>
      </c>
      <c r="K3" s="242">
        <f>$B$4</f>
        <v>9500</v>
      </c>
      <c r="L3">
        <f t="shared" si="0"/>
        <v>9500</v>
      </c>
      <c r="M3">
        <f t="shared" si="0"/>
        <v>9500</v>
      </c>
      <c r="N3">
        <f t="shared" si="0"/>
        <v>9500</v>
      </c>
      <c r="U3" t="s">
        <v>2252</v>
      </c>
      <c r="V3" s="42">
        <v>45035</v>
      </c>
      <c r="W3" s="42">
        <v>45401</v>
      </c>
      <c r="X3" t="s">
        <v>383</v>
      </c>
      <c r="Y3" s="42">
        <f>EDATE(W3, 24)</f>
        <v>46131</v>
      </c>
    </row>
    <row r="4" spans="1:25">
      <c r="A4" s="453" t="s">
        <v>1287</v>
      </c>
      <c r="B4" s="453">
        <f>SUM(B6:B11)</f>
        <v>9500</v>
      </c>
      <c r="C4">
        <f>C3-SUM(C6:C11)</f>
        <v>200000</v>
      </c>
      <c r="D4">
        <f t="shared" ref="D4:N4" si="1">C4+D3-SUM(D6:D11)</f>
        <v>234500</v>
      </c>
      <c r="E4">
        <f t="shared" si="1"/>
        <v>244000</v>
      </c>
      <c r="F4">
        <f t="shared" si="1"/>
        <v>313500</v>
      </c>
      <c r="G4">
        <f t="shared" si="1"/>
        <v>323000</v>
      </c>
      <c r="H4">
        <f t="shared" si="1"/>
        <v>332500</v>
      </c>
      <c r="I4">
        <f t="shared" si="1"/>
        <v>342000</v>
      </c>
      <c r="J4">
        <f t="shared" si="1"/>
        <v>351500</v>
      </c>
      <c r="K4" s="242">
        <f t="shared" si="1"/>
        <v>361000</v>
      </c>
      <c r="L4">
        <f t="shared" si="1"/>
        <v>190500</v>
      </c>
      <c r="M4">
        <f t="shared" si="1"/>
        <v>220000</v>
      </c>
      <c r="N4">
        <f t="shared" si="1"/>
        <v>231750</v>
      </c>
      <c r="U4" t="s">
        <v>2253</v>
      </c>
      <c r="V4" s="42">
        <v>45145</v>
      </c>
      <c r="X4" t="s">
        <v>152</v>
      </c>
      <c r="Y4" t="s">
        <v>150</v>
      </c>
    </row>
    <row r="5" spans="1:25">
      <c r="A5" s="453" t="s">
        <v>2362</v>
      </c>
      <c r="B5" s="453"/>
      <c r="C5">
        <v>0</v>
      </c>
      <c r="D5">
        <v>0</v>
      </c>
      <c r="E5">
        <v>0</v>
      </c>
      <c r="F5">
        <v>1</v>
      </c>
      <c r="G5">
        <v>1</v>
      </c>
      <c r="H5">
        <v>1</v>
      </c>
      <c r="I5">
        <v>1</v>
      </c>
      <c r="J5">
        <v>1</v>
      </c>
      <c r="K5" s="242">
        <v>2</v>
      </c>
      <c r="L5">
        <v>2</v>
      </c>
      <c r="M5">
        <v>2</v>
      </c>
      <c r="N5">
        <v>2</v>
      </c>
      <c r="V5" s="42"/>
    </row>
    <row r="6" spans="1:25">
      <c r="A6" s="415" t="s">
        <v>2107</v>
      </c>
      <c r="B6" s="414">
        <v>1500</v>
      </c>
      <c r="R6" t="s">
        <v>887</v>
      </c>
      <c r="U6" t="s">
        <v>2254</v>
      </c>
      <c r="V6" s="42">
        <v>45698</v>
      </c>
      <c r="W6" s="42"/>
      <c r="X6" t="s">
        <v>152</v>
      </c>
      <c r="Y6" t="str">
        <f>IF(ISERR(DATEVALUE(W6)), "N/A", "Y")</f>
        <v>N/A</v>
      </c>
    </row>
    <row r="7" spans="1:25">
      <c r="A7" s="415" t="s">
        <v>2108</v>
      </c>
      <c r="B7" s="414">
        <f>3000*1.5</f>
        <v>4500</v>
      </c>
      <c r="Q7" t="s">
        <v>1397</v>
      </c>
      <c r="R7">
        <v>9000</v>
      </c>
      <c r="U7" t="s">
        <v>2254</v>
      </c>
      <c r="V7" s="42">
        <v>43590</v>
      </c>
      <c r="X7" t="s">
        <v>383</v>
      </c>
    </row>
    <row r="8" spans="1:25">
      <c r="A8" s="415" t="s">
        <v>2363</v>
      </c>
      <c r="B8" s="414"/>
      <c r="M8">
        <v>-20000</v>
      </c>
      <c r="N8">
        <f>(1500*1.5)*-1</f>
        <v>-2250</v>
      </c>
      <c r="V8" s="42"/>
    </row>
    <row r="9" spans="1:25">
      <c r="A9" s="415" t="s">
        <v>1767</v>
      </c>
      <c r="B9" s="414"/>
      <c r="Q9" t="s">
        <v>2114</v>
      </c>
      <c r="R9">
        <v>60000</v>
      </c>
    </row>
    <row r="10" spans="1:25">
      <c r="A10" s="415" t="s">
        <v>389</v>
      </c>
      <c r="B10" s="414"/>
      <c r="D10">
        <v>-25000</v>
      </c>
      <c r="F10">
        <v>-60000</v>
      </c>
    </row>
    <row r="11" spans="1:25">
      <c r="A11" s="415" t="s">
        <v>2109</v>
      </c>
      <c r="B11" s="414">
        <v>3500</v>
      </c>
      <c r="L11">
        <v>180000</v>
      </c>
      <c r="R11" t="s">
        <v>1363</v>
      </c>
    </row>
    <row r="12" spans="1:25">
      <c r="A12" s="7"/>
      <c r="Q12" t="s">
        <v>2114</v>
      </c>
      <c r="R12">
        <v>25000</v>
      </c>
    </row>
    <row r="13" spans="1:25" ht="25.8">
      <c r="A13" s="452" t="s">
        <v>2106</v>
      </c>
      <c r="B13" s="452"/>
      <c r="C13" s="452"/>
      <c r="D13" s="452"/>
      <c r="E13" s="452"/>
      <c r="F13" s="452"/>
      <c r="G13" s="452"/>
      <c r="H13" s="452"/>
      <c r="I13" s="452"/>
      <c r="J13" s="452"/>
      <c r="K13" s="537"/>
      <c r="L13" s="452"/>
      <c r="M13" s="452"/>
      <c r="N13" s="452"/>
    </row>
    <row r="14" spans="1:25">
      <c r="A14" s="358"/>
      <c r="B14" s="358"/>
      <c r="C14" s="90" t="s">
        <v>17</v>
      </c>
      <c r="D14" s="90" t="s">
        <v>29</v>
      </c>
      <c r="E14" s="90" t="s">
        <v>37</v>
      </c>
      <c r="F14" s="90" t="s">
        <v>53</v>
      </c>
      <c r="G14" s="90" t="s">
        <v>59</v>
      </c>
      <c r="H14" s="90" t="s">
        <v>69</v>
      </c>
      <c r="I14" s="90" t="s">
        <v>81</v>
      </c>
      <c r="J14" s="90" t="s">
        <v>89</v>
      </c>
      <c r="K14" s="357" t="s">
        <v>93</v>
      </c>
      <c r="L14" s="90" t="s">
        <v>101</v>
      </c>
      <c r="M14" s="90" t="s">
        <v>111</v>
      </c>
      <c r="N14" s="90" t="s">
        <v>118</v>
      </c>
    </row>
    <row r="15" spans="1:25">
      <c r="A15" s="358" t="s">
        <v>1289</v>
      </c>
      <c r="B15" s="414" t="s">
        <v>1290</v>
      </c>
      <c r="C15">
        <f>N4+B16</f>
        <v>241250</v>
      </c>
      <c r="D15">
        <f t="shared" ref="D15:N15" si="2">$B$16</f>
        <v>9500</v>
      </c>
      <c r="E15">
        <f t="shared" si="2"/>
        <v>9500</v>
      </c>
      <c r="F15">
        <f t="shared" si="2"/>
        <v>9500</v>
      </c>
      <c r="G15">
        <f t="shared" si="2"/>
        <v>9500</v>
      </c>
      <c r="H15">
        <f t="shared" si="2"/>
        <v>9500</v>
      </c>
      <c r="I15">
        <f t="shared" si="2"/>
        <v>9500</v>
      </c>
      <c r="J15">
        <f t="shared" si="2"/>
        <v>9500</v>
      </c>
      <c r="K15" s="242">
        <f t="shared" si="2"/>
        <v>9500</v>
      </c>
      <c r="L15">
        <f t="shared" si="2"/>
        <v>9500</v>
      </c>
      <c r="M15">
        <f t="shared" si="2"/>
        <v>9500</v>
      </c>
      <c r="N15">
        <f t="shared" si="2"/>
        <v>9500</v>
      </c>
    </row>
    <row r="16" spans="1:25">
      <c r="A16" s="453" t="s">
        <v>1287</v>
      </c>
      <c r="B16" s="453">
        <f>SUM(B18:B23)</f>
        <v>9500</v>
      </c>
      <c r="C16">
        <f>C15-SUM(C18:C23)</f>
        <v>241250</v>
      </c>
      <c r="D16">
        <f t="shared" ref="D16:N16" si="3">C16+D15-SUM(D18:D23)</f>
        <v>250750</v>
      </c>
      <c r="E16">
        <f t="shared" si="3"/>
        <v>260250</v>
      </c>
      <c r="F16">
        <f t="shared" si="3"/>
        <v>269750</v>
      </c>
      <c r="G16">
        <f t="shared" si="3"/>
        <v>289250</v>
      </c>
      <c r="H16">
        <f t="shared" si="3"/>
        <v>313750</v>
      </c>
      <c r="I16">
        <f t="shared" si="3"/>
        <v>323250</v>
      </c>
      <c r="J16">
        <f t="shared" si="3"/>
        <v>332750</v>
      </c>
      <c r="K16" s="242">
        <f t="shared" si="3"/>
        <v>342250</v>
      </c>
      <c r="L16">
        <f t="shared" si="3"/>
        <v>351750</v>
      </c>
      <c r="M16">
        <f t="shared" si="3"/>
        <v>381250</v>
      </c>
      <c r="N16">
        <f t="shared" si="3"/>
        <v>213000</v>
      </c>
    </row>
    <row r="17" spans="1:19">
      <c r="A17" s="453" t="s">
        <v>2362</v>
      </c>
      <c r="B17" s="453"/>
      <c r="C17">
        <v>2</v>
      </c>
      <c r="D17">
        <v>2</v>
      </c>
      <c r="E17" s="242"/>
    </row>
    <row r="18" spans="1:19">
      <c r="A18" s="415" t="s">
        <v>2107</v>
      </c>
      <c r="B18" s="414">
        <v>1500</v>
      </c>
    </row>
    <row r="19" spans="1:19">
      <c r="A19" s="415" t="s">
        <v>2108</v>
      </c>
      <c r="B19" s="414">
        <f>3000*1.5</f>
        <v>4500</v>
      </c>
    </row>
    <row r="20" spans="1:19">
      <c r="A20" s="415" t="s">
        <v>2363</v>
      </c>
      <c r="B20" s="414"/>
      <c r="G20">
        <v>-10000</v>
      </c>
      <c r="H20">
        <v>-15000</v>
      </c>
      <c r="M20">
        <v>-20000</v>
      </c>
      <c r="N20">
        <f>(1500*1.5)*-1</f>
        <v>-2250</v>
      </c>
    </row>
    <row r="21" spans="1:19">
      <c r="A21" s="415" t="s">
        <v>1767</v>
      </c>
      <c r="B21" s="414"/>
      <c r="R21">
        <v>5000</v>
      </c>
      <c r="S21" t="s">
        <v>2216</v>
      </c>
    </row>
    <row r="22" spans="1:19">
      <c r="A22" s="415" t="s">
        <v>389</v>
      </c>
      <c r="B22" s="414"/>
      <c r="R22">
        <v>6500</v>
      </c>
      <c r="S22" t="s">
        <v>2217</v>
      </c>
    </row>
    <row r="23" spans="1:19">
      <c r="A23" s="415" t="s">
        <v>2109</v>
      </c>
      <c r="B23" s="414">
        <v>3500</v>
      </c>
      <c r="N23">
        <v>180000</v>
      </c>
    </row>
    <row r="25" spans="1:19" ht="25.8">
      <c r="A25" s="452" t="s">
        <v>2111</v>
      </c>
      <c r="B25" s="452"/>
      <c r="C25" s="452"/>
      <c r="D25" s="452"/>
      <c r="E25" s="452"/>
      <c r="F25" s="452"/>
      <c r="G25" s="452"/>
      <c r="H25" s="452"/>
      <c r="I25" s="452"/>
      <c r="J25" s="452"/>
      <c r="K25" s="537"/>
      <c r="L25" s="452"/>
      <c r="M25" s="452"/>
      <c r="N25" s="452"/>
    </row>
    <row r="26" spans="1:19">
      <c r="A26" s="358"/>
      <c r="B26" s="358"/>
      <c r="C26" s="90" t="s">
        <v>17</v>
      </c>
      <c r="D26" s="90" t="s">
        <v>29</v>
      </c>
      <c r="E26" s="90" t="s">
        <v>37</v>
      </c>
      <c r="F26" s="90" t="s">
        <v>53</v>
      </c>
      <c r="G26" s="90" t="s">
        <v>59</v>
      </c>
      <c r="H26" s="90" t="s">
        <v>69</v>
      </c>
      <c r="I26" s="90" t="s">
        <v>81</v>
      </c>
      <c r="J26" s="90" t="s">
        <v>89</v>
      </c>
      <c r="K26" s="357" t="s">
        <v>93</v>
      </c>
      <c r="L26" s="90" t="s">
        <v>101</v>
      </c>
      <c r="M26" s="90" t="s">
        <v>111</v>
      </c>
      <c r="N26" s="90" t="s">
        <v>118</v>
      </c>
    </row>
    <row r="27" spans="1:19">
      <c r="A27" s="358" t="s">
        <v>1289</v>
      </c>
      <c r="B27" s="414" t="s">
        <v>1290</v>
      </c>
      <c r="C27">
        <f>N16+B28</f>
        <v>222500</v>
      </c>
      <c r="D27">
        <f t="shared" ref="D27:N27" si="4">$B$16</f>
        <v>9500</v>
      </c>
      <c r="E27">
        <f t="shared" si="4"/>
        <v>9500</v>
      </c>
      <c r="F27">
        <f t="shared" si="4"/>
        <v>9500</v>
      </c>
      <c r="G27">
        <f t="shared" si="4"/>
        <v>9500</v>
      </c>
      <c r="H27">
        <f t="shared" si="4"/>
        <v>9500</v>
      </c>
      <c r="I27">
        <f t="shared" si="4"/>
        <v>9500</v>
      </c>
      <c r="J27">
        <f t="shared" si="4"/>
        <v>9500</v>
      </c>
      <c r="K27" s="242">
        <f t="shared" si="4"/>
        <v>9500</v>
      </c>
      <c r="L27">
        <f t="shared" si="4"/>
        <v>9500</v>
      </c>
      <c r="M27">
        <f t="shared" si="4"/>
        <v>9500</v>
      </c>
      <c r="N27">
        <f t="shared" si="4"/>
        <v>9500</v>
      </c>
    </row>
    <row r="28" spans="1:19">
      <c r="A28" s="453" t="s">
        <v>1287</v>
      </c>
      <c r="B28" s="453">
        <f>SUM(B30:B35)</f>
        <v>9500</v>
      </c>
      <c r="C28">
        <f>C27-SUM(C30:C35)</f>
        <v>222500</v>
      </c>
      <c r="D28">
        <f t="shared" ref="D28:N28" si="5">C28+D27-SUM(D30:D35)</f>
        <v>232000</v>
      </c>
      <c r="E28">
        <f t="shared" si="5"/>
        <v>241500</v>
      </c>
      <c r="F28">
        <f t="shared" si="5"/>
        <v>251000</v>
      </c>
      <c r="G28">
        <f t="shared" si="5"/>
        <v>270500</v>
      </c>
      <c r="H28">
        <f t="shared" si="5"/>
        <v>295000</v>
      </c>
      <c r="I28">
        <f t="shared" si="5"/>
        <v>304500</v>
      </c>
      <c r="J28">
        <f t="shared" si="5"/>
        <v>314000</v>
      </c>
      <c r="K28" s="242">
        <f t="shared" si="5"/>
        <v>143500</v>
      </c>
      <c r="L28">
        <f t="shared" si="5"/>
        <v>153000</v>
      </c>
      <c r="M28">
        <f t="shared" si="5"/>
        <v>182500</v>
      </c>
      <c r="N28">
        <f t="shared" si="5"/>
        <v>194250</v>
      </c>
    </row>
    <row r="29" spans="1:19">
      <c r="A29" s="453" t="s">
        <v>2362</v>
      </c>
      <c r="B29" s="453"/>
    </row>
    <row r="30" spans="1:19">
      <c r="A30" s="415" t="s">
        <v>2107</v>
      </c>
      <c r="B30" s="414">
        <v>1500</v>
      </c>
    </row>
    <row r="31" spans="1:19">
      <c r="A31" s="415" t="s">
        <v>2108</v>
      </c>
      <c r="B31" s="414">
        <f>3000*1.5</f>
        <v>4500</v>
      </c>
    </row>
    <row r="32" spans="1:19">
      <c r="A32" s="415" t="s">
        <v>2363</v>
      </c>
      <c r="B32" s="414"/>
      <c r="G32">
        <v>-10000</v>
      </c>
      <c r="H32">
        <v>-15000</v>
      </c>
      <c r="M32">
        <v>-20000</v>
      </c>
      <c r="N32">
        <f>(1500*1.5)*-1</f>
        <v>-2250</v>
      </c>
    </row>
    <row r="33" spans="1:17">
      <c r="A33" s="415" t="s">
        <v>1767</v>
      </c>
      <c r="B33" s="414"/>
      <c r="K33" s="242">
        <v>180000</v>
      </c>
    </row>
    <row r="34" spans="1:17">
      <c r="A34" s="415" t="s">
        <v>389</v>
      </c>
      <c r="B34" s="414"/>
    </row>
    <row r="35" spans="1:17">
      <c r="A35" s="415" t="s">
        <v>2109</v>
      </c>
      <c r="B35" s="414">
        <v>3500</v>
      </c>
    </row>
    <row r="40" spans="1:17" ht="86.4">
      <c r="B40">
        <v>2023</v>
      </c>
      <c r="C40">
        <v>2024</v>
      </c>
      <c r="D40">
        <v>2025</v>
      </c>
      <c r="N40" s="550" t="s">
        <v>2285</v>
      </c>
      <c r="O40" s="550" t="s">
        <v>2286</v>
      </c>
      <c r="P40" s="550" t="s">
        <v>2287</v>
      </c>
    </row>
    <row r="41" spans="1:17">
      <c r="A41" t="s">
        <v>2110</v>
      </c>
      <c r="B41">
        <f>25000+9000+3000+25000</f>
        <v>62000</v>
      </c>
      <c r="N41" s="334" t="s">
        <v>1391</v>
      </c>
      <c r="O41" s="363">
        <v>220000</v>
      </c>
      <c r="P41" s="363">
        <v>220000</v>
      </c>
    </row>
    <row r="42" spans="1:17" ht="28.8">
      <c r="A42" t="s">
        <v>1570</v>
      </c>
      <c r="C42">
        <f>141480+38697</f>
        <v>180177</v>
      </c>
      <c r="N42" s="334" t="s">
        <v>2288</v>
      </c>
      <c r="O42" s="551">
        <v>600</v>
      </c>
      <c r="P42" s="551">
        <v>1160</v>
      </c>
      <c r="Q42">
        <v>560</v>
      </c>
    </row>
    <row r="43" spans="1:17" ht="72">
      <c r="A43" t="s">
        <v>1290</v>
      </c>
      <c r="B43" s="56">
        <f>97299-B41-B42</f>
        <v>35299</v>
      </c>
      <c r="C43">
        <f>2726+7725+569+8574+3975+2465+3342+630+8886+762+1887+368+3454+5242+250+696+2860+250+1719+6100+900+94+788+1262+106+126+146+1002+6747+336+4203+2087+274+7228+2408+900+692+558+296+3886+394+2127+1088+556+672+1500+752+276+2751+276+1074+1175+6500+726+1500+14456+16450+250+6497+139+1000+1500+3930+1031+2450+718+360+938+2000+2000</f>
        <v>171605</v>
      </c>
      <c r="D43">
        <v>29265</v>
      </c>
      <c r="N43" s="334" t="s">
        <v>2289</v>
      </c>
      <c r="O43" s="334" t="s">
        <v>2290</v>
      </c>
      <c r="P43" s="334" t="s">
        <v>2296</v>
      </c>
      <c r="Q43">
        <v>24</v>
      </c>
    </row>
    <row r="44" spans="1:17" ht="43.2">
      <c r="A44" t="s">
        <v>1289</v>
      </c>
      <c r="C44">
        <f>91000+65000+116+788+762+900+1088+141500</f>
        <v>301154</v>
      </c>
      <c r="N44" s="334" t="s">
        <v>2291</v>
      </c>
      <c r="O44" s="334" t="s">
        <v>2292</v>
      </c>
      <c r="P44" s="334" t="s">
        <v>2293</v>
      </c>
    </row>
    <row r="45" spans="1:17" ht="57.6">
      <c r="A45" t="s">
        <v>1890</v>
      </c>
      <c r="B45" s="56">
        <v>97299</v>
      </c>
      <c r="C45" s="56">
        <f>B45+C42+C43-C44</f>
        <v>147927</v>
      </c>
      <c r="D45" s="538">
        <f>C45+D42+D43-D44</f>
        <v>177192</v>
      </c>
      <c r="N45" s="334" t="s">
        <v>2294</v>
      </c>
      <c r="O45" s="334" t="s">
        <v>2295</v>
      </c>
      <c r="P45" s="334" t="s">
        <v>2295</v>
      </c>
    </row>
    <row r="46" spans="1:17">
      <c r="A46" t="s">
        <v>1855</v>
      </c>
      <c r="B46" s="56">
        <f>180+100</f>
        <v>280</v>
      </c>
      <c r="C46">
        <f>300+300+1300</f>
        <v>1900</v>
      </c>
      <c r="Q46">
        <f>SUM(Q42:Q43)</f>
        <v>584</v>
      </c>
    </row>
    <row r="47" spans="1:17">
      <c r="F47" s="56"/>
    </row>
    <row r="48" spans="1:17" ht="28.8">
      <c r="A48" t="s">
        <v>2115</v>
      </c>
      <c r="B48">
        <v>300</v>
      </c>
      <c r="F48" s="56"/>
      <c r="G48" s="56"/>
      <c r="N48" s="334" t="s">
        <v>2354</v>
      </c>
    </row>
    <row r="49" spans="1:15">
      <c r="A49" t="s">
        <v>2116</v>
      </c>
      <c r="B49">
        <v>300</v>
      </c>
      <c r="N49">
        <f>1500*12</f>
        <v>18000</v>
      </c>
    </row>
    <row r="50" spans="1:15">
      <c r="A50" t="s">
        <v>2117</v>
      </c>
      <c r="B50">
        <f>15*12</f>
        <v>180</v>
      </c>
      <c r="F50" s="56"/>
      <c r="G50" s="56"/>
      <c r="N50">
        <v>12000</v>
      </c>
    </row>
    <row r="51" spans="1:15">
      <c r="A51" t="s">
        <v>1386</v>
      </c>
      <c r="B51">
        <f>12*12</f>
        <v>144</v>
      </c>
      <c r="O51" t="s">
        <v>2353</v>
      </c>
    </row>
    <row r="52" spans="1:15">
      <c r="A52" t="s">
        <v>2118</v>
      </c>
      <c r="B52">
        <f>SUM(B48:B51)</f>
        <v>924</v>
      </c>
      <c r="F52" s="56"/>
      <c r="M52">
        <f>27*12</f>
        <v>324</v>
      </c>
      <c r="N52">
        <f>SUM(N49:N51)</f>
        <v>30000</v>
      </c>
      <c r="O52">
        <f>N52/M52</f>
        <v>92.592592592592595</v>
      </c>
    </row>
    <row r="53" spans="1:15">
      <c r="A53" t="s">
        <v>1570</v>
      </c>
      <c r="B53">
        <v>1500</v>
      </c>
      <c r="F53" s="56"/>
    </row>
    <row r="54" spans="1:15">
      <c r="A54" t="s">
        <v>2120</v>
      </c>
      <c r="B54">
        <f>2000</f>
        <v>2000</v>
      </c>
      <c r="F54" s="56"/>
      <c r="M54">
        <v>109</v>
      </c>
    </row>
    <row r="55" spans="1:15">
      <c r="D55" t="s">
        <v>2119</v>
      </c>
    </row>
    <row r="56" spans="1:15">
      <c r="D56">
        <v>5000</v>
      </c>
    </row>
    <row r="57" spans="1:15">
      <c r="D57">
        <v>5000</v>
      </c>
    </row>
    <row r="60" spans="1:15">
      <c r="A60" t="s">
        <v>2247</v>
      </c>
      <c r="B60" t="s">
        <v>2248</v>
      </c>
    </row>
    <row r="61" spans="1:15">
      <c r="A61">
        <v>22726</v>
      </c>
      <c r="B61">
        <f>(A61*1.5)-A61</f>
        <v>11363</v>
      </c>
    </row>
    <row r="62" spans="1:15">
      <c r="A62" s="248"/>
    </row>
    <row r="63" spans="1:15">
      <c r="A63" s="248"/>
    </row>
    <row r="64" spans="1:15">
      <c r="A64" s="248"/>
    </row>
    <row r="65" spans="1:4">
      <c r="A65" s="248"/>
    </row>
    <row r="66" spans="1:4">
      <c r="B66">
        <f>15*12</f>
        <v>180</v>
      </c>
    </row>
    <row r="67" spans="1:4">
      <c r="A67" s="334"/>
      <c r="B67">
        <f>4*40</f>
        <v>160</v>
      </c>
    </row>
    <row r="68" spans="1:4">
      <c r="A68" s="336"/>
      <c r="C68" t="s">
        <v>2245</v>
      </c>
    </row>
    <row r="69" spans="1:4">
      <c r="A69" s="335" t="s">
        <v>2243</v>
      </c>
      <c r="B69">
        <f>300/12</f>
        <v>25</v>
      </c>
      <c r="C69" s="188"/>
    </row>
    <row r="70" spans="1:4">
      <c r="A70" s="337" t="s">
        <v>2244</v>
      </c>
      <c r="B70">
        <f>12+15</f>
        <v>27</v>
      </c>
      <c r="C70">
        <f>1500*12</f>
        <v>18000</v>
      </c>
    </row>
    <row r="71" spans="1:4">
      <c r="B71">
        <f>2*12</f>
        <v>24</v>
      </c>
      <c r="C71" s="230" t="s">
        <v>2246</v>
      </c>
      <c r="D71">
        <f>20.5*4</f>
        <v>82</v>
      </c>
    </row>
    <row r="72" spans="1:4">
      <c r="C72" t="s">
        <v>1834</v>
      </c>
    </row>
  </sheetData>
  <mergeCells count="1">
    <mergeCell ref="U1:Y1"/>
  </mergeCells>
  <conditionalFormatting sqref="C2:N2 P2">
    <cfRule type="timePeriod" dxfId="29" priority="8" timePeriod="thisMonth">
      <formula>AND(MONTH(C2)=MONTH(TODAY()),YEAR(C2)=YEAR(TODAY()))</formula>
    </cfRule>
  </conditionalFormatting>
  <conditionalFormatting sqref="C4:N5">
    <cfRule type="cellIs" dxfId="28" priority="9" operator="greaterThan">
      <formula>0</formula>
    </cfRule>
    <cfRule type="cellIs" dxfId="27" priority="10" operator="lessThan">
      <formula>0</formula>
    </cfRule>
  </conditionalFormatting>
  <conditionalFormatting sqref="C14:N14">
    <cfRule type="timePeriod" dxfId="26" priority="4" timePeriod="thisMonth">
      <formula>AND(MONTH(C14)=MONTH(TODAY()),YEAR(C14)=YEAR(TODAY()))</formula>
    </cfRule>
  </conditionalFormatting>
  <conditionalFormatting sqref="C16:N16 C17:D17 F17:N17">
    <cfRule type="cellIs" dxfId="25" priority="6" operator="greaterThan">
      <formula>0</formula>
    </cfRule>
    <cfRule type="cellIs" dxfId="24" priority="7" operator="lessThan">
      <formula>0</formula>
    </cfRule>
  </conditionalFormatting>
  <conditionalFormatting sqref="C26:N26">
    <cfRule type="timePeriod" dxfId="23" priority="1" timePeriod="thisMonth">
      <formula>AND(MONTH(C26)=MONTH(TODAY()),YEAR(C26)=YEAR(TODAY()))</formula>
    </cfRule>
  </conditionalFormatting>
  <conditionalFormatting sqref="C28:N29">
    <cfRule type="cellIs" dxfId="22" priority="2" operator="greaterThan">
      <formula>0</formula>
    </cfRule>
    <cfRule type="cellIs" dxfId="21" priority="3" operator="lessThan">
      <formula>0</formula>
    </cfRule>
  </conditionalFormatting>
  <pageMargins left="0.7" right="0.7" top="0.75" bottom="0.75" header="0.3" footer="0.3"/>
  <pageSetup paperSize="9" orientation="portrait" horizontalDpi="300" verticalDpi="300" r:id="rId1"/>
  <legacyDrawing r:id="rId2"/>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D484D-E658-6542-8B2D-F01D8587E333}">
  <dimension ref="A1:X101"/>
  <sheetViews>
    <sheetView topLeftCell="H12" zoomScaleNormal="90" workbookViewId="0">
      <selection activeCell="G4" sqref="G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str">
        <f ca="1">UPPER(TEXT((1&amp;LEFT(B$1,3))-1,"MMM"))&amp;"-"&amp;UPPER(TEXT((1&amp;RIGHT(LEFT(B$1,7),3))-1,"MMM"))&amp;" "&amp;RIGHT(B$1,4)</f>
        <v>AUG-SEP T 25</v>
      </c>
      <c r="B1" s="730" t="str">
        <f ca="1">MID(CELL("filename",B1),FIND("]",CELL("filename",B1))+1,255)</f>
        <v>SEP-OCT 25</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1449</v>
      </c>
      <c r="M2" s="79" t="s">
        <v>801</v>
      </c>
      <c r="N2" s="307" t="s">
        <v>1450</v>
      </c>
      <c r="O2" s="273" t="s">
        <v>10</v>
      </c>
      <c r="P2" s="273"/>
      <c r="Q2" s="283" t="s">
        <v>803</v>
      </c>
    </row>
    <row r="3" spans="1:24">
      <c r="B3" s="118"/>
      <c r="C3" s="118"/>
      <c r="D3" s="290" t="e">
        <f>"£" &amp; ROUND(O5+O38+O26+IF(#REF!&lt;0,0,#REF!)+O41+O4,2) &amp; " / " &amp; "£" &amp; E43</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",G43*0.5," / Actual = ",ROUND(D5,2)," (",ROUND((D5/G43)*100,2),")")</f>
        <v>Expenses - 50 - 3538.71 / Actual = 3489.09 (49.3)</v>
      </c>
      <c r="C4" s="727"/>
      <c r="D4" s="727"/>
      <c r="E4" s="727"/>
      <c r="F4" s="318"/>
      <c r="G4" s="243">
        <f>H4+993.98+3588.24</f>
        <v>6267.78</v>
      </c>
      <c r="H4" s="304">
        <f>SUM(H5:H41)-I4</f>
        <v>1685.56</v>
      </c>
      <c r="I4" s="243"/>
      <c r="J4" s="304">
        <f>SUM(J5:J41)</f>
        <v>311</v>
      </c>
      <c r="K4" s="243"/>
      <c r="L4" s="304">
        <f>SUM(L5:L41)</f>
        <v>294.14</v>
      </c>
      <c r="M4" s="243"/>
      <c r="N4" s="304">
        <f>SUM(N5:N41)-SUM(N28:N34)</f>
        <v>0</v>
      </c>
      <c r="O4" s="308">
        <f>IF(H42&lt;&gt;"PAID",H4,0)+IF(J42&lt;&gt;"PAID",J4,0)+IF(L42&lt;&gt;"PAID",L4,0)+IF(N42&lt;&gt;"PAID",N4,0)</f>
        <v>2290.6999999999998</v>
      </c>
      <c r="P4" s="309" t="s">
        <v>973</v>
      </c>
      <c r="Q4" s="408"/>
      <c r="R4" s="243"/>
      <c r="S4" s="607"/>
      <c r="T4" s="306"/>
      <c r="U4" s="390"/>
      <c r="V4" s="306"/>
      <c r="W4" s="390"/>
      <c r="X4" s="306"/>
    </row>
    <row r="5" spans="1:24" ht="15" customHeight="1">
      <c r="B5" s="733" t="str">
        <f>IF(D5&gt;E$43*0.5,ROUND(D5-E$43*0.5,2) &amp; " Over",ROUND(E$43*0.5-D5,2) &amp; " Under")</f>
        <v>49.62 Under</v>
      </c>
      <c r="C5" s="733"/>
      <c r="D5" s="761">
        <f>ROUND(SUM(F6:F23),2)</f>
        <v>3489.09</v>
      </c>
      <c r="E5" s="761"/>
      <c r="F5" s="321"/>
      <c r="G5" s="284"/>
      <c r="H5" s="306"/>
      <c r="I5" s="390"/>
      <c r="J5" s="306"/>
      <c r="K5" s="390"/>
      <c r="L5" s="306"/>
      <c r="M5" s="79"/>
      <c r="N5" s="305"/>
      <c r="O5" s="285">
        <f>SUMIF(O6:O23,"&gt;0")</f>
        <v>1.4900000000000091</v>
      </c>
      <c r="P5" s="285" t="s">
        <v>892</v>
      </c>
      <c r="Q5" s="282">
        <f>SUM(Q6:Q23)</f>
        <v>22.660000000000011</v>
      </c>
      <c r="R5" s="243"/>
      <c r="T5" s="304"/>
      <c r="V5" s="305"/>
      <c r="X5" s="305">
        <f>31.27</f>
        <v>31.27</v>
      </c>
    </row>
    <row r="6" spans="1:24" ht="15" customHeight="1">
      <c r="B6" s="734" t="str">
        <f>"50%: " &amp; E$43*0.5</f>
        <v>50%: 3538.71</v>
      </c>
      <c r="C6" s="734" t="str">
        <f>ROUND((D5/E$43)*100,2) &amp; "%: " &amp;D5</f>
        <v>49.3%: 3489.09</v>
      </c>
      <c r="D6" s="13" t="s">
        <v>805</v>
      </c>
      <c r="E6" s="523">
        <v>0</v>
      </c>
      <c r="F6" s="528">
        <v>160</v>
      </c>
      <c r="H6" s="304">
        <f>28.09+28.04+28.18+28.39+27.31+20.15</f>
        <v>160.16</v>
      </c>
      <c r="J6" s="305"/>
      <c r="L6" s="305"/>
      <c r="N6" s="305"/>
      <c r="O6" s="274">
        <f>SUM(E6:F6)-SUM(G6:N6)</f>
        <v>-0.15999999999999659</v>
      </c>
      <c r="P6" s="274" t="str">
        <f t="shared" ref="P6:P23" si="0">D6</f>
        <v>Car Petrol / commuting</v>
      </c>
      <c r="Q6" s="282">
        <f>IF(O6&lt;0,O6*-1,0)</f>
        <v>0.15999999999999659</v>
      </c>
      <c r="R6" s="243"/>
      <c r="T6" s="304"/>
      <c r="V6" s="305"/>
      <c r="X6" s="305">
        <f>86.93+1+0.59</f>
        <v>88.52000000000001</v>
      </c>
    </row>
    <row r="7" spans="1:24" ht="15" customHeight="1">
      <c r="B7" s="734"/>
      <c r="C7" s="734"/>
      <c r="D7" s="13" t="s">
        <v>169</v>
      </c>
      <c r="E7" s="523">
        <v>0</v>
      </c>
      <c r="F7" s="523">
        <v>400</v>
      </c>
      <c r="H7" s="304">
        <f>0.5+94.38+5.99+98.16+102.05+4.99+103.93</f>
        <v>410</v>
      </c>
      <c r="J7" s="305"/>
      <c r="L7" s="305"/>
      <c r="N7" s="305"/>
      <c r="O7" s="274">
        <f>SUM(E7:F7)-SUM(G7:N7)</f>
        <v>-10</v>
      </c>
      <c r="P7" s="274" t="str">
        <f t="shared" si="0"/>
        <v>Food</v>
      </c>
      <c r="Q7" s="282">
        <f>IF(O7&lt;0,O7*-1,0)</f>
        <v>10</v>
      </c>
      <c r="R7" s="243"/>
      <c r="T7" s="305"/>
      <c r="V7" s="305"/>
      <c r="X7" s="305">
        <f>69.37</f>
        <v>69.37</v>
      </c>
    </row>
    <row r="8" spans="1:24" ht="15" customHeight="1">
      <c r="B8" s="734"/>
      <c r="C8" s="734"/>
      <c r="D8" s="13" t="s">
        <v>153</v>
      </c>
      <c r="E8" s="523">
        <v>0</v>
      </c>
      <c r="F8" s="523">
        <v>120</v>
      </c>
      <c r="H8" s="78"/>
      <c r="J8" s="305">
        <f>35.14+23.19+20.59+23.19</f>
        <v>102.11</v>
      </c>
      <c r="L8" s="305">
        <f>20.59</f>
        <v>20.59</v>
      </c>
      <c r="N8" s="305"/>
      <c r="O8" s="274">
        <f>SUM(E8:F8)-SUM(G8:N8)</f>
        <v>-2.7000000000000028</v>
      </c>
      <c r="P8" s="274" t="str">
        <f t="shared" si="0"/>
        <v>Luna</v>
      </c>
      <c r="Q8" s="282">
        <f>IF(O8&lt;0,O8*-1,0)</f>
        <v>2.7000000000000028</v>
      </c>
      <c r="T8" s="305"/>
      <c r="V8" s="305"/>
      <c r="X8" s="305">
        <f>4.99+6.74</f>
        <v>11.73</v>
      </c>
    </row>
    <row r="9" spans="1:24" ht="15" customHeight="1">
      <c r="B9" s="734"/>
      <c r="C9" s="734"/>
      <c r="D9" s="13" t="s">
        <v>189</v>
      </c>
      <c r="E9" s="735">
        <f>SUM(F10:F23)</f>
        <v>2809.09</v>
      </c>
      <c r="F9" s="735"/>
      <c r="G9" s="243"/>
      <c r="H9" s="78"/>
      <c r="J9" s="305"/>
      <c r="L9" s="305"/>
      <c r="N9" s="305"/>
      <c r="O9" s="274"/>
      <c r="P9" s="274" t="str">
        <f t="shared" si="0"/>
        <v>Direct debits</v>
      </c>
      <c r="Q9" s="282"/>
      <c r="R9" s="243"/>
      <c r="S9">
        <v>838</v>
      </c>
      <c r="T9" s="304"/>
      <c r="V9" s="305"/>
      <c r="X9" s="305"/>
    </row>
    <row r="10" spans="1:24" ht="15" customHeight="1" outlineLevel="1">
      <c r="B10" s="734"/>
      <c r="C10" s="734"/>
      <c r="D10" s="201" t="s">
        <v>595</v>
      </c>
      <c r="E10" s="523">
        <v>0</v>
      </c>
      <c r="F10" s="523">
        <v>838</v>
      </c>
      <c r="G10">
        <v>838</v>
      </c>
      <c r="H10" s="78"/>
      <c r="J10" s="305"/>
      <c r="L10" s="304"/>
      <c r="N10" s="305"/>
      <c r="O10" s="274">
        <f t="shared" ref="O10:O23" si="1">SUM(E10:F10)-SUM(G10:N10)</f>
        <v>0</v>
      </c>
      <c r="P10" s="274" t="str">
        <f t="shared" si="0"/>
        <v>Mortgage</v>
      </c>
      <c r="Q10" s="282">
        <f t="shared" ref="Q10:Q23" si="2">IF(O10&lt;0,O10*-1,0)</f>
        <v>0</v>
      </c>
      <c r="R10" s="243"/>
      <c r="S10">
        <v>168</v>
      </c>
      <c r="T10" s="305"/>
      <c r="V10" s="305"/>
      <c r="X10" s="305"/>
    </row>
    <row r="11" spans="1:24" ht="15" customHeight="1" outlineLevel="1">
      <c r="B11" s="734"/>
      <c r="C11" s="734"/>
      <c r="D11" s="201" t="s">
        <v>596</v>
      </c>
      <c r="E11" s="523">
        <v>0</v>
      </c>
      <c r="F11" s="523">
        <v>168</v>
      </c>
      <c r="G11">
        <v>168</v>
      </c>
      <c r="H11" s="78"/>
      <c r="J11" s="305"/>
      <c r="L11" s="305"/>
      <c r="N11" s="305"/>
      <c r="O11" s="274">
        <f t="shared" si="1"/>
        <v>0</v>
      </c>
      <c r="P11" s="274" t="str">
        <f t="shared" si="0"/>
        <v>Council tax</v>
      </c>
      <c r="Q11" s="282">
        <f t="shared" si="2"/>
        <v>0</v>
      </c>
      <c r="S11">
        <f>107.15+49</f>
        <v>156.15</v>
      </c>
      <c r="T11" s="305"/>
      <c r="V11" s="305"/>
      <c r="X11" s="305"/>
    </row>
    <row r="12" spans="1:24" ht="15" customHeight="1" outlineLevel="1">
      <c r="B12" s="734"/>
      <c r="C12" s="734"/>
      <c r="D12" s="201" t="s">
        <v>1002</v>
      </c>
      <c r="E12" s="523">
        <v>0</v>
      </c>
      <c r="F12" s="523">
        <f>49+107.15</f>
        <v>156.15</v>
      </c>
      <c r="G12">
        <f>49+107.15</f>
        <v>156.15</v>
      </c>
      <c r="H12" s="78"/>
      <c r="J12" s="305"/>
      <c r="L12" s="305"/>
      <c r="N12" s="305"/>
      <c r="O12" s="274">
        <f t="shared" si="1"/>
        <v>0</v>
      </c>
      <c r="P12" s="274" t="str">
        <f t="shared" si="0"/>
        <v>Utilities (G,W,E,HTB)</v>
      </c>
      <c r="Q12" s="282">
        <f t="shared" si="2"/>
        <v>0</v>
      </c>
      <c r="T12" s="305"/>
      <c r="V12" s="305"/>
      <c r="X12" s="305"/>
    </row>
    <row r="13" spans="1:24" ht="15" customHeight="1" outlineLevel="1">
      <c r="B13" s="734"/>
      <c r="C13" s="734"/>
      <c r="D13" s="201" t="s">
        <v>996</v>
      </c>
      <c r="E13" s="523">
        <v>0</v>
      </c>
      <c r="F13" s="523">
        <v>72.849999999999994</v>
      </c>
      <c r="G13">
        <v>72.84</v>
      </c>
      <c r="H13" s="78"/>
      <c r="J13" s="305"/>
      <c r="L13" s="305"/>
      <c r="N13" s="305"/>
      <c r="O13" s="274">
        <f t="shared" si="1"/>
        <v>9.9999999999909051E-3</v>
      </c>
      <c r="P13" s="274" t="str">
        <f t="shared" si="0"/>
        <v>Home Insurance</v>
      </c>
      <c r="Q13" s="282">
        <f t="shared" si="2"/>
        <v>0</v>
      </c>
      <c r="T13" s="305"/>
      <c r="V13" s="305"/>
      <c r="X13" s="305"/>
    </row>
    <row r="14" spans="1:24" ht="15" customHeight="1" outlineLevel="1">
      <c r="B14" s="734"/>
      <c r="C14" s="734"/>
      <c r="D14" s="201" t="s">
        <v>1056</v>
      </c>
      <c r="E14" s="523">
        <v>0</v>
      </c>
      <c r="F14" s="523">
        <f>31.99+22.99</f>
        <v>54.98</v>
      </c>
      <c r="G14">
        <f>22.99+31.99</f>
        <v>54.98</v>
      </c>
      <c r="H14" s="78"/>
      <c r="J14" s="305"/>
      <c r="L14" s="305"/>
      <c r="N14" s="305"/>
      <c r="O14" s="274">
        <f t="shared" si="1"/>
        <v>0</v>
      </c>
      <c r="P14" s="274" t="str">
        <f t="shared" si="0"/>
        <v>Pet Health / Insurance</v>
      </c>
      <c r="Q14" s="282">
        <f t="shared" si="2"/>
        <v>0</v>
      </c>
      <c r="S14">
        <v>92.88</v>
      </c>
      <c r="T14" s="305"/>
      <c r="U14" s="11"/>
      <c r="V14" s="305"/>
      <c r="X14" s="305"/>
    </row>
    <row r="15" spans="1:24" ht="15" customHeight="1" outlineLevel="1">
      <c r="B15" s="734"/>
      <c r="C15" s="734"/>
      <c r="D15" s="201" t="s">
        <v>1057</v>
      </c>
      <c r="E15" s="523">
        <v>0</v>
      </c>
      <c r="F15" s="523">
        <f>30.8+62.08</f>
        <v>92.88</v>
      </c>
      <c r="G15">
        <v>92.88</v>
      </c>
      <c r="H15" s="78"/>
      <c r="I15" s="11"/>
      <c r="J15" s="305"/>
      <c r="L15" s="305"/>
      <c r="N15" s="305"/>
      <c r="O15" s="274">
        <f t="shared" si="1"/>
        <v>0</v>
      </c>
      <c r="P15" s="274" t="str">
        <f t="shared" si="0"/>
        <v>Life / Income Insurance</v>
      </c>
      <c r="Q15" s="282">
        <f t="shared" si="2"/>
        <v>0</v>
      </c>
      <c r="S15">
        <v>37</v>
      </c>
      <c r="T15" s="305"/>
      <c r="V15" s="305"/>
      <c r="X15" s="305"/>
    </row>
    <row r="16" spans="1:24" ht="15" customHeight="1" outlineLevel="1">
      <c r="B16" s="734"/>
      <c r="C16" s="734"/>
      <c r="D16" s="201" t="s">
        <v>602</v>
      </c>
      <c r="E16" s="523">
        <v>0</v>
      </c>
      <c r="F16" s="523">
        <v>37</v>
      </c>
      <c r="G16">
        <v>37</v>
      </c>
      <c r="H16" s="78"/>
      <c r="J16" s="305"/>
      <c r="L16" s="305"/>
      <c r="N16" s="305"/>
      <c r="O16" s="274">
        <f t="shared" si="1"/>
        <v>0</v>
      </c>
      <c r="P16" s="274" t="str">
        <f t="shared" si="0"/>
        <v>Broadband / TV</v>
      </c>
      <c r="Q16" s="282">
        <f t="shared" si="2"/>
        <v>0</v>
      </c>
      <c r="T16" s="305"/>
      <c r="V16" s="305"/>
      <c r="X16" s="305"/>
    </row>
    <row r="17" spans="2:24" ht="15" customHeight="1" outlineLevel="1">
      <c r="B17" s="734"/>
      <c r="C17" s="734"/>
      <c r="D17" s="201" t="s">
        <v>788</v>
      </c>
      <c r="E17" s="523">
        <v>0</v>
      </c>
      <c r="F17" s="523">
        <v>29.1</v>
      </c>
      <c r="G17">
        <v>29.1</v>
      </c>
      <c r="H17" s="78"/>
      <c r="J17" s="305"/>
      <c r="L17" s="305"/>
      <c r="N17" s="305"/>
      <c r="O17" s="274">
        <f t="shared" si="1"/>
        <v>0</v>
      </c>
      <c r="P17" s="274" t="str">
        <f t="shared" si="0"/>
        <v>Matt Phone</v>
      </c>
      <c r="Q17" s="282">
        <f t="shared" si="2"/>
        <v>0</v>
      </c>
      <c r="S17">
        <f>48.17</f>
        <v>48.17</v>
      </c>
      <c r="T17" s="305"/>
      <c r="V17" s="305"/>
      <c r="X17" s="305"/>
    </row>
    <row r="18" spans="2:24" ht="15" customHeight="1" outlineLevel="1">
      <c r="B18" s="734"/>
      <c r="C18" s="734"/>
      <c r="D18" s="201" t="s">
        <v>690</v>
      </c>
      <c r="E18" s="523">
        <v>0</v>
      </c>
      <c r="F18" s="523">
        <f>14+48.17+270.97+487+73.32+19</f>
        <v>912.46</v>
      </c>
      <c r="G18">
        <f>48.17+14.43+16.62+73.44+270.97+487.35</f>
        <v>910.98</v>
      </c>
      <c r="H18" s="78"/>
      <c r="J18" s="305"/>
      <c r="L18" s="305"/>
      <c r="N18" s="305"/>
      <c r="O18" s="274">
        <f t="shared" si="1"/>
        <v>1.4800000000000182</v>
      </c>
      <c r="P18" s="274" t="str">
        <f t="shared" si="0"/>
        <v>Cars</v>
      </c>
      <c r="Q18" s="282">
        <f t="shared" si="2"/>
        <v>0</v>
      </c>
      <c r="T18" s="305"/>
      <c r="V18" s="305"/>
      <c r="X18" s="305"/>
    </row>
    <row r="19" spans="2:24" ht="15" customHeight="1" outlineLevel="1">
      <c r="B19" s="734"/>
      <c r="C19" s="734"/>
      <c r="D19" s="201" t="s">
        <v>944</v>
      </c>
      <c r="E19" s="523">
        <v>0</v>
      </c>
      <c r="F19" s="523">
        <v>15</v>
      </c>
      <c r="G19">
        <v>15</v>
      </c>
      <c r="H19" s="78"/>
      <c r="J19" s="305"/>
      <c r="L19" s="305"/>
      <c r="N19" s="305"/>
      <c r="O19" s="274">
        <f t="shared" si="1"/>
        <v>0</v>
      </c>
      <c r="P19" s="274" t="str">
        <f t="shared" si="0"/>
        <v>Windows</v>
      </c>
      <c r="Q19" s="282">
        <f t="shared" si="2"/>
        <v>0</v>
      </c>
      <c r="R19" s="243"/>
      <c r="T19" s="305"/>
      <c r="V19" s="305"/>
      <c r="X19" s="305"/>
    </row>
    <row r="20" spans="2:24" ht="15" customHeight="1" outlineLevel="1">
      <c r="B20" s="7"/>
      <c r="C20" s="7"/>
      <c r="D20" s="201" t="s">
        <v>2042</v>
      </c>
      <c r="E20" s="523">
        <v>0</v>
      </c>
      <c r="F20" s="523">
        <v>0</v>
      </c>
      <c r="H20" s="78"/>
      <c r="J20" s="305"/>
      <c r="L20" s="305"/>
      <c r="N20" s="305"/>
      <c r="O20" s="274">
        <f t="shared" si="1"/>
        <v>0</v>
      </c>
      <c r="P20" s="274" t="str">
        <f t="shared" si="0"/>
        <v>Health + Wellness</v>
      </c>
      <c r="Q20" s="282">
        <f t="shared" si="2"/>
        <v>0</v>
      </c>
      <c r="R20" s="243"/>
      <c r="T20" s="305"/>
      <c r="V20" s="305"/>
      <c r="X20" s="305"/>
    </row>
    <row r="21" spans="2:24" ht="15" customHeight="1" outlineLevel="1">
      <c r="B21" s="7"/>
      <c r="C21" s="7"/>
      <c r="D21" s="201" t="s">
        <v>920</v>
      </c>
      <c r="E21" s="523">
        <v>0</v>
      </c>
      <c r="F21" s="523">
        <f>48.22+137.5+170</f>
        <v>355.72</v>
      </c>
      <c r="G21">
        <f>48.22+137.5+170</f>
        <v>355.72</v>
      </c>
      <c r="H21" s="78"/>
      <c r="J21" s="305"/>
      <c r="L21" s="305"/>
      <c r="N21" s="305"/>
      <c r="O21" s="274">
        <f t="shared" si="1"/>
        <v>0</v>
      </c>
      <c r="P21" s="274" t="str">
        <f t="shared" si="0"/>
        <v>Finance</v>
      </c>
      <c r="Q21" s="282"/>
      <c r="R21" s="243"/>
      <c r="T21" s="305"/>
      <c r="V21" s="305"/>
      <c r="X21" s="305"/>
    </row>
    <row r="22" spans="2:24" ht="15" customHeight="1" outlineLevel="1">
      <c r="B22" s="7"/>
      <c r="C22" s="7"/>
      <c r="D22" s="201" t="s">
        <v>1297</v>
      </c>
      <c r="E22" s="523">
        <v>0</v>
      </c>
      <c r="F22" s="523">
        <v>0</v>
      </c>
      <c r="H22" s="78"/>
      <c r="J22" s="305"/>
      <c r="L22" s="305"/>
      <c r="N22" s="305"/>
      <c r="O22" s="274">
        <f t="shared" si="1"/>
        <v>0</v>
      </c>
      <c r="P22" s="274" t="str">
        <f t="shared" si="0"/>
        <v>Skin</v>
      </c>
      <c r="Q22" s="282"/>
      <c r="R22" s="243"/>
      <c r="S22" s="11">
        <v>12</v>
      </c>
      <c r="T22" s="305"/>
      <c r="V22" s="305"/>
      <c r="X22" s="305"/>
    </row>
    <row r="23" spans="2:24" ht="15" customHeight="1" outlineLevel="1">
      <c r="B23" s="7"/>
      <c r="C23" s="7"/>
      <c r="D23" s="201" t="s">
        <v>781</v>
      </c>
      <c r="E23" s="523">
        <v>0</v>
      </c>
      <c r="F23" s="523">
        <f>10.49+18+4.99+0.99+12+20+9.49+0.99</f>
        <v>76.949999999999989</v>
      </c>
      <c r="G23" s="11">
        <f>12+18+1.79+10.49+5.99</f>
        <v>48.27</v>
      </c>
      <c r="H23" s="78">
        <f>9.49</f>
        <v>9.49</v>
      </c>
      <c r="J23" s="305">
        <v>20</v>
      </c>
      <c r="L23" s="305">
        <f>8.99</f>
        <v>8.99</v>
      </c>
      <c r="N23" s="305"/>
      <c r="O23" s="274">
        <f t="shared" si="1"/>
        <v>-9.8000000000000114</v>
      </c>
      <c r="P23" s="274" t="str">
        <f t="shared" si="0"/>
        <v>Subscriptions</v>
      </c>
      <c r="Q23" s="282">
        <f t="shared" si="2"/>
        <v>9.8000000000000114</v>
      </c>
      <c r="R23" s="243"/>
      <c r="T23" s="305"/>
      <c r="V23" s="305"/>
      <c r="X23" s="305"/>
    </row>
    <row r="24" spans="2:24" ht="15" customHeight="1">
      <c r="B24" s="118"/>
      <c r="C24" s="118"/>
      <c r="D24" s="188"/>
      <c r="H24" s="78"/>
      <c r="J24" s="305"/>
      <c r="L24" s="305"/>
      <c r="N24" s="305"/>
      <c r="O24" s="273"/>
      <c r="P24" s="273"/>
      <c r="Q24" s="282"/>
      <c r="T24" s="305"/>
      <c r="V24" s="305"/>
      <c r="X24" s="305"/>
    </row>
    <row r="25" spans="2:24" ht="15" customHeight="1">
      <c r="B25" s="736" t="str">
        <f>_xlfn.CONCAT("Savings - 20 - ",G43*0.2," / Actual = ",D26," (",ROUND((D26/G43)*100,2),")")</f>
        <v>Savings - 20 - 1415.484 / Actual = 1200 (16.96)</v>
      </c>
      <c r="C25" s="736"/>
      <c r="D25" s="736"/>
      <c r="E25" s="736"/>
      <c r="F25" s="320"/>
      <c r="H25" s="78"/>
      <c r="J25" s="305"/>
      <c r="L25" s="305"/>
      <c r="N25" s="305"/>
      <c r="O25" s="274"/>
      <c r="P25" s="274"/>
      <c r="Q25" s="282"/>
      <c r="T25" s="305"/>
      <c r="V25" s="305"/>
      <c r="X25" s="305"/>
    </row>
    <row r="26" spans="2:24" ht="15" customHeight="1">
      <c r="B26" s="727" t="str">
        <f>IF(ISNUMBER((SEARCH("Over",C$5))),"Operating under budget","Operating over budget")</f>
        <v>Operating over budget</v>
      </c>
      <c r="C26" s="727"/>
      <c r="D26" s="759">
        <f>F27</f>
        <v>1200</v>
      </c>
      <c r="E26" s="759"/>
      <c r="F26" s="319"/>
      <c r="H26" s="78"/>
      <c r="J26" s="305"/>
      <c r="L26" s="305"/>
      <c r="N26" s="305"/>
      <c r="O26" s="285">
        <f>O27</f>
        <v>319.15999999999997</v>
      </c>
      <c r="P26" s="285" t="s">
        <v>895</v>
      </c>
      <c r="Q26" s="282">
        <f>SUM(Q27:Q27)</f>
        <v>0</v>
      </c>
      <c r="S26" s="243"/>
      <c r="T26" s="305"/>
      <c r="V26" s="305"/>
      <c r="X26" s="305"/>
    </row>
    <row r="27" spans="2:24" ht="15" customHeight="1" outlineLevel="1">
      <c r="B27" s="7" t="str">
        <f>"20% : " &amp; E$43*0.2</f>
        <v>20% : 1415.484</v>
      </c>
      <c r="C27" s="7" t="str">
        <f>"20% : " &amp; E$43*0.2</f>
        <v>20% : 1415.484</v>
      </c>
      <c r="D27" s="300" t="s">
        <v>183</v>
      </c>
      <c r="E27" s="523">
        <v>0</v>
      </c>
      <c r="F27" s="523">
        <f>SUM(F28:F35)</f>
        <v>1200</v>
      </c>
      <c r="G27" s="243"/>
      <c r="H27" s="78"/>
      <c r="J27" s="305"/>
      <c r="L27" s="305"/>
      <c r="N27" s="305"/>
      <c r="O27" s="274">
        <f>SUM(O28:O35)</f>
        <v>319.15999999999997</v>
      </c>
      <c r="P27" s="274" t="str">
        <f t="shared" ref="P27:P35" si="3">D27</f>
        <v>Savings</v>
      </c>
      <c r="Q27" s="282">
        <v>0</v>
      </c>
      <c r="R27" s="495"/>
      <c r="T27" s="305"/>
      <c r="V27" s="305"/>
      <c r="X27" s="362"/>
    </row>
    <row r="28" spans="2:24" ht="15" customHeight="1" outlineLevel="1">
      <c r="B28" s="7"/>
      <c r="C28" s="7"/>
      <c r="D28" s="300" t="s">
        <v>1485</v>
      </c>
      <c r="E28" s="523">
        <v>0</v>
      </c>
      <c r="F28" s="523">
        <v>90</v>
      </c>
      <c r="H28" s="78"/>
      <c r="J28" s="305"/>
      <c r="L28" s="305"/>
      <c r="N28" s="315"/>
      <c r="O28" s="274">
        <f>SUM(E28:F28)-SUM(G28:N28)</f>
        <v>90</v>
      </c>
      <c r="P28" s="274" t="str">
        <f t="shared" si="3"/>
        <v>MOT / Service</v>
      </c>
      <c r="Q28" s="282"/>
      <c r="R28" s="243"/>
      <c r="T28" s="305"/>
      <c r="V28" s="305"/>
      <c r="X28" s="362"/>
    </row>
    <row r="29" spans="2:24" ht="15" customHeight="1" outlineLevel="1">
      <c r="B29" s="7"/>
      <c r="C29" s="7"/>
      <c r="D29" s="300" t="s">
        <v>690</v>
      </c>
      <c r="E29" s="523">
        <v>0</v>
      </c>
      <c r="F29" s="523">
        <f>-468.84-232.5</f>
        <v>-701.33999999999992</v>
      </c>
      <c r="H29" s="78"/>
      <c r="J29" s="305"/>
      <c r="L29" s="305"/>
      <c r="N29" s="315"/>
      <c r="O29" s="274">
        <f>SUM(E29:F29)-SUM(G29:N29)</f>
        <v>-701.33999999999992</v>
      </c>
      <c r="P29" s="274" t="str">
        <f t="shared" si="3"/>
        <v>Cars</v>
      </c>
      <c r="Q29" s="282"/>
      <c r="R29" s="243"/>
      <c r="S29" s="305"/>
      <c r="V29" s="305"/>
      <c r="X29" s="362"/>
    </row>
    <row r="30" spans="2:24" ht="15" customHeight="1" outlineLevel="1">
      <c r="B30" s="7"/>
      <c r="C30" s="7"/>
      <c r="D30" s="300" t="s">
        <v>590</v>
      </c>
      <c r="E30" s="523">
        <v>0</v>
      </c>
      <c r="F30" s="523">
        <f>165+10.99+8.99+2.85+29.95</f>
        <v>217.78</v>
      </c>
      <c r="G30" s="305"/>
      <c r="H30" s="78">
        <v>76.180000000000007</v>
      </c>
      <c r="J30" s="305">
        <f>100+25</f>
        <v>125</v>
      </c>
      <c r="N30" s="315"/>
      <c r="O30" s="274">
        <f>SUM(E30:F30)-SUM(G30:N30)-Q43</f>
        <v>-6.0600000000000165</v>
      </c>
      <c r="P30" s="274" t="str">
        <f t="shared" si="3"/>
        <v>Contingency</v>
      </c>
      <c r="Q30" s="282"/>
      <c r="T30" s="305"/>
      <c r="V30" s="305"/>
      <c r="X30" s="362"/>
    </row>
    <row r="31" spans="2:24" ht="15" customHeight="1" outlineLevel="1">
      <c r="B31" s="7"/>
      <c r="C31" s="7"/>
      <c r="D31" s="300" t="s">
        <v>1486</v>
      </c>
      <c r="E31" s="523">
        <v>0</v>
      </c>
      <c r="F31" s="523">
        <v>13.67</v>
      </c>
      <c r="H31" s="78"/>
      <c r="J31" s="305"/>
      <c r="L31" s="305"/>
      <c r="N31" s="315"/>
      <c r="O31" s="274">
        <f t="shared" ref="O31:O35" si="4">SUM(E31:F31)-SUM(G31:N31)</f>
        <v>13.67</v>
      </c>
      <c r="P31" s="274" t="str">
        <f t="shared" si="3"/>
        <v>TV</v>
      </c>
      <c r="Q31" s="282"/>
      <c r="T31" s="305"/>
      <c r="V31" s="305"/>
      <c r="X31" s="362"/>
    </row>
    <row r="32" spans="2:24" ht="15" customHeight="1" outlineLevel="1">
      <c r="B32" s="7"/>
      <c r="C32" s="7"/>
      <c r="D32" s="300" t="s">
        <v>1296</v>
      </c>
      <c r="E32" s="523">
        <v>0</v>
      </c>
      <c r="F32" s="523">
        <v>95</v>
      </c>
      <c r="H32" s="78">
        <f>855.99-689-855.99</f>
        <v>-689</v>
      </c>
      <c r="J32" s="305"/>
      <c r="L32" s="305"/>
      <c r="N32" s="315"/>
      <c r="O32" s="274">
        <f t="shared" si="4"/>
        <v>784</v>
      </c>
      <c r="P32" s="274" t="str">
        <f t="shared" si="3"/>
        <v>Offset</v>
      </c>
      <c r="Q32" s="282"/>
      <c r="V32" s="305"/>
      <c r="X32" s="362"/>
    </row>
    <row r="33" spans="2:24" ht="15" customHeight="1" outlineLevel="1">
      <c r="B33" s="7"/>
      <c r="C33" s="7"/>
      <c r="D33" s="300" t="s">
        <v>354</v>
      </c>
      <c r="E33" s="523">
        <v>0</v>
      </c>
      <c r="F33" s="523">
        <f>650+55+80+32.14+100+40-271.13+140-16.12-170+100</f>
        <v>739.89</v>
      </c>
      <c r="H33" s="78">
        <f>95.14+950</f>
        <v>1045.1400000000001</v>
      </c>
      <c r="J33" s="305"/>
      <c r="L33">
        <f>172.65-162.79+151</f>
        <v>160.86000000000001</v>
      </c>
      <c r="N33" s="315"/>
      <c r="O33" s="274">
        <f t="shared" si="4"/>
        <v>-466.11</v>
      </c>
      <c r="P33" s="274" t="str">
        <f t="shared" si="3"/>
        <v>Holiday</v>
      </c>
      <c r="Q33" s="282"/>
      <c r="V33" s="305"/>
      <c r="X33" s="362">
        <f>43.99+19.99</f>
        <v>63.980000000000004</v>
      </c>
    </row>
    <row r="34" spans="2:24" ht="15" customHeight="1" outlineLevel="1">
      <c r="B34" s="7"/>
      <c r="C34" s="7"/>
      <c r="D34" s="300" t="s">
        <v>701</v>
      </c>
      <c r="E34" s="523">
        <v>0</v>
      </c>
      <c r="F34" s="523">
        <f>100+150</f>
        <v>250</v>
      </c>
      <c r="H34" s="78">
        <f>140</f>
        <v>140</v>
      </c>
      <c r="J34" s="305"/>
      <c r="N34" s="315"/>
      <c r="O34" s="274">
        <f t="shared" si="4"/>
        <v>110</v>
      </c>
      <c r="P34" s="274" t="str">
        <f t="shared" si="3"/>
        <v>Gift</v>
      </c>
      <c r="Q34" s="282"/>
      <c r="T34" s="305"/>
      <c r="V34" s="305"/>
      <c r="X34" s="362"/>
    </row>
    <row r="35" spans="2:24" ht="15" customHeight="1" outlineLevel="1">
      <c r="B35" s="7"/>
      <c r="C35" s="7"/>
      <c r="D35" s="300" t="s">
        <v>1391</v>
      </c>
      <c r="E35" s="523">
        <v>0</v>
      </c>
      <c r="F35" s="523">
        <f>375+120</f>
        <v>495</v>
      </c>
      <c r="H35" s="78"/>
      <c r="J35" s="305"/>
      <c r="L35" s="305"/>
      <c r="N35" s="315"/>
      <c r="O35" s="274">
        <f t="shared" si="4"/>
        <v>495</v>
      </c>
      <c r="P35" s="274" t="str">
        <f t="shared" si="3"/>
        <v>Avios</v>
      </c>
      <c r="Q35" s="282"/>
      <c r="T35" s="305"/>
      <c r="V35" s="305"/>
      <c r="X35" s="362"/>
    </row>
    <row r="36" spans="2:24" ht="15" customHeight="1">
      <c r="B36" s="118"/>
      <c r="C36" s="118"/>
      <c r="H36" s="78"/>
      <c r="J36" s="305"/>
      <c r="L36" s="305"/>
      <c r="N36" s="305"/>
      <c r="O36" s="273"/>
      <c r="P36" s="273"/>
      <c r="Q36" s="282"/>
      <c r="R36" s="243"/>
      <c r="T36" s="305"/>
      <c r="V36" s="305"/>
      <c r="X36" s="305"/>
    </row>
    <row r="37" spans="2:24" ht="15" customHeight="1">
      <c r="B37" s="727" t="str">
        <f>_xlfn.CONCAT("Wants - 30 - ",G43*0.3," / Actual = ",D38," (",ROUND((D38/G43)*100,2),")")</f>
        <v>Wants - 30 - 2123.226 / Actual = 2388.33 (33.75)</v>
      </c>
      <c r="C37" s="727"/>
      <c r="D37" s="727"/>
      <c r="E37" s="727"/>
      <c r="F37" s="318"/>
      <c r="H37" s="78"/>
      <c r="J37" s="305"/>
      <c r="L37" s="305"/>
      <c r="N37" s="305"/>
      <c r="O37" s="273"/>
      <c r="P37" s="273"/>
      <c r="Q37" s="282"/>
      <c r="T37" s="305"/>
      <c r="V37" s="305"/>
      <c r="X37" s="305"/>
    </row>
    <row r="38" spans="2:24" ht="15" customHeight="1">
      <c r="B38" s="727" t="str">
        <f>IF(ISNUMBER((SEARCH("Over",B$5))),"Operating under budget","Operating over budget")</f>
        <v>Operating over budget</v>
      </c>
      <c r="C38" s="727"/>
      <c r="D38" s="759">
        <f>(E$43-D5-D26-E42)</f>
        <v>2388.3300000000008</v>
      </c>
      <c r="E38" s="727"/>
      <c r="F38" s="319"/>
      <c r="H38" s="78"/>
      <c r="J38" s="305"/>
      <c r="L38" s="305"/>
      <c r="N38" s="305"/>
      <c r="O38" s="285">
        <f>0</f>
        <v>0</v>
      </c>
      <c r="P38" s="285" t="s">
        <v>899</v>
      </c>
      <c r="Q38" s="282">
        <f>SUM(Q39:Q39)</f>
        <v>0</v>
      </c>
      <c r="S38" s="11"/>
      <c r="X38">
        <f>1.16</f>
        <v>1.1599999999999999</v>
      </c>
    </row>
    <row r="39" spans="2:24" ht="18" outlineLevel="1">
      <c r="B39" s="7"/>
      <c r="C39" s="284"/>
      <c r="D39" s="13" t="s">
        <v>922</v>
      </c>
      <c r="E39" s="523">
        <v>0</v>
      </c>
      <c r="F39" s="523">
        <f>D38-F41-F40</f>
        <v>428.33000000000084</v>
      </c>
      <c r="G39" s="11">
        <f>1.55+1.8+5.4+4.3+17.99</f>
        <v>31.04</v>
      </c>
      <c r="H39" s="78">
        <f>14.45+15.5+15.37+19.99+12.5+10.95+18.4+9.9+6.43+6.2+5.7+4+4.99+7.83+7.99+3.99+1.4+1.65+5.55+12.25+6.2+11+5.35+9.9+7.79+12.15+8+2.9+28.03+11.1+4+9.9+10.89</f>
        <v>312.25</v>
      </c>
      <c r="J39">
        <f>3.3+2.5+2.92+0.87+7.8+3.7+3.7+10+4.5+8.7+1.5+1.5+2.2+2+8.7</f>
        <v>63.89</v>
      </c>
      <c r="L39">
        <f>10+50.25+7+24.55+4.5+7.4</f>
        <v>103.7</v>
      </c>
      <c r="N39" s="305"/>
      <c r="O39" s="274">
        <f>SUM(E39:F39)-SUM(G39:N39)</f>
        <v>-82.549999999999159</v>
      </c>
      <c r="P39" s="274" t="str">
        <f>D39</f>
        <v>Matt Fun</v>
      </c>
      <c r="Q39" s="282"/>
      <c r="S39" s="11"/>
    </row>
    <row r="40" spans="2:24" ht="18" outlineLevel="1">
      <c r="B40" s="7"/>
      <c r="C40" s="284"/>
      <c r="D40" s="13" t="s">
        <v>814</v>
      </c>
      <c r="E40" s="523">
        <f>2332.12</f>
        <v>2332.12</v>
      </c>
      <c r="F40" s="523">
        <f>108+100+50+60+400+1050</f>
        <v>1768</v>
      </c>
      <c r="G40" s="11">
        <f>51.76+1145.46+2902.9</f>
        <v>4100.12</v>
      </c>
      <c r="H40" s="78"/>
      <c r="N40" s="305"/>
      <c r="O40" s="274">
        <f>SUM(E40:F40)-SUM(G40:N40)</f>
        <v>0</v>
      </c>
      <c r="P40" s="274" t="str">
        <f>D40</f>
        <v>CC</v>
      </c>
      <c r="Q40" s="282"/>
      <c r="S40" s="11"/>
    </row>
    <row r="41" spans="2:24" ht="18" outlineLevel="1">
      <c r="B41" s="7"/>
      <c r="C41" s="284"/>
      <c r="D41" s="13" t="s">
        <v>152</v>
      </c>
      <c r="E41" s="523">
        <v>0</v>
      </c>
      <c r="F41" s="523">
        <f>83+26+55+28</f>
        <v>192</v>
      </c>
      <c r="G41" s="11"/>
      <c r="H41" s="326">
        <f>83.1+28.13+26.57+28.54+55</f>
        <v>221.33999999999997</v>
      </c>
      <c r="J41" s="305"/>
      <c r="L41" s="305"/>
      <c r="N41" s="305"/>
      <c r="O41" s="274">
        <f>SUM(E41:F41)-SUM(G41:N41)</f>
        <v>-29.339999999999975</v>
      </c>
      <c r="P41" s="274" t="str">
        <f>D41</f>
        <v>Kris</v>
      </c>
      <c r="Q41" s="271">
        <f>IF(F41-SUM(G41:N41)&lt;=0,(F41-SUM(G41:N41))*-1,0)</f>
        <v>29.339999999999975</v>
      </c>
    </row>
    <row r="42" spans="2:24">
      <c r="B42" s="118"/>
      <c r="C42" s="118"/>
      <c r="E42" s="523">
        <f>E27</f>
        <v>0</v>
      </c>
      <c r="G42" s="349"/>
      <c r="J42" s="7"/>
      <c r="L42" s="7"/>
      <c r="N42" s="7"/>
      <c r="O42" s="273"/>
      <c r="P42" s="273"/>
      <c r="Q42" s="282"/>
    </row>
    <row r="43" spans="2:24" ht="18">
      <c r="B43" s="728" t="s">
        <v>817</v>
      </c>
      <c r="C43" s="728"/>
      <c r="D43" s="728"/>
      <c r="E43" s="529">
        <f>G43+I43+K43+M43+N43+E42</f>
        <v>7077.420000000001</v>
      </c>
      <c r="F43" s="530"/>
      <c r="G43" s="271">
        <f>3765.86+910+140+108+100+100+0.01+83+60+400+1050+28+26+55+120+56.55+30+25+20</f>
        <v>7077.420000000001</v>
      </c>
      <c r="H43" s="282"/>
      <c r="I43" s="271"/>
      <c r="J43" s="271"/>
      <c r="K43" s="271"/>
      <c r="L43" s="271"/>
      <c r="M43" s="271"/>
      <c r="N43" s="271"/>
      <c r="O43" s="314">
        <f>ROUND(O5+O38+O26+IF(O39&lt;0,0,O39)+O41+O4+O40,2)</f>
        <v>2582.0100000000002</v>
      </c>
      <c r="P43" s="274"/>
      <c r="Q43" s="282">
        <f>SUM(Q38,Q26,Q5)</f>
        <v>22.660000000000011</v>
      </c>
    </row>
    <row r="44" spans="2:24" ht="18">
      <c r="B44" s="118"/>
      <c r="C44" s="7"/>
      <c r="D44" s="13" t="s">
        <v>1451</v>
      </c>
      <c r="G44" s="523"/>
      <c r="H44" s="243"/>
      <c r="L44" s="243"/>
      <c r="O44" s="610">
        <f>O43-SUM(O4:O5)</f>
        <v>289.82000000000062</v>
      </c>
      <c r="P44" s="7" t="str">
        <f>IF(O44&lt;0, "DEFICIT", "")</f>
        <v/>
      </c>
    </row>
    <row r="45" spans="2:24" ht="14.4">
      <c r="B45" s="729"/>
      <c r="C45" s="729"/>
      <c r="D45" s="729"/>
      <c r="E45" s="729"/>
      <c r="F45" s="729"/>
      <c r="G45" s="729"/>
      <c r="H45" s="297"/>
      <c r="K45" s="729"/>
      <c r="L45" s="729"/>
      <c r="M45" s="729"/>
      <c r="N45" s="729"/>
      <c r="O45" s="729"/>
      <c r="P45" s="297"/>
    </row>
    <row r="46" spans="2:24" ht="15" customHeight="1">
      <c r="B46" s="726" t="s">
        <v>955</v>
      </c>
      <c r="C46" s="726"/>
      <c r="D46" s="726" t="s">
        <v>2848</v>
      </c>
      <c r="E46" s="726"/>
      <c r="F46" s="348"/>
      <c r="H46" s="243"/>
      <c r="K46" s="212"/>
      <c r="L46" s="212"/>
      <c r="M46" s="243"/>
      <c r="N46" s="476" t="s">
        <v>2828</v>
      </c>
      <c r="O46" s="316">
        <v>45945</v>
      </c>
      <c r="P46" s="7">
        <f ca="1">DATEDIF(O46,NOW(),"d")</f>
        <v>306</v>
      </c>
      <c r="Q46">
        <v>170</v>
      </c>
      <c r="R46" t="s">
        <v>2829</v>
      </c>
    </row>
    <row r="47" spans="2:24">
      <c r="B47" s="523"/>
      <c r="C47" s="38"/>
      <c r="D47" s="358">
        <v>20</v>
      </c>
      <c r="E47" s="628" t="s">
        <v>2827</v>
      </c>
      <c r="I47" t="s">
        <v>2808</v>
      </c>
      <c r="J47">
        <f>3295.71</f>
        <v>3295.71</v>
      </c>
      <c r="L47" s="243">
        <f>3535.03-O43</f>
        <v>953.02</v>
      </c>
      <c r="N47" s="483" t="s">
        <v>2830</v>
      </c>
      <c r="O47" s="42">
        <v>45945</v>
      </c>
      <c r="P47" s="7">
        <f ca="1">DATEDIF(O47,NOW(),"d")</f>
        <v>306</v>
      </c>
      <c r="Q47">
        <v>11.1</v>
      </c>
      <c r="R47" t="s">
        <v>2833</v>
      </c>
    </row>
    <row r="48" spans="2:24">
      <c r="D48" s="478">
        <v>20</v>
      </c>
      <c r="E48" s="631" t="s">
        <v>2843</v>
      </c>
      <c r="F48" s="625" t="s">
        <v>183</v>
      </c>
      <c r="G48" s="619">
        <v>3300</v>
      </c>
      <c r="I48" s="501" t="s">
        <v>2809</v>
      </c>
      <c r="J48" s="501">
        <f>J47-H4</f>
        <v>1610.15</v>
      </c>
      <c r="K48" s="243"/>
      <c r="L48" s="243"/>
      <c r="N48" s="358" t="s">
        <v>2831</v>
      </c>
      <c r="O48" s="316">
        <v>45945</v>
      </c>
      <c r="P48" s="7">
        <v>0</v>
      </c>
      <c r="Q48">
        <v>8.6999999999999993</v>
      </c>
      <c r="R48" t="s">
        <v>2832</v>
      </c>
    </row>
    <row r="49" spans="2:17" ht="16.2" customHeight="1">
      <c r="D49" s="627">
        <v>118</v>
      </c>
      <c r="E49" s="503" t="s">
        <v>2826</v>
      </c>
      <c r="F49" s="625" t="s">
        <v>2858</v>
      </c>
      <c r="G49" s="243">
        <f>G48-3000</f>
        <v>300</v>
      </c>
      <c r="L49" s="243"/>
    </row>
    <row r="50" spans="2:17">
      <c r="B50" s="532"/>
      <c r="D50" s="627">
        <v>30</v>
      </c>
      <c r="E50" s="626" t="s">
        <v>19</v>
      </c>
      <c r="F50" s="625" t="s">
        <v>1230</v>
      </c>
      <c r="G50" s="243">
        <f>G49+250</f>
        <v>550</v>
      </c>
      <c r="I50" t="s">
        <v>2810</v>
      </c>
      <c r="J50">
        <v>1289.32</v>
      </c>
      <c r="L50" s="243">
        <v>70</v>
      </c>
      <c r="M50" s="243"/>
      <c r="P50"/>
    </row>
    <row r="51" spans="2:17">
      <c r="D51" s="358">
        <v>130</v>
      </c>
      <c r="E51" s="626" t="s">
        <v>2857</v>
      </c>
      <c r="F51" s="625" t="s">
        <v>2859</v>
      </c>
      <c r="G51" s="243">
        <f>G50+2000</f>
        <v>2550</v>
      </c>
      <c r="I51" s="358" t="s">
        <v>2811</v>
      </c>
      <c r="J51" s="501">
        <f>J50-J4</f>
        <v>978.31999999999994</v>
      </c>
      <c r="L51" s="243"/>
      <c r="M51" s="243"/>
      <c r="N51" s="243"/>
      <c r="P51"/>
      <c r="Q51" s="243"/>
    </row>
    <row r="52" spans="2:17">
      <c r="D52" s="358">
        <v>135</v>
      </c>
      <c r="E52" s="626" t="s">
        <v>2849</v>
      </c>
      <c r="L52" s="725"/>
      <c r="M52" s="725"/>
      <c r="P52" s="292"/>
      <c r="Q52" s="212"/>
    </row>
    <row r="53" spans="2:17" ht="15" customHeight="1">
      <c r="D53">
        <f>1099-(20*24)-SUM(D47:D52)</f>
        <v>166</v>
      </c>
      <c r="E53" s="212" t="s">
        <v>2137</v>
      </c>
      <c r="F53" s="523">
        <f>D47+D49+D50+D52</f>
        <v>303</v>
      </c>
      <c r="I53" s="358" t="s">
        <v>2813</v>
      </c>
      <c r="J53" s="358">
        <f>42.27+9.49</f>
        <v>51.760000000000005</v>
      </c>
      <c r="M53" s="243"/>
      <c r="N53" s="243"/>
      <c r="P53" s="56"/>
      <c r="Q53" s="38"/>
    </row>
    <row r="54" spans="2:17">
      <c r="D54" s="458">
        <f>D53/20-20</f>
        <v>-11.7</v>
      </c>
      <c r="E54" s="56" t="s">
        <v>1812</v>
      </c>
      <c r="F54" s="523">
        <f>(D47+D49+D50+D52)/(45.28-20)</f>
        <v>11.985759493670885</v>
      </c>
      <c r="M54" s="243"/>
      <c r="O54"/>
      <c r="P54"/>
    </row>
    <row r="55" spans="2:17" ht="15" customHeight="1">
      <c r="E55" s="624"/>
      <c r="F55" s="523">
        <f>45.28-20</f>
        <v>25.28</v>
      </c>
      <c r="I55" t="s">
        <v>1287</v>
      </c>
      <c r="J55" s="243">
        <f>J48+J51+J53</f>
        <v>2640.2300000000005</v>
      </c>
      <c r="M55" s="243"/>
    </row>
    <row r="56" spans="2:17" ht="16.2" customHeight="1">
      <c r="E56" s="624"/>
      <c r="I56" s="478" t="s">
        <v>2812</v>
      </c>
      <c r="J56" s="482">
        <f>J55-SUM(E40:F40)</f>
        <v>-1459.8899999999994</v>
      </c>
    </row>
    <row r="57" spans="2:17" ht="14.7" customHeight="1">
      <c r="B57" s="11"/>
      <c r="D57" t="s">
        <v>2860</v>
      </c>
      <c r="E57" s="79"/>
      <c r="F57" s="625" t="s">
        <v>2137</v>
      </c>
      <c r="G57">
        <f>1099-(20*24)</f>
        <v>619</v>
      </c>
      <c r="O57"/>
      <c r="P57"/>
    </row>
    <row r="58" spans="2:17">
      <c r="B58" s="11"/>
      <c r="D58" t="s">
        <v>2861</v>
      </c>
      <c r="E58" s="624">
        <f>37-25</f>
        <v>12</v>
      </c>
      <c r="O58"/>
      <c r="P58"/>
    </row>
    <row r="59" spans="2:17">
      <c r="B59" s="11"/>
      <c r="D59" t="s">
        <v>2906</v>
      </c>
      <c r="E59" s="624">
        <f>F17-10</f>
        <v>19.100000000000001</v>
      </c>
      <c r="O59"/>
      <c r="P59"/>
    </row>
    <row r="60" spans="2:17">
      <c r="D60" t="s">
        <v>2862</v>
      </c>
      <c r="E60" s="624">
        <f>75-25</f>
        <v>50</v>
      </c>
      <c r="L60" s="243"/>
      <c r="M60" s="243"/>
      <c r="O60"/>
      <c r="P60"/>
    </row>
    <row r="61" spans="2:17">
      <c r="B61" s="212"/>
      <c r="C61" s="212"/>
      <c r="L61" s="243"/>
      <c r="O61"/>
      <c r="P61"/>
    </row>
    <row r="62" spans="2:17">
      <c r="C62" s="56"/>
      <c r="D62">
        <f>777.75</f>
        <v>777.75</v>
      </c>
      <c r="E62" s="624">
        <f>D62-D66</f>
        <v>177.7600000000001</v>
      </c>
      <c r="F62" s="625"/>
      <c r="L62" s="243"/>
      <c r="O62"/>
      <c r="P62"/>
    </row>
    <row r="63" spans="2:17" ht="15.75" customHeight="1">
      <c r="C63" s="56"/>
      <c r="E63" s="624"/>
      <c r="F63" s="625"/>
      <c r="L63" s="243"/>
      <c r="M63" s="243"/>
      <c r="O63"/>
      <c r="P63"/>
    </row>
    <row r="64" spans="2:17">
      <c r="C64" s="56"/>
      <c r="D64">
        <f>23.99+(185*2)+641.66</f>
        <v>1035.6500000000001</v>
      </c>
      <c r="F64" s="625"/>
      <c r="M64" s="243"/>
      <c r="O64"/>
      <c r="P64"/>
    </row>
    <row r="65" spans="2:16">
      <c r="C65" s="56"/>
      <c r="D65">
        <f>D64-993.98</f>
        <v>41.670000000000073</v>
      </c>
      <c r="F65" s="625"/>
      <c r="O65"/>
      <c r="P65"/>
    </row>
    <row r="66" spans="2:16">
      <c r="C66" s="56"/>
      <c r="D66">
        <f>641.66-D65</f>
        <v>599.9899999999999</v>
      </c>
      <c r="F66" s="625"/>
      <c r="G66" s="426"/>
      <c r="O66"/>
      <c r="P66"/>
    </row>
    <row r="67" spans="2:16">
      <c r="C67" s="56"/>
      <c r="O67"/>
      <c r="P67"/>
    </row>
    <row r="68" spans="2:16">
      <c r="C68" s="56"/>
      <c r="N68" s="288"/>
      <c r="O68"/>
      <c r="P68"/>
    </row>
    <row r="69" spans="2:16">
      <c r="C69" s="56"/>
      <c r="O69"/>
      <c r="P69"/>
    </row>
    <row r="70" spans="2:16">
      <c r="C70" s="56"/>
      <c r="L70" s="243"/>
      <c r="O70"/>
      <c r="P70"/>
    </row>
    <row r="71" spans="2:16">
      <c r="C71" s="56"/>
      <c r="O71"/>
      <c r="P71"/>
    </row>
    <row r="72" spans="2:16" ht="15.45" customHeight="1">
      <c r="C72" s="56"/>
      <c r="E72" s="407"/>
      <c r="F72" s="11"/>
      <c r="I72" s="407"/>
      <c r="J72" s="407"/>
      <c r="K72" s="407"/>
      <c r="L72" s="407"/>
      <c r="M72" s="407"/>
      <c r="O72"/>
      <c r="P72"/>
    </row>
    <row r="73" spans="2:16" ht="14.4">
      <c r="D73" s="459"/>
      <c r="E73" s="243"/>
      <c r="F73" s="459"/>
      <c r="O73"/>
      <c r="P73"/>
    </row>
    <row r="74" spans="2:16" ht="14.4">
      <c r="B74" s="212"/>
      <c r="C74" s="294"/>
      <c r="D74" s="188"/>
      <c r="E74"/>
      <c r="F74" s="188"/>
      <c r="O74"/>
      <c r="P74"/>
    </row>
    <row r="75" spans="2:16" ht="15.45" customHeight="1">
      <c r="C75" s="56"/>
      <c r="E75" s="243"/>
      <c r="F75"/>
      <c r="M75" s="243"/>
      <c r="O75"/>
      <c r="P75"/>
    </row>
    <row r="76" spans="2:16">
      <c r="C76" s="56"/>
      <c r="E76" s="532"/>
      <c r="F76"/>
      <c r="O76"/>
      <c r="P76"/>
    </row>
    <row r="77" spans="2:16">
      <c r="C77" s="56"/>
      <c r="L77" s="459"/>
      <c r="M77" s="461"/>
      <c r="O77"/>
      <c r="P77"/>
    </row>
    <row r="78" spans="2:16">
      <c r="C78" s="56"/>
      <c r="D78" s="426"/>
      <c r="E78" s="533"/>
      <c r="L78" s="188"/>
      <c r="M78" s="230"/>
      <c r="O78"/>
      <c r="P78"/>
    </row>
    <row r="79" spans="2:16">
      <c r="C79" s="56"/>
      <c r="D79" s="405"/>
      <c r="E79" s="407"/>
      <c r="L79" s="188"/>
      <c r="M79" s="230"/>
      <c r="O79"/>
      <c r="P79"/>
    </row>
    <row r="80" spans="2:16">
      <c r="C80" s="56"/>
      <c r="D80" s="532"/>
      <c r="E80"/>
      <c r="L80" s="188"/>
      <c r="M80" s="230"/>
      <c r="O80"/>
      <c r="P80"/>
    </row>
    <row r="81" spans="4:16">
      <c r="E81" s="533"/>
      <c r="L81" s="188"/>
      <c r="M81" s="230"/>
      <c r="O81"/>
      <c r="P81"/>
    </row>
    <row r="82" spans="4:16">
      <c r="E82" s="533"/>
      <c r="J82" s="55"/>
      <c r="L82" s="532"/>
      <c r="M82" s="230"/>
      <c r="O82"/>
      <c r="P82"/>
    </row>
    <row r="83" spans="4:16">
      <c r="E83" s="533"/>
      <c r="F83" s="212"/>
      <c r="L83" s="405"/>
      <c r="M83" s="230"/>
      <c r="O83"/>
      <c r="P83"/>
    </row>
    <row r="84" spans="4:16" ht="14.4">
      <c r="E84"/>
      <c r="F84"/>
    </row>
    <row r="85" spans="4:16" ht="14.4">
      <c r="E85"/>
      <c r="F85"/>
    </row>
    <row r="86" spans="4:16">
      <c r="F86"/>
    </row>
    <row r="87" spans="4:16">
      <c r="F87" s="56"/>
    </row>
    <row r="88" spans="4:16">
      <c r="F88" s="56"/>
    </row>
    <row r="89" spans="4:16">
      <c r="F89" s="56"/>
    </row>
    <row r="91" spans="4:16">
      <c r="F91" s="212"/>
    </row>
    <row r="92" spans="4:16">
      <c r="F92" s="56"/>
    </row>
    <row r="93" spans="4:16">
      <c r="F93" s="56"/>
      <c r="H93" s="623"/>
    </row>
    <row r="94" spans="4:16">
      <c r="F94" s="56"/>
      <c r="G94" s="407"/>
    </row>
    <row r="95" spans="4:16" ht="14.4">
      <c r="D95" s="621"/>
      <c r="E95" s="56"/>
      <c r="F95" s="56"/>
      <c r="G95" s="407"/>
    </row>
    <row r="96" spans="4:16" ht="14.4">
      <c r="E96" s="56"/>
      <c r="F96" s="56"/>
      <c r="G96" s="407"/>
    </row>
    <row r="97" spans="5:16" ht="14.4">
      <c r="E97" s="56"/>
      <c r="F97" s="56"/>
      <c r="G97" s="407"/>
    </row>
    <row r="98" spans="5:16">
      <c r="G98" s="407"/>
      <c r="O98"/>
      <c r="P98"/>
    </row>
    <row r="99" spans="5:16">
      <c r="G99" s="407"/>
      <c r="O99"/>
      <c r="P99"/>
    </row>
    <row r="100" spans="5:16">
      <c r="G100" s="407"/>
      <c r="O100"/>
      <c r="P100"/>
    </row>
    <row r="101" spans="5:16">
      <c r="G101" s="407"/>
    </row>
  </sheetData>
  <mergeCells count="23">
    <mergeCell ref="K45:O45"/>
    <mergeCell ref="B46:C46"/>
    <mergeCell ref="L52:M52"/>
    <mergeCell ref="B37:E37"/>
    <mergeCell ref="B38:C38"/>
    <mergeCell ref="D38:E38"/>
    <mergeCell ref="B45:G45"/>
    <mergeCell ref="D46:E46"/>
    <mergeCell ref="B43:D43"/>
    <mergeCell ref="B4:E4"/>
    <mergeCell ref="B1:O1"/>
    <mergeCell ref="G3:H3"/>
    <mergeCell ref="I3:J3"/>
    <mergeCell ref="K3:L3"/>
    <mergeCell ref="M3:N3"/>
    <mergeCell ref="B25:E25"/>
    <mergeCell ref="B26:C26"/>
    <mergeCell ref="D26:E26"/>
    <mergeCell ref="B5:C5"/>
    <mergeCell ref="D5:E5"/>
    <mergeCell ref="B6:B19"/>
    <mergeCell ref="C6:C19"/>
    <mergeCell ref="E9:F9"/>
  </mergeCells>
  <pageMargins left="0.7" right="0.7" top="0.75" bottom="0.75" header="0.3" footer="0.3"/>
  <pageSetup orientation="portrait" r:id="rId1"/>
  <legacyDrawing r:id="rId2"/>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F6201-43F3-42B5-B252-BF6BB2A6FD6C}">
  <dimension ref="A1:K15"/>
  <sheetViews>
    <sheetView workbookViewId="0">
      <selection activeCell="E15" sqref="E15"/>
    </sheetView>
  </sheetViews>
  <sheetFormatPr defaultColWidth="8.44140625" defaultRowHeight="14.4"/>
  <cols>
    <col min="1" max="1" width="22.44140625" bestFit="1" customWidth="1"/>
    <col min="2" max="2" width="16.109375" bestFit="1" customWidth="1"/>
    <col min="3" max="5" width="16.109375" customWidth="1"/>
    <col min="6" max="6" width="24" bestFit="1" customWidth="1"/>
    <col min="7" max="7" width="16.109375" customWidth="1"/>
    <col min="8" max="8" width="18.77734375" bestFit="1" customWidth="1"/>
    <col min="9" max="9" width="18.77734375" customWidth="1"/>
    <col min="10" max="10" width="31.44140625" bestFit="1" customWidth="1"/>
    <col min="11" max="11" width="16.109375" bestFit="1" customWidth="1"/>
  </cols>
  <sheetData>
    <row r="1" spans="1:11">
      <c r="A1" s="78" t="s">
        <v>3037</v>
      </c>
      <c r="B1" s="42">
        <v>45980</v>
      </c>
      <c r="C1" s="42"/>
      <c r="D1" s="42"/>
    </row>
    <row r="2" spans="1:11">
      <c r="A2" s="78" t="s">
        <v>3038</v>
      </c>
      <c r="B2">
        <v>22347485</v>
      </c>
    </row>
    <row r="3" spans="1:11">
      <c r="A3" s="782" t="s">
        <v>3058</v>
      </c>
      <c r="B3" s="782"/>
      <c r="C3" s="782"/>
      <c r="D3" s="782"/>
      <c r="E3" s="782"/>
      <c r="F3" s="782"/>
      <c r="G3" s="782"/>
      <c r="H3" s="782"/>
      <c r="I3" s="782"/>
      <c r="J3" s="782"/>
    </row>
    <row r="4" spans="1:11">
      <c r="A4" s="78" t="s">
        <v>559</v>
      </c>
      <c r="B4" s="78" t="s">
        <v>1855</v>
      </c>
      <c r="C4" s="78" t="s">
        <v>3048</v>
      </c>
      <c r="D4" s="78" t="s">
        <v>3029</v>
      </c>
      <c r="E4" s="78" t="s">
        <v>560</v>
      </c>
      <c r="F4" s="78" t="s">
        <v>3034</v>
      </c>
      <c r="G4" s="78" t="s">
        <v>3033</v>
      </c>
      <c r="H4" s="78" t="s">
        <v>3041</v>
      </c>
      <c r="I4" s="78" t="s">
        <v>3047</v>
      </c>
      <c r="J4" s="78" t="s">
        <v>3030</v>
      </c>
      <c r="K4" s="78" t="s">
        <v>3061</v>
      </c>
    </row>
    <row r="5" spans="1:11">
      <c r="A5" s="78" t="s">
        <v>3032</v>
      </c>
      <c r="B5">
        <v>95.14</v>
      </c>
      <c r="C5">
        <v>0</v>
      </c>
      <c r="D5">
        <f t="shared" ref="D5:D11" si="0">B5-C5</f>
        <v>95.14</v>
      </c>
      <c r="E5" s="42">
        <v>45931</v>
      </c>
      <c r="F5" t="s">
        <v>3035</v>
      </c>
      <c r="G5" t="s">
        <v>3036</v>
      </c>
      <c r="H5" s="358" t="s">
        <v>3042</v>
      </c>
      <c r="I5" s="358" t="s">
        <v>3042</v>
      </c>
      <c r="J5" s="358" t="s">
        <v>3046</v>
      </c>
    </row>
    <row r="6" spans="1:11">
      <c r="A6" s="478" t="s">
        <v>3039</v>
      </c>
      <c r="B6" s="478">
        <v>28.54</v>
      </c>
      <c r="C6" s="478">
        <v>0</v>
      </c>
      <c r="D6" s="478">
        <f t="shared" si="0"/>
        <v>28.54</v>
      </c>
      <c r="E6" s="631">
        <v>45930</v>
      </c>
      <c r="F6" s="478" t="s">
        <v>3035</v>
      </c>
      <c r="G6" s="647">
        <v>206978576</v>
      </c>
      <c r="H6" s="478" t="s">
        <v>3042</v>
      </c>
      <c r="I6" s="478" t="s">
        <v>3042</v>
      </c>
      <c r="J6" s="478" t="s">
        <v>3049</v>
      </c>
      <c r="K6" s="77">
        <v>45981</v>
      </c>
    </row>
    <row r="7" spans="1:11">
      <c r="A7" t="s">
        <v>3040</v>
      </c>
      <c r="B7">
        <v>412</v>
      </c>
      <c r="C7">
        <v>0</v>
      </c>
      <c r="D7">
        <f t="shared" si="0"/>
        <v>412</v>
      </c>
      <c r="E7" s="42">
        <v>45874</v>
      </c>
      <c r="F7" t="s">
        <v>3050</v>
      </c>
      <c r="G7" t="s">
        <v>3051</v>
      </c>
      <c r="H7" s="358" t="s">
        <v>3042</v>
      </c>
      <c r="I7" s="358" t="s">
        <v>3042</v>
      </c>
      <c r="J7" s="358" t="s">
        <v>3046</v>
      </c>
      <c r="K7" s="77">
        <v>45982</v>
      </c>
    </row>
    <row r="8" spans="1:11">
      <c r="A8" s="78" t="s">
        <v>3043</v>
      </c>
      <c r="B8">
        <v>224.72</v>
      </c>
      <c r="C8">
        <f>40.56*2</f>
        <v>81.12</v>
      </c>
      <c r="D8">
        <f t="shared" si="0"/>
        <v>143.6</v>
      </c>
      <c r="E8" s="42">
        <v>45820</v>
      </c>
      <c r="F8" t="s">
        <v>3055</v>
      </c>
      <c r="G8" t="s">
        <v>3052</v>
      </c>
      <c r="H8" s="358" t="s">
        <v>3042</v>
      </c>
      <c r="I8" s="358" t="s">
        <v>3042</v>
      </c>
      <c r="J8" s="358" t="s">
        <v>3046</v>
      </c>
    </row>
    <row r="9" spans="1:11">
      <c r="A9" s="78" t="s">
        <v>3057</v>
      </c>
      <c r="B9">
        <v>86.46</v>
      </c>
      <c r="C9">
        <v>0</v>
      </c>
      <c r="D9">
        <f t="shared" si="0"/>
        <v>86.46</v>
      </c>
      <c r="E9" s="42">
        <v>45818</v>
      </c>
      <c r="F9" t="s">
        <v>3056</v>
      </c>
      <c r="G9" t="s">
        <v>3054</v>
      </c>
      <c r="H9" s="358" t="s">
        <v>3042</v>
      </c>
      <c r="I9" s="358" t="s">
        <v>3042</v>
      </c>
      <c r="J9" s="358" t="s">
        <v>3046</v>
      </c>
    </row>
    <row r="10" spans="1:11">
      <c r="A10" s="78" t="s">
        <v>2821</v>
      </c>
      <c r="B10">
        <v>173.75</v>
      </c>
      <c r="C10">
        <f>18.88*2</f>
        <v>37.76</v>
      </c>
      <c r="D10">
        <f t="shared" si="0"/>
        <v>135.99</v>
      </c>
      <c r="E10" s="42">
        <v>45820</v>
      </c>
      <c r="F10" t="s">
        <v>3055</v>
      </c>
      <c r="G10" t="s">
        <v>3053</v>
      </c>
      <c r="H10" s="358" t="s">
        <v>3042</v>
      </c>
      <c r="I10" s="358" t="s">
        <v>3042</v>
      </c>
      <c r="J10" s="358" t="s">
        <v>3046</v>
      </c>
    </row>
    <row r="11" spans="1:11">
      <c r="A11" s="78" t="s">
        <v>3044</v>
      </c>
      <c r="B11">
        <v>871.69</v>
      </c>
      <c r="C11">
        <v>0</v>
      </c>
      <c r="D11">
        <f t="shared" si="0"/>
        <v>871.69</v>
      </c>
      <c r="E11" s="42">
        <v>45947</v>
      </c>
      <c r="F11" t="s">
        <v>3035</v>
      </c>
      <c r="G11" s="188">
        <v>6799143360</v>
      </c>
      <c r="H11" s="358" t="s">
        <v>3042</v>
      </c>
      <c r="I11" s="358" t="s">
        <v>3042</v>
      </c>
      <c r="J11" s="358" t="s">
        <v>3046</v>
      </c>
    </row>
    <row r="13" spans="1:11">
      <c r="A13" s="783" t="s">
        <v>3059</v>
      </c>
      <c r="B13" s="783"/>
      <c r="C13" s="783"/>
      <c r="D13" s="783"/>
      <c r="E13" s="783"/>
    </row>
    <row r="14" spans="1:11">
      <c r="A14" s="307" t="s">
        <v>559</v>
      </c>
      <c r="B14" s="307" t="s">
        <v>1855</v>
      </c>
      <c r="C14" s="307" t="s">
        <v>3060</v>
      </c>
      <c r="D14" s="307" t="s">
        <v>3062</v>
      </c>
      <c r="E14" s="307" t="s">
        <v>3120</v>
      </c>
      <c r="F14" s="79"/>
      <c r="G14" s="79"/>
      <c r="H14" s="79"/>
      <c r="I14" s="79"/>
      <c r="J14" s="79"/>
    </row>
    <row r="15" spans="1:11">
      <c r="A15" s="358" t="s">
        <v>3045</v>
      </c>
      <c r="B15" s="358">
        <v>60</v>
      </c>
      <c r="C15" s="453" t="s">
        <v>3042</v>
      </c>
      <c r="D15" s="657">
        <v>45989</v>
      </c>
      <c r="E15" s="242">
        <f ca="1">DATEDIF(D15, NOW(), "d")</f>
        <v>262</v>
      </c>
    </row>
  </sheetData>
  <mergeCells count="2">
    <mergeCell ref="A3:J3"/>
    <mergeCell ref="A13:E13"/>
  </mergeCells>
  <pageMargins left="0.7" right="0.7" top="0.75" bottom="0.75" header="0.3" footer="0.3"/>
  <legacyDrawing r:id="rId1"/>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9B31F-5839-49A8-B65A-FA88036792A8}">
  <dimension ref="A1:X105"/>
  <sheetViews>
    <sheetView topLeftCell="D6" zoomScaleNormal="90" workbookViewId="0">
      <selection activeCell="F22" sqref="F22"/>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str">
        <f ca="1">UPPER(TEXT((1&amp;LEFT(B$1,3))-1,"MMM"))&amp;"-"&amp;UPPER(TEXT((1&amp;RIGHT(LEFT(B$1,7),3))-1,"MMM"))&amp;" "&amp;RIGHT(B$1,4)</f>
        <v>SEP-OCT V 25</v>
      </c>
      <c r="B1" s="730" t="str">
        <f ca="1">MID(CELL("filename",B1),FIND("]",CELL("filename",B1))+1,255)</f>
        <v>OCT-NOV 25</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1449</v>
      </c>
      <c r="M2" s="79" t="s">
        <v>801</v>
      </c>
      <c r="N2" s="307" t="s">
        <v>1450</v>
      </c>
      <c r="O2" s="273" t="s">
        <v>10</v>
      </c>
      <c r="P2" s="273"/>
      <c r="Q2" s="283" t="s">
        <v>803</v>
      </c>
    </row>
    <row r="3" spans="1:24">
      <c r="B3" s="118"/>
      <c r="C3" s="118"/>
      <c r="D3" s="290" t="e">
        <f>"£" &amp; ROUND(O5+O39+O27+IF(#REF!&lt;0,0,#REF!)+O43+O4,2) &amp; " / " &amp; "£" &amp; E45</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",G45*0.5," / Actual = ",ROUND(D5,2)," (",ROUND((D5/G45)*100,2),")")</f>
        <v>Expenses - 50 - 4842.465 / Actual = 3246.09 (33.52)</v>
      </c>
      <c r="C4" s="727"/>
      <c r="D4" s="727"/>
      <c r="E4" s="727"/>
      <c r="F4" s="318"/>
      <c r="G4" s="243"/>
      <c r="H4" s="304">
        <f>SUM(H5:H43)</f>
        <v>7485.1</v>
      </c>
      <c r="I4" s="243"/>
      <c r="J4" s="304">
        <f>SUM(J5:J43)</f>
        <v>378.48999999999995</v>
      </c>
      <c r="K4" s="243"/>
      <c r="L4" s="304">
        <f>SUM(L5:L43)</f>
        <v>0</v>
      </c>
      <c r="M4" s="243"/>
      <c r="N4" s="304">
        <f>SUM(N5:N43)-SUM(N29:N35)</f>
        <v>0</v>
      </c>
      <c r="O4" s="308">
        <f>IF(H44&lt;&gt;"PAID",H4,0)+IF(J44&lt;&gt;"PAID",J4,0)+IF(L44&lt;&gt;"PAID",L4,0)+IF(N44&lt;&gt;"PAID",N4,0)</f>
        <v>7863.59</v>
      </c>
      <c r="P4" s="309" t="s">
        <v>973</v>
      </c>
      <c r="Q4" s="408"/>
      <c r="R4" s="243"/>
      <c r="S4" s="607"/>
      <c r="T4" s="306"/>
      <c r="U4" s="390"/>
      <c r="V4" s="306"/>
      <c r="W4" s="390"/>
      <c r="X4" s="306"/>
    </row>
    <row r="5" spans="1:24" ht="15" customHeight="1">
      <c r="B5" s="733" t="str">
        <f>IF(D5&gt;E$45*0.5,ROUND(D5-E$45*0.5,2) &amp; " Over",ROUND(E$45*0.5-D5,2) &amp; " Under")</f>
        <v>1596.38 Under</v>
      </c>
      <c r="C5" s="733"/>
      <c r="D5" s="761">
        <f>ROUND(SUM(F6:F24),2)</f>
        <v>3246.09</v>
      </c>
      <c r="E5" s="761"/>
      <c r="F5" s="321"/>
      <c r="G5" s="284"/>
      <c r="H5" s="306"/>
      <c r="I5" s="390"/>
      <c r="J5" s="306"/>
      <c r="K5" s="390"/>
      <c r="L5" s="306"/>
      <c r="M5" s="79"/>
      <c r="N5" s="305"/>
      <c r="O5" s="285">
        <f>SUMIF(O6:O24,"&gt;0")</f>
        <v>25.350000000000136</v>
      </c>
      <c r="P5" s="285" t="s">
        <v>892</v>
      </c>
      <c r="Q5" s="282">
        <f>SUM(Q6:Q24)</f>
        <v>16.800000000000011</v>
      </c>
      <c r="R5" s="243"/>
      <c r="T5" s="304"/>
      <c r="V5" s="305"/>
      <c r="X5" s="305">
        <f>31.27</f>
        <v>31.27</v>
      </c>
    </row>
    <row r="6" spans="1:24" ht="15" customHeight="1">
      <c r="B6" s="734" t="str">
        <f>"50%: " &amp; E$45*0.5</f>
        <v>50%: 4842.465</v>
      </c>
      <c r="C6" s="734" t="str">
        <f>ROUND((D5/E$45)*100,2) &amp; "%: " &amp;D5</f>
        <v>33.52%: 3246.09</v>
      </c>
      <c r="D6" s="13" t="s">
        <v>805</v>
      </c>
      <c r="E6" s="523">
        <v>0</v>
      </c>
      <c r="F6" s="528">
        <f>120-18.9</f>
        <v>101.1</v>
      </c>
      <c r="H6" s="305">
        <f>27.39+45.09+28.62</f>
        <v>101.10000000000001</v>
      </c>
      <c r="J6" s="305"/>
      <c r="L6" s="305"/>
      <c r="N6" s="305"/>
      <c r="O6" s="274">
        <f>SUM(E6:F6)-SUM(G6:N6)</f>
        <v>0</v>
      </c>
      <c r="P6" s="274" t="str">
        <f t="shared" ref="P6:P24" si="0">D6</f>
        <v>Car Petrol / commuting</v>
      </c>
      <c r="Q6" s="282">
        <f>IF(O6&lt;0,O6*-1,0)</f>
        <v>0</v>
      </c>
      <c r="R6" s="243"/>
      <c r="S6" s="243"/>
      <c r="T6" s="304"/>
      <c r="V6" s="305"/>
      <c r="X6" s="305">
        <f>86.93+1+0.59</f>
        <v>88.52000000000001</v>
      </c>
    </row>
    <row r="7" spans="1:24" ht="15" customHeight="1">
      <c r="B7" s="734"/>
      <c r="C7" s="734"/>
      <c r="D7" s="13" t="s">
        <v>169</v>
      </c>
      <c r="E7" s="523">
        <v>0</v>
      </c>
      <c r="F7" s="523">
        <f>300+18.9+32.36+22.04</f>
        <v>373.3</v>
      </c>
      <c r="H7" s="305">
        <f>100.22+113.04+4.99+11+8.3+6.95+4.85+121.7</f>
        <v>371.05</v>
      </c>
      <c r="J7" s="305">
        <f>2.25</f>
        <v>2.25</v>
      </c>
      <c r="L7" s="305"/>
      <c r="N7" s="305"/>
      <c r="O7" s="274">
        <f>SUM(E7:F7)-SUM(G7:N7)</f>
        <v>0</v>
      </c>
      <c r="P7" s="274" t="str">
        <f t="shared" si="0"/>
        <v>Food</v>
      </c>
      <c r="Q7" s="282">
        <f>IF(O7&lt;0,O7*-1,0)</f>
        <v>0</v>
      </c>
      <c r="R7" s="243"/>
      <c r="T7" s="305"/>
      <c r="V7" s="305"/>
      <c r="X7" s="305">
        <f>69.37</f>
        <v>69.37</v>
      </c>
    </row>
    <row r="8" spans="1:24" ht="15" customHeight="1">
      <c r="B8" s="734"/>
      <c r="C8" s="734"/>
      <c r="D8" s="13" t="s">
        <v>153</v>
      </c>
      <c r="E8" s="523">
        <v>0</v>
      </c>
      <c r="F8" s="523">
        <f>120-32.36</f>
        <v>87.64</v>
      </c>
      <c r="H8" s="305">
        <f>10.99</f>
        <v>10.99</v>
      </c>
      <c r="J8" s="305">
        <f>23.54+18.2+34.91</f>
        <v>76.649999999999991</v>
      </c>
      <c r="L8" s="305"/>
      <c r="N8" s="305"/>
      <c r="O8" s="274">
        <f>SUM(E8:F8)-SUM(G8:N8)</f>
        <v>0</v>
      </c>
      <c r="P8" s="274" t="str">
        <f t="shared" si="0"/>
        <v>Luna</v>
      </c>
      <c r="Q8" s="282">
        <f>IF(O8&lt;0,O8*-1,0)</f>
        <v>0</v>
      </c>
      <c r="T8" s="305"/>
      <c r="V8" s="305"/>
      <c r="X8" s="305">
        <f>4.99+6.74</f>
        <v>11.73</v>
      </c>
    </row>
    <row r="9" spans="1:24" ht="15" customHeight="1">
      <c r="B9" s="734"/>
      <c r="C9" s="734"/>
      <c r="D9" s="13" t="s">
        <v>189</v>
      </c>
      <c r="E9" s="735">
        <f>SUM(F10:F24)</f>
        <v>2684.0499999999997</v>
      </c>
      <c r="F9" s="735"/>
      <c r="G9" s="243"/>
      <c r="H9" s="305"/>
      <c r="J9" s="305"/>
      <c r="L9" s="305"/>
      <c r="N9" s="305"/>
      <c r="O9" s="274"/>
      <c r="P9" s="274" t="str">
        <f t="shared" si="0"/>
        <v>Direct debits</v>
      </c>
      <c r="Q9" s="282"/>
      <c r="R9" s="243"/>
      <c r="S9">
        <v>838</v>
      </c>
      <c r="T9" s="304"/>
      <c r="V9" s="305"/>
      <c r="X9" s="305"/>
    </row>
    <row r="10" spans="1:24" ht="15" customHeight="1" outlineLevel="1">
      <c r="B10" s="734"/>
      <c r="C10" s="734"/>
      <c r="D10" s="201" t="s">
        <v>595</v>
      </c>
      <c r="E10" s="523">
        <v>0</v>
      </c>
      <c r="F10" s="523">
        <v>838</v>
      </c>
      <c r="G10">
        <v>838</v>
      </c>
      <c r="H10" s="305"/>
      <c r="J10" s="305"/>
      <c r="L10" s="304"/>
      <c r="N10" s="305"/>
      <c r="O10" s="274">
        <f t="shared" ref="O10:O24" si="1">SUM(E10:F10)-SUM(G10:N10)</f>
        <v>0</v>
      </c>
      <c r="P10" s="274" t="str">
        <f t="shared" si="0"/>
        <v>Mortgage</v>
      </c>
      <c r="Q10" s="282">
        <f t="shared" ref="Q10:Q24" si="2">IF(O10&lt;0,O10*-1,0)</f>
        <v>0</v>
      </c>
      <c r="R10" s="243"/>
      <c r="S10">
        <v>168</v>
      </c>
      <c r="T10" s="305"/>
      <c r="V10" s="305"/>
      <c r="X10" s="305"/>
    </row>
    <row r="11" spans="1:24" ht="15" customHeight="1" outlineLevel="1">
      <c r="B11" s="734"/>
      <c r="C11" s="734"/>
      <c r="D11" s="201" t="s">
        <v>596</v>
      </c>
      <c r="E11" s="523">
        <v>0</v>
      </c>
      <c r="F11" s="523">
        <v>168</v>
      </c>
      <c r="G11">
        <v>168</v>
      </c>
      <c r="H11" s="305"/>
      <c r="J11" s="305"/>
      <c r="L11" s="305"/>
      <c r="N11" s="305"/>
      <c r="O11" s="274">
        <f t="shared" si="1"/>
        <v>0</v>
      </c>
      <c r="P11" s="274" t="str">
        <f t="shared" si="0"/>
        <v>Council tax</v>
      </c>
      <c r="Q11" s="282">
        <f t="shared" si="2"/>
        <v>0</v>
      </c>
      <c r="S11">
        <f>107.15+49</f>
        <v>156.15</v>
      </c>
      <c r="T11" s="305"/>
      <c r="V11" s="305"/>
      <c r="X11" s="305"/>
    </row>
    <row r="12" spans="1:24" ht="15" customHeight="1" outlineLevel="1">
      <c r="B12" s="734"/>
      <c r="C12" s="734"/>
      <c r="D12" s="201" t="s">
        <v>1002</v>
      </c>
      <c r="E12" s="523">
        <v>0</v>
      </c>
      <c r="F12" s="523">
        <f>49+107.15</f>
        <v>156.15</v>
      </c>
      <c r="G12">
        <f>49+107.15</f>
        <v>156.15</v>
      </c>
      <c r="H12" s="305"/>
      <c r="J12" s="305"/>
      <c r="L12" s="305"/>
      <c r="N12" s="305"/>
      <c r="O12" s="274">
        <f t="shared" si="1"/>
        <v>0</v>
      </c>
      <c r="P12" s="274" t="str">
        <f t="shared" si="0"/>
        <v>Utilities (G,W,E,HTB)</v>
      </c>
      <c r="Q12" s="282">
        <f t="shared" si="2"/>
        <v>0</v>
      </c>
      <c r="T12" s="305"/>
      <c r="V12" s="305"/>
      <c r="X12" s="305"/>
    </row>
    <row r="13" spans="1:24" ht="15" customHeight="1" outlineLevel="1">
      <c r="B13" s="734"/>
      <c r="C13" s="734"/>
      <c r="D13" s="201" t="s">
        <v>996</v>
      </c>
      <c r="E13" s="523">
        <v>0</v>
      </c>
      <c r="F13" s="523">
        <v>72.84</v>
      </c>
      <c r="G13">
        <v>72.84</v>
      </c>
      <c r="H13" s="305"/>
      <c r="J13" s="305"/>
      <c r="L13" s="305"/>
      <c r="N13" s="305"/>
      <c r="O13" s="274">
        <f t="shared" si="1"/>
        <v>0</v>
      </c>
      <c r="P13" s="274" t="str">
        <f t="shared" si="0"/>
        <v>Home Insurance</v>
      </c>
      <c r="Q13" s="282">
        <f t="shared" si="2"/>
        <v>0</v>
      </c>
      <c r="T13" s="305"/>
      <c r="V13" s="305"/>
      <c r="X13" s="305"/>
    </row>
    <row r="14" spans="1:24" ht="15" customHeight="1" outlineLevel="1">
      <c r="B14" s="734"/>
      <c r="C14" s="734"/>
      <c r="D14" s="201" t="s">
        <v>1056</v>
      </c>
      <c r="E14" s="523">
        <v>0</v>
      </c>
      <c r="F14" s="523">
        <f>31.99+22.99</f>
        <v>54.98</v>
      </c>
      <c r="G14">
        <f>22.99+31.99</f>
        <v>54.98</v>
      </c>
      <c r="H14" s="305"/>
      <c r="J14" s="305"/>
      <c r="L14" s="305"/>
      <c r="N14" s="305"/>
      <c r="O14" s="274">
        <f t="shared" si="1"/>
        <v>0</v>
      </c>
      <c r="P14" s="274" t="str">
        <f t="shared" si="0"/>
        <v>Pet Health / Insurance</v>
      </c>
      <c r="Q14" s="282">
        <f t="shared" si="2"/>
        <v>0</v>
      </c>
      <c r="S14">
        <v>92.88</v>
      </c>
      <c r="T14" s="305"/>
      <c r="U14" s="11"/>
      <c r="V14" s="305"/>
      <c r="X14" s="305"/>
    </row>
    <row r="15" spans="1:24" ht="15" customHeight="1" outlineLevel="1">
      <c r="B15" s="734"/>
      <c r="C15" s="734"/>
      <c r="D15" s="201" t="s">
        <v>1057</v>
      </c>
      <c r="E15" s="523">
        <v>0</v>
      </c>
      <c r="F15" s="523">
        <f>30.8+62.08</f>
        <v>92.88</v>
      </c>
      <c r="G15">
        <v>92.88</v>
      </c>
      <c r="H15" s="305"/>
      <c r="J15" s="305"/>
      <c r="L15" s="305"/>
      <c r="N15" s="305"/>
      <c r="O15" s="274">
        <f t="shared" si="1"/>
        <v>0</v>
      </c>
      <c r="P15" s="274" t="str">
        <f t="shared" si="0"/>
        <v>Life / Income Insurance</v>
      </c>
      <c r="Q15" s="282">
        <f t="shared" si="2"/>
        <v>0</v>
      </c>
      <c r="S15">
        <v>37</v>
      </c>
      <c r="T15" s="305"/>
      <c r="V15" s="305"/>
      <c r="X15" s="305"/>
    </row>
    <row r="16" spans="1:24" ht="15" customHeight="1" outlineLevel="1">
      <c r="B16" s="734"/>
      <c r="C16" s="734"/>
      <c r="D16" s="201" t="s">
        <v>602</v>
      </c>
      <c r="E16" s="523">
        <v>0</v>
      </c>
      <c r="F16" s="523">
        <v>37</v>
      </c>
      <c r="G16">
        <v>37</v>
      </c>
      <c r="H16" s="305"/>
      <c r="J16" s="305"/>
      <c r="L16" s="305"/>
      <c r="N16" s="305"/>
      <c r="O16" s="274">
        <f t="shared" si="1"/>
        <v>0</v>
      </c>
      <c r="P16" s="274" t="str">
        <f t="shared" si="0"/>
        <v>Broadband / TV</v>
      </c>
      <c r="Q16" s="282">
        <f t="shared" si="2"/>
        <v>0</v>
      </c>
      <c r="T16" s="305"/>
      <c r="V16" s="305"/>
      <c r="X16" s="305"/>
    </row>
    <row r="17" spans="2:24" ht="15" customHeight="1" outlineLevel="1">
      <c r="B17" s="734"/>
      <c r="C17" s="734"/>
      <c r="D17" s="201" t="s">
        <v>788</v>
      </c>
      <c r="E17" s="523">
        <v>0</v>
      </c>
      <c r="F17" s="523">
        <v>29.1</v>
      </c>
      <c r="G17">
        <v>29.1</v>
      </c>
      <c r="H17" s="305"/>
      <c r="J17" s="305"/>
      <c r="L17" s="305"/>
      <c r="N17" s="305"/>
      <c r="O17" s="274">
        <f t="shared" si="1"/>
        <v>0</v>
      </c>
      <c r="P17" s="274" t="str">
        <f t="shared" si="0"/>
        <v>Matt Phone</v>
      </c>
      <c r="Q17" s="282">
        <f t="shared" si="2"/>
        <v>0</v>
      </c>
      <c r="S17">
        <f>48.17</f>
        <v>48.17</v>
      </c>
      <c r="T17" s="305"/>
      <c r="V17" s="305"/>
      <c r="X17" s="305"/>
    </row>
    <row r="18" spans="2:24" ht="15" customHeight="1" outlineLevel="1">
      <c r="B18" s="734"/>
      <c r="C18" s="734"/>
      <c r="D18" s="201" t="s">
        <v>690</v>
      </c>
      <c r="E18" s="523">
        <v>0</v>
      </c>
      <c r="F18" s="523">
        <f>14+48.17+270.97+487+73.44+19</f>
        <v>912.58000000000015</v>
      </c>
      <c r="G18">
        <f>48.17+14.43+16.62+73.44+270.97</f>
        <v>423.63</v>
      </c>
      <c r="H18" s="305"/>
      <c r="J18" s="305"/>
      <c r="L18" s="305"/>
      <c r="M18">
        <v>487.35</v>
      </c>
      <c r="N18" s="305"/>
      <c r="O18" s="274">
        <f t="shared" si="1"/>
        <v>1.6000000000001364</v>
      </c>
      <c r="P18" s="274" t="str">
        <f t="shared" si="0"/>
        <v>Cars</v>
      </c>
      <c r="Q18" s="282">
        <f t="shared" si="2"/>
        <v>0</v>
      </c>
      <c r="T18" s="305"/>
      <c r="V18" s="305"/>
      <c r="X18" s="305"/>
    </row>
    <row r="19" spans="2:24" ht="15" customHeight="1" outlineLevel="1">
      <c r="B19" s="734"/>
      <c r="C19" s="734"/>
      <c r="D19" s="201" t="s">
        <v>944</v>
      </c>
      <c r="E19" s="523">
        <v>0</v>
      </c>
      <c r="F19" s="523">
        <v>15</v>
      </c>
      <c r="G19">
        <v>15</v>
      </c>
      <c r="H19" s="305"/>
      <c r="J19" s="305"/>
      <c r="L19" s="305"/>
      <c r="N19" s="305"/>
      <c r="O19" s="274">
        <f t="shared" si="1"/>
        <v>0</v>
      </c>
      <c r="P19" s="274" t="str">
        <f t="shared" si="0"/>
        <v>Windows</v>
      </c>
      <c r="Q19" s="282">
        <f t="shared" si="2"/>
        <v>0</v>
      </c>
      <c r="R19" s="243"/>
      <c r="T19" s="305"/>
      <c r="V19" s="305"/>
      <c r="X19" s="305"/>
    </row>
    <row r="20" spans="2:24" ht="15" customHeight="1" outlineLevel="1">
      <c r="B20" s="7"/>
      <c r="C20" s="7"/>
      <c r="D20" s="201" t="s">
        <v>2042</v>
      </c>
      <c r="E20" s="523">
        <v>0</v>
      </c>
      <c r="F20" s="523">
        <v>0</v>
      </c>
      <c r="H20" s="305"/>
      <c r="J20" s="305"/>
      <c r="L20" s="305"/>
      <c r="N20" s="305"/>
      <c r="O20" s="274">
        <f t="shared" si="1"/>
        <v>0</v>
      </c>
      <c r="P20" s="274" t="str">
        <f t="shared" si="0"/>
        <v>Health + Wellness</v>
      </c>
      <c r="Q20" s="282">
        <f t="shared" si="2"/>
        <v>0</v>
      </c>
      <c r="R20" s="243"/>
      <c r="T20" s="305"/>
      <c r="V20" s="305"/>
      <c r="X20" s="305"/>
    </row>
    <row r="21" spans="2:24" ht="15" customHeight="1" outlineLevel="1">
      <c r="B21" s="7"/>
      <c r="C21" s="7"/>
      <c r="D21" s="201" t="s">
        <v>920</v>
      </c>
      <c r="E21" s="523">
        <v>0</v>
      </c>
      <c r="F21" s="523">
        <f>48.22+137.5+31.58</f>
        <v>217.3</v>
      </c>
      <c r="G21">
        <f>31.58+48.22+137.5</f>
        <v>217.3</v>
      </c>
      <c r="H21" s="305"/>
      <c r="J21" s="305"/>
      <c r="L21" s="305"/>
      <c r="N21" s="305"/>
      <c r="O21" s="274">
        <f t="shared" si="1"/>
        <v>0</v>
      </c>
      <c r="P21" s="274" t="str">
        <f t="shared" si="0"/>
        <v>Finance</v>
      </c>
      <c r="Q21" s="282"/>
      <c r="R21" s="243"/>
      <c r="T21" s="305"/>
      <c r="V21" s="305"/>
      <c r="X21" s="305"/>
    </row>
    <row r="22" spans="2:24" ht="15" customHeight="1" outlineLevel="1">
      <c r="B22" s="7"/>
      <c r="C22" s="7"/>
      <c r="D22" s="201" t="s">
        <v>1297</v>
      </c>
      <c r="E22" s="523">
        <v>0</v>
      </c>
      <c r="F22" s="523">
        <v>0</v>
      </c>
      <c r="H22" s="305"/>
      <c r="J22" s="305"/>
      <c r="L22" s="305"/>
      <c r="N22" s="305"/>
      <c r="O22" s="274">
        <f t="shared" si="1"/>
        <v>0</v>
      </c>
      <c r="P22" s="274" t="str">
        <f t="shared" si="0"/>
        <v>Skin</v>
      </c>
      <c r="Q22" s="282"/>
      <c r="R22" s="243"/>
      <c r="S22" s="11">
        <v>12</v>
      </c>
      <c r="T22" s="305"/>
      <c r="V22" s="305"/>
      <c r="X22" s="305"/>
    </row>
    <row r="23" spans="2:24" ht="15" customHeight="1" outlineLevel="1">
      <c r="B23" s="7"/>
      <c r="C23" s="7"/>
      <c r="D23" s="201" t="s">
        <v>2909</v>
      </c>
      <c r="E23" s="523">
        <v>0</v>
      </c>
      <c r="F23" s="523">
        <f>45.79-22.04</f>
        <v>23.75</v>
      </c>
      <c r="H23" s="305"/>
      <c r="J23" s="305"/>
      <c r="L23" s="305"/>
      <c r="N23" s="305"/>
      <c r="O23" s="274">
        <f t="shared" si="1"/>
        <v>23.75</v>
      </c>
      <c r="P23" s="274" t="str">
        <f t="shared" si="0"/>
        <v>Kris Phone</v>
      </c>
      <c r="Q23" s="282"/>
      <c r="R23" s="243"/>
      <c r="S23" s="11"/>
      <c r="T23" s="305"/>
      <c r="V23" s="305"/>
      <c r="X23" s="305"/>
    </row>
    <row r="24" spans="2:24" ht="15" customHeight="1" outlineLevel="1">
      <c r="B24" s="7"/>
      <c r="C24" s="7"/>
      <c r="D24" s="201" t="s">
        <v>781</v>
      </c>
      <c r="E24" s="523">
        <v>0</v>
      </c>
      <c r="F24" s="523">
        <f>10.49+18+4.99+0.99+12+20</f>
        <v>66.47</v>
      </c>
      <c r="G24" s="11">
        <f>18+12+15+1.79+10.49+5.99</f>
        <v>63.27</v>
      </c>
      <c r="H24" s="305"/>
      <c r="J24" s="305">
        <v>20</v>
      </c>
      <c r="L24" s="305"/>
      <c r="N24" s="305"/>
      <c r="O24" s="274">
        <f t="shared" si="1"/>
        <v>-16.800000000000011</v>
      </c>
      <c r="P24" s="274" t="str">
        <f t="shared" si="0"/>
        <v>Subscriptions</v>
      </c>
      <c r="Q24" s="282">
        <f t="shared" si="2"/>
        <v>16.800000000000011</v>
      </c>
      <c r="R24" s="243"/>
      <c r="T24" s="305"/>
      <c r="V24" s="305"/>
      <c r="X24" s="305"/>
    </row>
    <row r="25" spans="2:24" ht="15" customHeight="1">
      <c r="B25" s="118"/>
      <c r="C25" s="118"/>
      <c r="D25" s="188"/>
      <c r="H25" s="305"/>
      <c r="J25" s="305"/>
      <c r="L25" s="305"/>
      <c r="N25" s="305"/>
      <c r="O25" s="273"/>
      <c r="P25" s="273"/>
      <c r="Q25" s="282"/>
      <c r="T25" s="305"/>
      <c r="V25" s="305"/>
      <c r="X25" s="305"/>
    </row>
    <row r="26" spans="2:24" ht="15" customHeight="1">
      <c r="B26" s="736" t="str">
        <f>_xlfn.CONCAT("Savings - 20 - ",G45*0.2," / Actual = ",D27," (",ROUND((D27/G45)*100,2),")")</f>
        <v>Savings - 20 - 1936.986 / Actual = 2376.24 (24.54)</v>
      </c>
      <c r="C26" s="736"/>
      <c r="D26" s="736"/>
      <c r="E26" s="736"/>
      <c r="F26" s="320"/>
      <c r="H26" s="305"/>
      <c r="J26" s="305"/>
      <c r="L26" s="305"/>
      <c r="N26" s="305"/>
      <c r="O26" s="274"/>
      <c r="P26" s="274"/>
      <c r="Q26" s="282"/>
      <c r="T26" s="305"/>
      <c r="V26" s="305"/>
      <c r="X26" s="305"/>
    </row>
    <row r="27" spans="2:24" ht="15" customHeight="1">
      <c r="B27" s="727" t="str">
        <f>IF(ISNUMBER((SEARCH("Over",C$5))),"Operating under budget","Operating over budget")</f>
        <v>Operating over budget</v>
      </c>
      <c r="C27" s="727"/>
      <c r="D27" s="759">
        <f>F28</f>
        <v>2376.2400000000002</v>
      </c>
      <c r="E27" s="759"/>
      <c r="F27" s="319"/>
      <c r="H27" s="305"/>
      <c r="J27" s="305"/>
      <c r="L27" s="305"/>
      <c r="N27" s="305"/>
      <c r="O27" s="285">
        <f>O28</f>
        <v>-5105.6499999999996</v>
      </c>
      <c r="P27" s="285" t="s">
        <v>895</v>
      </c>
      <c r="Q27" s="282">
        <f>SUM(Q28:Q28)</f>
        <v>0</v>
      </c>
      <c r="S27" s="243"/>
      <c r="T27" s="305"/>
      <c r="V27" s="305"/>
      <c r="X27" s="305"/>
    </row>
    <row r="28" spans="2:24" ht="15" customHeight="1" outlineLevel="1">
      <c r="B28" s="7" t="str">
        <f>"20% : " &amp; E$45*0.2</f>
        <v>20% : 1936.986</v>
      </c>
      <c r="C28" s="7" t="str">
        <f>"20% : " &amp; E$45*0.2</f>
        <v>20% : 1936.986</v>
      </c>
      <c r="D28" s="300" t="s">
        <v>183</v>
      </c>
      <c r="E28" s="523">
        <v>0</v>
      </c>
      <c r="F28" s="523">
        <f>SUM(F29:F36)</f>
        <v>2376.2400000000002</v>
      </c>
      <c r="G28" s="243"/>
      <c r="H28" s="305"/>
      <c r="J28" s="305"/>
      <c r="L28" s="305"/>
      <c r="N28" s="305"/>
      <c r="O28" s="274">
        <f>SUM(O29:O36)</f>
        <v>-5105.6499999999996</v>
      </c>
      <c r="P28" s="274" t="str">
        <f t="shared" ref="P28:P36" si="3">D28</f>
        <v>Savings</v>
      </c>
      <c r="Q28" s="282">
        <v>0</v>
      </c>
      <c r="R28" s="495"/>
      <c r="T28" s="305"/>
      <c r="V28" s="305"/>
      <c r="X28" s="362"/>
    </row>
    <row r="29" spans="2:24" ht="15" customHeight="1" outlineLevel="1">
      <c r="B29" s="7"/>
      <c r="C29" s="7"/>
      <c r="D29" s="300" t="s">
        <v>1485</v>
      </c>
      <c r="E29" s="523">
        <v>0</v>
      </c>
      <c r="F29" s="523">
        <v>0</v>
      </c>
      <c r="H29" s="305"/>
      <c r="J29" s="305"/>
      <c r="L29" s="305"/>
      <c r="N29" s="315"/>
      <c r="O29" s="274">
        <f>SUM(E29:F29)-SUM(G29:N29)</f>
        <v>0</v>
      </c>
      <c r="P29" s="274" t="str">
        <f t="shared" si="3"/>
        <v>MOT / Service</v>
      </c>
      <c r="Q29" s="282"/>
      <c r="R29" s="243"/>
      <c r="T29" s="305"/>
      <c r="V29" s="305"/>
      <c r="X29" s="362"/>
    </row>
    <row r="30" spans="2:24" ht="15" customHeight="1" outlineLevel="1">
      <c r="B30" s="7"/>
      <c r="C30" s="7"/>
      <c r="D30" s="300" t="s">
        <v>690</v>
      </c>
      <c r="E30" s="523">
        <v>0</v>
      </c>
      <c r="F30" s="523">
        <v>0</v>
      </c>
      <c r="H30" s="305"/>
      <c r="J30" s="305"/>
      <c r="L30" s="305"/>
      <c r="N30" s="315"/>
      <c r="O30" s="274">
        <f>SUM(E30:F30)-SUM(G30:N30)</f>
        <v>0</v>
      </c>
      <c r="P30" s="274" t="str">
        <f t="shared" si="3"/>
        <v>Cars</v>
      </c>
      <c r="Q30" s="282"/>
      <c r="R30" s="243"/>
      <c r="S30" s="305"/>
      <c r="V30" s="305"/>
      <c r="X30" s="362"/>
    </row>
    <row r="31" spans="2:24" ht="15" customHeight="1" outlineLevel="1">
      <c r="B31" s="7"/>
      <c r="C31" s="7"/>
      <c r="D31" s="300" t="s">
        <v>590</v>
      </c>
      <c r="E31" s="523">
        <v>0</v>
      </c>
      <c r="F31" s="523">
        <v>0</v>
      </c>
      <c r="G31" s="305"/>
      <c r="H31" s="305"/>
      <c r="J31" s="305"/>
      <c r="L31" s="305"/>
      <c r="N31" s="315"/>
      <c r="O31" s="274">
        <f>SUM(E31:F31)-SUM(G31:N31)-Q45</f>
        <v>-95.889999999999873</v>
      </c>
      <c r="P31" s="274" t="str">
        <f t="shared" si="3"/>
        <v>Contingency</v>
      </c>
      <c r="Q31" s="282"/>
      <c r="T31" s="305"/>
      <c r="V31" s="305"/>
      <c r="X31" s="362"/>
    </row>
    <row r="32" spans="2:24" ht="15" customHeight="1" outlineLevel="1">
      <c r="B32" s="7"/>
      <c r="C32" s="7"/>
      <c r="D32" s="300" t="s">
        <v>1486</v>
      </c>
      <c r="E32" s="523">
        <v>0</v>
      </c>
      <c r="F32" s="523">
        <v>0</v>
      </c>
      <c r="G32">
        <f>44.87</f>
        <v>44.87</v>
      </c>
      <c r="H32" s="305"/>
      <c r="J32" s="305"/>
      <c r="L32" s="305"/>
      <c r="N32" s="315"/>
      <c r="O32" s="274">
        <f t="shared" ref="O32:O36" si="4">SUM(E32:F32)-SUM(G32:N32)</f>
        <v>-44.87</v>
      </c>
      <c r="P32" s="274" t="str">
        <f t="shared" si="3"/>
        <v>TV</v>
      </c>
      <c r="Q32" s="282"/>
      <c r="T32" s="305"/>
      <c r="V32" s="305"/>
      <c r="X32" s="362"/>
    </row>
    <row r="33" spans="2:24" ht="15" customHeight="1" outlineLevel="1">
      <c r="B33" s="7"/>
      <c r="C33" s="7"/>
      <c r="D33" s="300" t="s">
        <v>1296</v>
      </c>
      <c r="E33" s="523">
        <v>0</v>
      </c>
      <c r="F33" s="523">
        <v>0</v>
      </c>
      <c r="H33" s="305"/>
      <c r="J33" s="305"/>
      <c r="L33" s="305"/>
      <c r="N33" s="315"/>
      <c r="O33" s="274">
        <f t="shared" si="4"/>
        <v>0</v>
      </c>
      <c r="P33" s="274" t="str">
        <f t="shared" si="3"/>
        <v>Offset</v>
      </c>
      <c r="Q33" s="282"/>
      <c r="V33" s="305"/>
      <c r="X33" s="362"/>
    </row>
    <row r="34" spans="2:24" ht="15" customHeight="1" outlineLevel="1">
      <c r="B34" s="7"/>
      <c r="C34" s="7"/>
      <c r="D34" s="300" t="s">
        <v>2887</v>
      </c>
      <c r="E34" s="523">
        <v>0</v>
      </c>
      <c r="F34" s="523">
        <f>100+100+40+100+50+830+910+107.82+138.42</f>
        <v>2376.2400000000002</v>
      </c>
      <c r="G34">
        <v>236.2</v>
      </c>
      <c r="H34" s="305">
        <f>871.69+189+30.83-12+205.55+1185.8+84.95+(85+85)+166.72+1000.32+281.32+(405.97+250.58)+(277.35+94.96)+(29.19+14.14+9.24+40+19.04+31.43+65.53+37.39+6.42+67.28+17.16+9.35+25.59+30.48+16.36+9.13+41.7+19.86+29.13+35.75)+(181.83+50.24+100.84+195.88+57.91+311.71+88.79+88.24+64.83+17.03+136.27)-0.45-121.12-117.51-30-27.5</f>
        <v>6754.2</v>
      </c>
      <c r="J34" s="305">
        <f>21.74+20.66+5.18+11.69+7.89+27.65+15.1+11.64-20.82</f>
        <v>100.72999999999999</v>
      </c>
      <c r="L34" s="305"/>
      <c r="M34">
        <v>250</v>
      </c>
      <c r="N34" s="315"/>
      <c r="O34" s="274">
        <f t="shared" si="4"/>
        <v>-4964.8899999999994</v>
      </c>
      <c r="P34" s="274" t="str">
        <f t="shared" si="3"/>
        <v>Vegas</v>
      </c>
      <c r="Q34" s="282"/>
      <c r="V34" s="305"/>
      <c r="X34" s="362">
        <f>43.99+19.99</f>
        <v>63.980000000000004</v>
      </c>
    </row>
    <row r="35" spans="2:24" ht="15" customHeight="1" outlineLevel="1">
      <c r="B35" s="7"/>
      <c r="C35" s="7"/>
      <c r="D35" s="300" t="s">
        <v>701</v>
      </c>
      <c r="E35" s="523">
        <v>0</v>
      </c>
      <c r="F35" s="523">
        <v>0</v>
      </c>
      <c r="H35" s="305"/>
      <c r="J35" s="305"/>
      <c r="L35" s="305"/>
      <c r="N35" s="315"/>
      <c r="O35" s="274">
        <f t="shared" si="4"/>
        <v>0</v>
      </c>
      <c r="P35" s="274" t="str">
        <f t="shared" si="3"/>
        <v>Gift</v>
      </c>
      <c r="Q35" s="282"/>
      <c r="T35" s="305"/>
      <c r="V35" s="305"/>
      <c r="X35" s="362"/>
    </row>
    <row r="36" spans="2:24" ht="15" customHeight="1" outlineLevel="1">
      <c r="B36" s="7"/>
      <c r="C36" s="7"/>
      <c r="D36" s="300" t="s">
        <v>1391</v>
      </c>
      <c r="E36" s="523">
        <v>0</v>
      </c>
      <c r="F36" s="523">
        <v>0</v>
      </c>
      <c r="H36" s="305"/>
      <c r="J36" s="305"/>
      <c r="L36" s="305"/>
      <c r="N36" s="315"/>
      <c r="O36" s="274">
        <f t="shared" si="4"/>
        <v>0</v>
      </c>
      <c r="P36" s="274" t="str">
        <f t="shared" si="3"/>
        <v>Avios</v>
      </c>
      <c r="Q36" s="282"/>
      <c r="T36" s="305"/>
      <c r="V36" s="305"/>
      <c r="X36" s="362"/>
    </row>
    <row r="37" spans="2:24" ht="15" customHeight="1">
      <c r="B37" s="118"/>
      <c r="C37" s="118"/>
      <c r="H37" s="305"/>
      <c r="J37" s="305"/>
      <c r="L37" s="305"/>
      <c r="N37" s="305"/>
      <c r="O37" s="273"/>
      <c r="P37" s="273"/>
      <c r="Q37" s="282"/>
      <c r="R37" s="243"/>
      <c r="T37" s="305"/>
      <c r="V37" s="305"/>
      <c r="X37" s="305"/>
    </row>
    <row r="38" spans="2:24" ht="15" customHeight="1">
      <c r="B38" s="727" t="str">
        <f>_xlfn.CONCAT("Wants - 30 - ",G45*0.3," / Actual = ",D39," (",ROUND((D39/G45)*100,2),")")</f>
        <v>Wants - 30 - 2905.479 / Actual = 4062.6 (41.95)</v>
      </c>
      <c r="C38" s="727"/>
      <c r="D38" s="727"/>
      <c r="E38" s="727"/>
      <c r="F38" s="318"/>
      <c r="H38" s="305"/>
      <c r="J38" s="305"/>
      <c r="L38" s="305"/>
      <c r="N38" s="305"/>
      <c r="O38" s="273"/>
      <c r="P38" s="273"/>
      <c r="Q38" s="282"/>
      <c r="T38" s="305"/>
      <c r="V38" s="305"/>
      <c r="X38" s="305"/>
    </row>
    <row r="39" spans="2:24" ht="15" customHeight="1">
      <c r="B39" s="727" t="str">
        <f>IF(ISNUMBER((SEARCH("Over",B$5))),"Operating under budget","Operating over budget")</f>
        <v>Operating over budget</v>
      </c>
      <c r="C39" s="727"/>
      <c r="D39" s="759">
        <f>(E$45-D5-D27-E44)</f>
        <v>4062.6</v>
      </c>
      <c r="E39" s="727"/>
      <c r="F39" s="319"/>
      <c r="H39" s="305"/>
      <c r="J39" s="305"/>
      <c r="L39" s="305"/>
      <c r="N39" s="305"/>
      <c r="O39" s="285">
        <f>0</f>
        <v>0</v>
      </c>
      <c r="P39" s="285" t="s">
        <v>899</v>
      </c>
      <c r="Q39" s="282">
        <f>SUM(Q40:Q40)</f>
        <v>79.089999999999861</v>
      </c>
      <c r="S39" s="11"/>
      <c r="X39">
        <f>1.16</f>
        <v>1.1599999999999999</v>
      </c>
    </row>
    <row r="40" spans="2:24" ht="18" outlineLevel="1">
      <c r="B40" s="7"/>
      <c r="C40" s="284"/>
      <c r="D40" s="13" t="s">
        <v>922</v>
      </c>
      <c r="E40" s="523">
        <v>0</v>
      </c>
      <c r="F40" s="523">
        <f>D39-F43-F42-F41</f>
        <v>70.000000000000057</v>
      </c>
      <c r="G40" s="11">
        <f>155+30+130-20+77.88</f>
        <v>372.88</v>
      </c>
      <c r="H40" s="305">
        <f>13.6-130+4.99+37.85+3.65+14.05+3.37+16.5+75-27.98-(185*2)+21.9+1.12+1+1+4.99</f>
        <v>-328.96000000000004</v>
      </c>
      <c r="J40" s="305">
        <f>3.3+32.05+10+34.98+1.85+17+5.99</f>
        <v>105.16999999999997</v>
      </c>
      <c r="L40" s="305"/>
      <c r="N40" s="305"/>
      <c r="O40" s="274">
        <f>SUM(E40:F40)-SUM(G40:N40)</f>
        <v>-79.089999999999861</v>
      </c>
      <c r="P40" s="274" t="str">
        <f>D40</f>
        <v>Matt Fun</v>
      </c>
      <c r="Q40" s="271">
        <f>IF(F40-SUM(G40:N40)&lt;=0,(F40-SUM(G40:N40))*-1,0)</f>
        <v>79.089999999999861</v>
      </c>
      <c r="S40" s="11"/>
    </row>
    <row r="41" spans="2:24" ht="18" outlineLevel="1">
      <c r="B41" s="7"/>
      <c r="C41" s="284"/>
      <c r="D41" s="13" t="s">
        <v>2907</v>
      </c>
      <c r="E41" s="523">
        <v>0</v>
      </c>
      <c r="F41" s="523">
        <f>SUM(H41:J41)</f>
        <v>390.44</v>
      </c>
      <c r="G41" s="11"/>
      <c r="H41" s="305">
        <f>21.56+12.12+65.8+129.05+68.25-52.1+72.07</f>
        <v>316.75</v>
      </c>
      <c r="J41" s="305">
        <f>15+58.69</f>
        <v>73.69</v>
      </c>
      <c r="L41" s="305"/>
      <c r="N41" s="305"/>
      <c r="O41" s="274">
        <f>SUM(E41:F41)-SUM(G41:N41)</f>
        <v>0</v>
      </c>
      <c r="P41" s="274" t="str">
        <f>D41</f>
        <v>House stuff</v>
      </c>
      <c r="Q41" s="282"/>
      <c r="S41" s="11"/>
    </row>
    <row r="42" spans="2:24" ht="18" outlineLevel="1">
      <c r="B42" s="7"/>
      <c r="C42" s="284"/>
      <c r="D42" s="13" t="s">
        <v>814</v>
      </c>
      <c r="E42" s="523">
        <v>0</v>
      </c>
      <c r="F42" s="523">
        <f>3292.16</f>
        <v>3292.16</v>
      </c>
      <c r="G42" s="11">
        <f>2683.72+608.44</f>
        <v>3292.16</v>
      </c>
      <c r="H42" s="305"/>
      <c r="J42" s="305"/>
      <c r="L42" s="305"/>
      <c r="N42" s="305"/>
      <c r="O42" s="274">
        <f>SUM(E42:F42)-SUM(G42:N42)</f>
        <v>0</v>
      </c>
      <c r="P42" s="274" t="str">
        <f>D42</f>
        <v>CC</v>
      </c>
      <c r="Q42" s="282"/>
      <c r="S42" s="11"/>
    </row>
    <row r="43" spans="2:24" ht="18" outlineLevel="1">
      <c r="B43" s="7"/>
      <c r="C43" s="284"/>
      <c r="D43" s="13" t="s">
        <v>152</v>
      </c>
      <c r="E43" s="523">
        <v>0</v>
      </c>
      <c r="F43" s="523">
        <f>153+75+32+50</f>
        <v>310</v>
      </c>
      <c r="G43" s="11">
        <v>50</v>
      </c>
      <c r="H43" s="305">
        <f>153+74.99+31.98</f>
        <v>259.97000000000003</v>
      </c>
      <c r="J43" s="305"/>
      <c r="L43" s="305"/>
      <c r="N43" s="305"/>
      <c r="O43" s="274">
        <f>SUM(E43:F43)-SUM(G43:N43)</f>
        <v>2.9999999999972715E-2</v>
      </c>
      <c r="P43" s="274" t="str">
        <f>D43</f>
        <v>Kris</v>
      </c>
      <c r="Q43" s="271">
        <f>IF(F43-SUM(G43:N43)&lt;=0,(F43-SUM(G43:N43))*-1,0)</f>
        <v>0</v>
      </c>
    </row>
    <row r="44" spans="2:24">
      <c r="B44" s="118"/>
      <c r="C44" s="118"/>
      <c r="E44" s="523">
        <f>E28</f>
        <v>0</v>
      </c>
      <c r="G44" s="349"/>
      <c r="J44" s="7"/>
      <c r="L44" s="7"/>
      <c r="N44" s="7"/>
      <c r="O44" s="273"/>
      <c r="P44" s="273"/>
      <c r="Q44" s="282"/>
    </row>
    <row r="45" spans="2:24" ht="18">
      <c r="B45" s="728" t="s">
        <v>817</v>
      </c>
      <c r="C45" s="728"/>
      <c r="D45" s="728"/>
      <c r="E45" s="529">
        <f>G45+I45+K45+M45+N45+E44</f>
        <v>9684.93</v>
      </c>
      <c r="F45" s="530"/>
      <c r="G45" s="271">
        <f>2499.46+4489.9+30+153+160+910+100+777.75+107.82+150+75+20+32+30+50+100</f>
        <v>9684.93</v>
      </c>
      <c r="H45" s="282"/>
      <c r="I45" s="271"/>
      <c r="J45" s="271"/>
      <c r="K45" s="271"/>
      <c r="L45" s="271"/>
      <c r="M45" s="271"/>
      <c r="N45" s="271"/>
      <c r="O45" s="314">
        <f>ROUND(O5+O39+O27+IF(O40&lt;0,0,O40)+O43+O4+O42,2)</f>
        <v>2783.32</v>
      </c>
      <c r="P45" s="274"/>
      <c r="Q45" s="282">
        <f>SUM(Q39,Q27,Q5)</f>
        <v>95.889999999999873</v>
      </c>
    </row>
    <row r="46" spans="2:24" ht="18">
      <c r="B46" s="118"/>
      <c r="C46" s="7"/>
      <c r="D46" s="13" t="s">
        <v>1451</v>
      </c>
      <c r="G46" s="523"/>
      <c r="H46" s="243"/>
      <c r="L46" s="243"/>
      <c r="O46" s="610">
        <f>O45-SUM(O4:O5)</f>
        <v>-5105.6200000000008</v>
      </c>
      <c r="P46" s="7" t="str">
        <f>IF(O46&lt;0, "DEFICIT", "")</f>
        <v>DEFICIT</v>
      </c>
    </row>
    <row r="47" spans="2:24" ht="14.4">
      <c r="B47" s="729"/>
      <c r="C47" s="729"/>
      <c r="D47" s="729"/>
      <c r="E47" s="729"/>
      <c r="F47" s="729"/>
      <c r="G47" s="729"/>
      <c r="H47" s="297"/>
      <c r="K47" s="729"/>
      <c r="L47" s="729"/>
      <c r="M47" s="729"/>
      <c r="N47" s="729"/>
      <c r="O47" s="729"/>
      <c r="P47" s="297"/>
    </row>
    <row r="48" spans="2:24" ht="15" customHeight="1">
      <c r="B48" s="726" t="s">
        <v>955</v>
      </c>
      <c r="C48" s="726"/>
      <c r="D48" s="726"/>
      <c r="E48" s="726"/>
      <c r="F48" s="348"/>
      <c r="H48" s="243"/>
      <c r="K48" s="212"/>
      <c r="L48" s="212"/>
      <c r="M48" s="243"/>
      <c r="N48" s="476" t="s">
        <v>3086</v>
      </c>
      <c r="O48" s="316">
        <v>45987</v>
      </c>
      <c r="P48" s="7">
        <f ca="1">DATEDIF(O48,NOW(),"d")</f>
        <v>264</v>
      </c>
      <c r="Q48">
        <v>487.35</v>
      </c>
      <c r="R48" t="s">
        <v>1233</v>
      </c>
    </row>
    <row r="49" spans="2:18">
      <c r="B49" s="523"/>
      <c r="C49" s="38"/>
      <c r="D49" s="726" t="s">
        <v>2902</v>
      </c>
      <c r="E49" s="726"/>
      <c r="G49" s="625" t="s">
        <v>389</v>
      </c>
      <c r="H49">
        <f>4489.9-3579.46</f>
        <v>910.4399999999996</v>
      </c>
      <c r="J49" s="726" t="s">
        <v>1332</v>
      </c>
      <c r="K49" s="726"/>
      <c r="L49" s="243">
        <f>4231.47-O45</f>
        <v>1448.15</v>
      </c>
      <c r="N49" s="637" t="s">
        <v>2993</v>
      </c>
      <c r="O49" s="638">
        <v>45980</v>
      </c>
      <c r="P49" s="639">
        <f ca="1">DATEDIF(O49,NOW(),"d")</f>
        <v>271</v>
      </c>
      <c r="Q49" s="514">
        <v>4.8499999999999996</v>
      </c>
      <c r="R49" s="514" t="s">
        <v>1099</v>
      </c>
    </row>
    <row r="50" spans="2:18">
      <c r="D50" s="358" t="s">
        <v>169</v>
      </c>
      <c r="E50" s="454">
        <v>100</v>
      </c>
      <c r="F50" s="625"/>
      <c r="G50" s="619"/>
      <c r="I50" s="243"/>
      <c r="J50" t="s">
        <v>887</v>
      </c>
      <c r="K50" s="243">
        <f>6027.89-H4</f>
        <v>-1457.21</v>
      </c>
      <c r="L50" s="243"/>
      <c r="N50" s="358" t="s">
        <v>2989</v>
      </c>
      <c r="O50" s="316">
        <v>45980</v>
      </c>
      <c r="P50" s="7">
        <v>0</v>
      </c>
      <c r="Q50">
        <v>11.64</v>
      </c>
      <c r="R50" t="s">
        <v>2990</v>
      </c>
    </row>
    <row r="51" spans="2:18" ht="16.2" customHeight="1">
      <c r="D51" s="627" t="s">
        <v>702</v>
      </c>
      <c r="E51" s="635">
        <v>40</v>
      </c>
      <c r="F51" s="625"/>
      <c r="G51" s="243"/>
      <c r="H51">
        <f>1340</f>
        <v>1340</v>
      </c>
      <c r="J51" t="s">
        <v>2908</v>
      </c>
      <c r="K51" s="243">
        <f>776-J4</f>
        <v>397.51000000000005</v>
      </c>
      <c r="L51" s="243"/>
      <c r="M51" s="243">
        <f>399.31-J4</f>
        <v>20.82000000000005</v>
      </c>
    </row>
    <row r="52" spans="2:18">
      <c r="B52" s="532"/>
      <c r="D52" s="627" t="s">
        <v>718</v>
      </c>
      <c r="E52" s="629">
        <v>100</v>
      </c>
      <c r="F52" s="625"/>
      <c r="J52" t="s">
        <v>131</v>
      </c>
      <c r="K52" s="243">
        <f>SUM(K50:K51)</f>
        <v>-1059.7</v>
      </c>
      <c r="L52" s="243"/>
      <c r="M52" s="243"/>
      <c r="N52" s="243">
        <f>O45-7539.79</f>
        <v>-4756.4699999999993</v>
      </c>
      <c r="P52"/>
    </row>
    <row r="53" spans="2:18">
      <c r="D53" s="358" t="s">
        <v>1297</v>
      </c>
      <c r="E53" s="629">
        <v>50</v>
      </c>
      <c r="F53" s="625"/>
      <c r="J53" s="243"/>
      <c r="L53" s="243"/>
      <c r="M53" s="243"/>
      <c r="N53" s="243"/>
      <c r="P53"/>
      <c r="Q53" s="243"/>
    </row>
    <row r="54" spans="2:18">
      <c r="D54" s="448" t="s">
        <v>2896</v>
      </c>
      <c r="E54" s="633">
        <v>100</v>
      </c>
      <c r="K54" s="243"/>
      <c r="L54" s="725"/>
      <c r="M54" s="725"/>
      <c r="P54" s="292"/>
      <c r="Q54" s="212"/>
    </row>
    <row r="55" spans="2:18" ht="15" customHeight="1">
      <c r="D55" s="331" t="s">
        <v>2893</v>
      </c>
      <c r="E55" s="449">
        <v>75</v>
      </c>
      <c r="F55" s="784" t="s">
        <v>2991</v>
      </c>
      <c r="L55" s="243">
        <f>O45-3420.67</f>
        <v>-637.34999999999991</v>
      </c>
      <c r="M55" s="243">
        <v>72.069999999999993</v>
      </c>
      <c r="N55" s="243"/>
      <c r="O55" s="7" t="s">
        <v>2928</v>
      </c>
      <c r="P55" s="56"/>
      <c r="Q55" s="38"/>
    </row>
    <row r="56" spans="2:18" ht="15.45" customHeight="1">
      <c r="D56" s="331" t="s">
        <v>2894</v>
      </c>
      <c r="E56" s="449">
        <v>52</v>
      </c>
      <c r="F56" s="735"/>
      <c r="J56">
        <f>500-213.8</f>
        <v>286.2</v>
      </c>
      <c r="M56" s="243"/>
      <c r="O56"/>
      <c r="P56"/>
    </row>
    <row r="57" spans="2:18" ht="15" customHeight="1">
      <c r="D57" s="331" t="s">
        <v>2895</v>
      </c>
      <c r="E57" s="449">
        <v>15</v>
      </c>
      <c r="F57" s="735"/>
      <c r="J57" s="243"/>
      <c r="M57" s="243"/>
    </row>
    <row r="58" spans="2:18" ht="16.2" customHeight="1">
      <c r="D58" s="331" t="s">
        <v>2897</v>
      </c>
      <c r="E58" s="643">
        <v>118</v>
      </c>
      <c r="F58" s="625" t="s">
        <v>2992</v>
      </c>
      <c r="H58">
        <f>306.68-92.88</f>
        <v>213.8</v>
      </c>
      <c r="I58" s="243"/>
      <c r="J58" s="243"/>
    </row>
    <row r="59" spans="2:18" ht="14.7" customHeight="1">
      <c r="B59" s="11"/>
      <c r="D59" s="448" t="s">
        <v>2900</v>
      </c>
      <c r="E59" s="632">
        <v>107.82</v>
      </c>
      <c r="F59" s="625"/>
      <c r="G59" s="243"/>
      <c r="O59"/>
      <c r="P59"/>
    </row>
    <row r="60" spans="2:18">
      <c r="B60" s="11"/>
      <c r="D60" s="331" t="s">
        <v>2825</v>
      </c>
      <c r="E60" s="643">
        <v>150</v>
      </c>
      <c r="F60" s="625" t="s">
        <v>3020</v>
      </c>
      <c r="G60" s="243"/>
      <c r="H60" s="243"/>
      <c r="I60" s="243"/>
      <c r="J60" t="s">
        <v>2835</v>
      </c>
      <c r="K60">
        <v>1300</v>
      </c>
      <c r="N60">
        <f>2933.32-250</f>
        <v>2683.32</v>
      </c>
      <c r="O60"/>
      <c r="P60"/>
    </row>
    <row r="61" spans="2:18">
      <c r="B61" s="11"/>
      <c r="D61" s="242" t="s">
        <v>2901</v>
      </c>
      <c r="E61" s="617">
        <f>50*5</f>
        <v>250</v>
      </c>
      <c r="J61" t="s">
        <v>2769</v>
      </c>
      <c r="K61">
        <v>170</v>
      </c>
      <c r="M61">
        <v>1429</v>
      </c>
      <c r="O61"/>
      <c r="P61"/>
    </row>
    <row r="62" spans="2:18">
      <c r="D62" s="626" t="s">
        <v>834</v>
      </c>
      <c r="E62" s="640">
        <f>170-31.58</f>
        <v>138.42000000000002</v>
      </c>
      <c r="J62" t="s">
        <v>3000</v>
      </c>
      <c r="K62">
        <f>1185+205</f>
        <v>1390</v>
      </c>
      <c r="L62" s="243"/>
      <c r="M62" s="243">
        <v>189</v>
      </c>
      <c r="O62"/>
      <c r="P62"/>
    </row>
    <row r="63" spans="2:18">
      <c r="B63" s="212"/>
      <c r="C63" s="212"/>
      <c r="D63" s="242" t="s">
        <v>2910</v>
      </c>
      <c r="E63" s="617"/>
      <c r="F63" s="188"/>
      <c r="J63" t="s">
        <v>3001</v>
      </c>
      <c r="K63">
        <f>(311/1.3015)*1.0299</f>
        <v>246.09980791394543</v>
      </c>
      <c r="L63" s="243"/>
      <c r="O63"/>
      <c r="P63"/>
    </row>
    <row r="64" spans="2:18">
      <c r="C64" s="56"/>
      <c r="D64" s="242" t="s">
        <v>2911</v>
      </c>
      <c r="E64" s="617"/>
      <c r="F64"/>
      <c r="H64" s="243"/>
      <c r="J64" t="s">
        <v>863</v>
      </c>
      <c r="K64">
        <v>190</v>
      </c>
      <c r="L64" s="243"/>
      <c r="O64"/>
      <c r="P64"/>
    </row>
    <row r="65" spans="2:16" ht="15.75" customHeight="1">
      <c r="C65" s="56"/>
      <c r="D65" s="448" t="s">
        <v>19</v>
      </c>
      <c r="E65" s="632">
        <v>20</v>
      </c>
      <c r="F65"/>
      <c r="H65" s="243"/>
      <c r="J65" t="s">
        <v>864</v>
      </c>
      <c r="K65">
        <v>90</v>
      </c>
      <c r="L65" s="243"/>
      <c r="M65" s="243"/>
      <c r="O65"/>
      <c r="P65"/>
    </row>
    <row r="66" spans="2:16">
      <c r="C66" s="56"/>
      <c r="D66" s="448" t="s">
        <v>2920</v>
      </c>
      <c r="E66" s="632">
        <v>30</v>
      </c>
      <c r="G66" s="426" t="s">
        <v>2930</v>
      </c>
      <c r="J66" t="s">
        <v>2863</v>
      </c>
      <c r="K66">
        <v>281</v>
      </c>
      <c r="M66" s="243"/>
      <c r="O66"/>
      <c r="P66"/>
    </row>
    <row r="67" spans="2:16">
      <c r="C67" s="56"/>
      <c r="D67" s="448" t="s">
        <v>2921</v>
      </c>
      <c r="E67" s="632">
        <v>27</v>
      </c>
      <c r="G67" s="426">
        <v>20</v>
      </c>
      <c r="J67" t="s">
        <v>2994</v>
      </c>
      <c r="K67">
        <v>166</v>
      </c>
      <c r="O67"/>
      <c r="P67"/>
    </row>
    <row r="68" spans="2:16">
      <c r="C68" s="56"/>
      <c r="D68" s="242" t="s">
        <v>2926</v>
      </c>
      <c r="E68" s="617">
        <v>0</v>
      </c>
      <c r="G68" t="s">
        <v>2931</v>
      </c>
      <c r="J68" t="s">
        <v>2995</v>
      </c>
      <c r="K68">
        <v>277</v>
      </c>
      <c r="O68"/>
      <c r="P68"/>
    </row>
    <row r="69" spans="2:16">
      <c r="C69" s="56"/>
      <c r="D69" s="448" t="s">
        <v>2927</v>
      </c>
      <c r="E69" s="632">
        <v>100</v>
      </c>
      <c r="G69">
        <v>50</v>
      </c>
      <c r="J69" t="s">
        <v>2996</v>
      </c>
      <c r="K69">
        <v>979</v>
      </c>
      <c r="O69"/>
      <c r="P69"/>
    </row>
    <row r="70" spans="2:16">
      <c r="C70" s="56"/>
      <c r="D70" s="242" t="s">
        <v>2742</v>
      </c>
      <c r="E70" s="617">
        <v>256</v>
      </c>
      <c r="J70" t="s">
        <v>3002</v>
      </c>
      <c r="K70">
        <v>650</v>
      </c>
      <c r="M70">
        <f>95*0.8</f>
        <v>76</v>
      </c>
      <c r="O70"/>
      <c r="P70"/>
    </row>
    <row r="71" spans="2:16">
      <c r="C71" s="56"/>
      <c r="D71" s="242" t="s">
        <v>2917</v>
      </c>
      <c r="E71" s="617">
        <v>2700</v>
      </c>
      <c r="O71"/>
      <c r="P71"/>
    </row>
    <row r="72" spans="2:16">
      <c r="C72" s="56"/>
      <c r="D72" s="358" t="s">
        <v>2925</v>
      </c>
      <c r="E72" s="636">
        <v>125</v>
      </c>
      <c r="G72" s="426" t="s">
        <v>2929</v>
      </c>
      <c r="J72" t="s">
        <v>153</v>
      </c>
      <c r="K72">
        <v>250</v>
      </c>
      <c r="N72" s="288"/>
      <c r="O72"/>
      <c r="P72"/>
    </row>
    <row r="73" spans="2:16">
      <c r="C73" s="56"/>
      <c r="D73" s="243">
        <f>3375+654.72</f>
        <v>4029.7200000000003</v>
      </c>
      <c r="E73" s="625" t="s">
        <v>2918</v>
      </c>
      <c r="G73">
        <v>20</v>
      </c>
      <c r="O73"/>
      <c r="P73"/>
    </row>
    <row r="74" spans="2:16">
      <c r="C74" s="56"/>
      <c r="D74" s="426">
        <f>D73-SUM(E62:E71)-(E55+E56+E57+E58+E60+(E61-50))</f>
        <v>148.30000000000018</v>
      </c>
      <c r="E74" s="625" t="s">
        <v>2919</v>
      </c>
      <c r="J74" t="s">
        <v>2997</v>
      </c>
      <c r="K74">
        <f>(29.19+14.14+9.24+40+19.04+31.43+65.53+37.39+6.42+67.28+17.16+9.35+25.59+30.48+16.36+9.13+41.7+19.86+29.13+35.75)+117</f>
        <v>671.17000000000007</v>
      </c>
      <c r="L74" s="243"/>
      <c r="O74"/>
      <c r="P74"/>
    </row>
    <row r="75" spans="2:16">
      <c r="C75" s="56"/>
      <c r="I75" s="11"/>
      <c r="J75" t="s">
        <v>2998</v>
      </c>
      <c r="K75">
        <f>G34</f>
        <v>236.2</v>
      </c>
      <c r="O75"/>
      <c r="P75"/>
    </row>
    <row r="76" spans="2:16" ht="15.45" customHeight="1">
      <c r="C76" s="56"/>
      <c r="D76" t="s">
        <v>2137</v>
      </c>
      <c r="E76" s="653">
        <v>3968.4</v>
      </c>
      <c r="J76" t="s">
        <v>2999</v>
      </c>
      <c r="K76">
        <f>J34</f>
        <v>100.72999999999999</v>
      </c>
      <c r="L76" s="407"/>
      <c r="M76" s="407"/>
      <c r="O76"/>
      <c r="P76"/>
    </row>
    <row r="77" spans="2:16">
      <c r="D77" t="s">
        <v>2917</v>
      </c>
      <c r="E77" s="523">
        <f>E76-E71</f>
        <v>1268.4000000000001</v>
      </c>
      <c r="J77" t="s">
        <v>777</v>
      </c>
      <c r="K77" s="407">
        <f>(181.83+50.24+100.84+195.88+57.91+311.71+88.79+88.24+64.83+17.03+136.27)</f>
        <v>1293.5699999999997</v>
      </c>
      <c r="O77"/>
      <c r="P77"/>
    </row>
    <row r="78" spans="2:16">
      <c r="B78" s="212"/>
      <c r="C78" s="294"/>
      <c r="D78" t="s">
        <v>2742</v>
      </c>
      <c r="E78" s="523">
        <f>E77-E70</f>
        <v>1012.4000000000001</v>
      </c>
      <c r="O78"/>
      <c r="P78"/>
    </row>
    <row r="79" spans="2:16" ht="15.45" customHeight="1">
      <c r="C79" s="56"/>
      <c r="D79" s="358" t="s">
        <v>3007</v>
      </c>
      <c r="E79" s="652">
        <f>E78</f>
        <v>1012.4000000000001</v>
      </c>
      <c r="F79"/>
      <c r="M79" s="243"/>
      <c r="O79"/>
      <c r="P79"/>
    </row>
    <row r="80" spans="2:16">
      <c r="C80" s="56"/>
      <c r="D80" s="358" t="s">
        <v>1233</v>
      </c>
      <c r="E80" s="650">
        <f>E79</f>
        <v>1012.4000000000001</v>
      </c>
      <c r="F80"/>
      <c r="O80"/>
      <c r="P80"/>
    </row>
    <row r="81" spans="3:16">
      <c r="C81" s="56"/>
      <c r="D81" s="358" t="s">
        <v>3008</v>
      </c>
      <c r="E81" s="650">
        <f>E80</f>
        <v>1012.4000000000001</v>
      </c>
      <c r="F81" s="56"/>
      <c r="I81">
        <f>1150</f>
        <v>1150</v>
      </c>
      <c r="L81" s="459"/>
      <c r="M81" s="461"/>
      <c r="O81"/>
      <c r="P81"/>
    </row>
    <row r="82" spans="3:16">
      <c r="C82" s="56"/>
      <c r="D82" t="s">
        <v>1475</v>
      </c>
      <c r="E82" s="390">
        <f>E81-E65</f>
        <v>992.40000000000009</v>
      </c>
      <c r="F82" s="625"/>
      <c r="G82" t="s">
        <v>3005</v>
      </c>
      <c r="H82">
        <v>300</v>
      </c>
      <c r="I82">
        <f>I81-H82</f>
        <v>850</v>
      </c>
      <c r="L82" s="459"/>
      <c r="M82" s="461"/>
      <c r="O82"/>
      <c r="P82"/>
    </row>
    <row r="83" spans="3:16">
      <c r="C83" s="56"/>
      <c r="D83" s="634" t="s">
        <v>3009</v>
      </c>
      <c r="E83" s="523">
        <f>E82-250</f>
        <v>742.40000000000009</v>
      </c>
      <c r="G83" t="s">
        <v>3006</v>
      </c>
      <c r="H83">
        <f>600</f>
        <v>600</v>
      </c>
      <c r="I83">
        <f>I82-H83</f>
        <v>250</v>
      </c>
      <c r="L83" s="459"/>
      <c r="M83" s="461"/>
      <c r="O83"/>
      <c r="P83"/>
    </row>
    <row r="84" spans="3:16" ht="14.4">
      <c r="C84" s="56"/>
      <c r="D84" t="s">
        <v>3010</v>
      </c>
      <c r="E84" s="390">
        <f>E83-191.53</f>
        <v>550.87000000000012</v>
      </c>
      <c r="F84"/>
      <c r="G84" t="s">
        <v>3004</v>
      </c>
      <c r="H84">
        <v>250</v>
      </c>
      <c r="L84" s="459"/>
      <c r="M84" s="461"/>
      <c r="O84"/>
      <c r="P84"/>
    </row>
    <row r="85" spans="3:16">
      <c r="C85" s="56"/>
      <c r="D85" t="s">
        <v>3011</v>
      </c>
      <c r="E85" s="523">
        <f>E84-118</f>
        <v>432.87000000000012</v>
      </c>
      <c r="L85" s="188"/>
      <c r="M85" s="230"/>
      <c r="O85"/>
      <c r="P85"/>
    </row>
    <row r="86" spans="3:16">
      <c r="C86" s="56"/>
      <c r="D86" t="s">
        <v>3012</v>
      </c>
      <c r="E86" s="523">
        <f>E85-SUM(E55:E57)</f>
        <v>290.87000000000012</v>
      </c>
      <c r="L86" s="188"/>
      <c r="M86" s="230"/>
      <c r="O86"/>
      <c r="P86"/>
    </row>
    <row r="87" spans="3:16">
      <c r="C87" s="56"/>
      <c r="D87" t="s">
        <v>3003</v>
      </c>
      <c r="E87" s="523">
        <f>E86-300</f>
        <v>-9.1299999999998818</v>
      </c>
      <c r="G87" t="s">
        <v>857</v>
      </c>
      <c r="H87" t="s">
        <v>1719</v>
      </c>
      <c r="I87" t="s">
        <v>1720</v>
      </c>
      <c r="L87" s="188"/>
      <c r="M87" s="230"/>
      <c r="O87"/>
      <c r="P87"/>
    </row>
    <row r="88" spans="3:16">
      <c r="D88" t="s">
        <v>3013</v>
      </c>
      <c r="E88" s="523">
        <f>E87-600</f>
        <v>-609.12999999999988</v>
      </c>
      <c r="G88" t="s">
        <v>3017</v>
      </c>
      <c r="H88">
        <f>(55+7.36)*4</f>
        <v>249.44</v>
      </c>
      <c r="I88">
        <f>(H88/1.3105)*1.0299</f>
        <v>196.03071804654712</v>
      </c>
      <c r="L88" s="188"/>
      <c r="M88" s="230"/>
      <c r="O88"/>
      <c r="P88"/>
    </row>
    <row r="89" spans="3:16">
      <c r="D89" t="s">
        <v>3004</v>
      </c>
      <c r="E89" s="523" t="s">
        <v>98</v>
      </c>
      <c r="G89" t="s">
        <v>3019</v>
      </c>
      <c r="H89">
        <f>135+52+17.75+25+37.4</f>
        <v>267.14999999999998</v>
      </c>
      <c r="I89">
        <f>(H89/1.3105)*1.0299</f>
        <v>209.9487104158718</v>
      </c>
      <c r="L89" s="532"/>
      <c r="M89" s="230"/>
      <c r="O89"/>
      <c r="P89"/>
    </row>
    <row r="90" spans="3:16">
      <c r="D90" t="s">
        <v>3014</v>
      </c>
      <c r="E90" s="523" t="e">
        <f>E89-40</f>
        <v>#VALUE!</v>
      </c>
      <c r="G90" t="s">
        <v>3018</v>
      </c>
      <c r="H90">
        <f>85.04</f>
        <v>85.04</v>
      </c>
      <c r="I90">
        <f>(H90/1.3105)*1.0299</f>
        <v>66.831511636779865</v>
      </c>
      <c r="L90" s="405"/>
      <c r="M90" s="230"/>
      <c r="O90"/>
      <c r="P90"/>
    </row>
    <row r="91" spans="3:16">
      <c r="D91" s="358" t="s">
        <v>3015</v>
      </c>
      <c r="E91" s="650" t="e">
        <f>E90</f>
        <v>#VALUE!</v>
      </c>
      <c r="G91" t="s">
        <v>3017</v>
      </c>
      <c r="H91">
        <f>(55+7.36)</f>
        <v>62.36</v>
      </c>
      <c r="I91">
        <f>(H91/1.3105)*1.0299</f>
        <v>49.00767951163678</v>
      </c>
    </row>
    <row r="92" spans="3:16">
      <c r="D92" s="448" t="s">
        <v>3016</v>
      </c>
      <c r="E92" s="632" t="e">
        <f>E91</f>
        <v>#VALUE!</v>
      </c>
    </row>
    <row r="93" spans="3:16">
      <c r="E93" s="523">
        <v>212.74</v>
      </c>
      <c r="I93">
        <f>SUM(I88:I91)</f>
        <v>521.81861961083553</v>
      </c>
    </row>
    <row r="94" spans="3:16">
      <c r="I94">
        <f>650-I93</f>
        <v>128.18138038916447</v>
      </c>
    </row>
    <row r="95" spans="3:16">
      <c r="I95">
        <f>154/1.3105</f>
        <v>117.51239984738649</v>
      </c>
    </row>
    <row r="96" spans="3:16">
      <c r="D96" t="s">
        <v>814</v>
      </c>
      <c r="E96" s="343">
        <f>H4+J4</f>
        <v>7863.59</v>
      </c>
    </row>
    <row r="97" spans="4:16">
      <c r="D97" t="s">
        <v>1352</v>
      </c>
      <c r="E97" s="523">
        <f>2783.32</f>
        <v>2783.32</v>
      </c>
      <c r="F97" s="56"/>
      <c r="G97" s="407"/>
    </row>
    <row r="98" spans="4:16">
      <c r="D98" s="478" t="s">
        <v>3087</v>
      </c>
      <c r="E98" s="651">
        <f>E96-E97</f>
        <v>5080.2700000000004</v>
      </c>
      <c r="F98" s="56"/>
      <c r="G98" s="407"/>
    </row>
    <row r="99" spans="4:16" ht="14.4">
      <c r="E99"/>
      <c r="F99" s="56"/>
      <c r="G99" s="407"/>
    </row>
    <row r="100" spans="4:16">
      <c r="E100" s="523">
        <f>205+118+600+300</f>
        <v>1223</v>
      </c>
      <c r="F100" s="56"/>
      <c r="G100" s="407"/>
    </row>
    <row r="101" spans="4:16">
      <c r="F101" s="56"/>
      <c r="G101" s="407"/>
    </row>
    <row r="102" spans="4:16">
      <c r="E102" s="523">
        <f>E98-E100</f>
        <v>3857.2700000000004</v>
      </c>
      <c r="G102" s="407"/>
      <c r="H102" s="11"/>
      <c r="O102"/>
      <c r="P102"/>
    </row>
    <row r="103" spans="4:16">
      <c r="G103" s="407"/>
      <c r="O103"/>
      <c r="P103"/>
    </row>
    <row r="104" spans="4:16">
      <c r="G104" s="407"/>
      <c r="O104"/>
      <c r="P104"/>
    </row>
    <row r="105" spans="4:16">
      <c r="G105" s="407"/>
    </row>
  </sheetData>
  <mergeCells count="26">
    <mergeCell ref="F55:F57"/>
    <mergeCell ref="B4:E4"/>
    <mergeCell ref="B1:O1"/>
    <mergeCell ref="G3:H3"/>
    <mergeCell ref="I3:J3"/>
    <mergeCell ref="K3:L3"/>
    <mergeCell ref="M3:N3"/>
    <mergeCell ref="B45:D45"/>
    <mergeCell ref="B5:C5"/>
    <mergeCell ref="D5:E5"/>
    <mergeCell ref="B6:B19"/>
    <mergeCell ref="C6:C19"/>
    <mergeCell ref="E9:F9"/>
    <mergeCell ref="B26:E26"/>
    <mergeCell ref="B27:C27"/>
    <mergeCell ref="D27:E27"/>
    <mergeCell ref="B38:E38"/>
    <mergeCell ref="B39:C39"/>
    <mergeCell ref="D39:E39"/>
    <mergeCell ref="B47:G47"/>
    <mergeCell ref="K47:O47"/>
    <mergeCell ref="B48:C48"/>
    <mergeCell ref="D48:E48"/>
    <mergeCell ref="L54:M54"/>
    <mergeCell ref="D49:E49"/>
    <mergeCell ref="J49:K49"/>
  </mergeCells>
  <pageMargins left="0.7" right="0.7" top="0.75" bottom="0.75" header="0.3" footer="0.3"/>
  <pageSetup orientation="portrait" r:id="rId1"/>
  <legacyDrawing r:id="rId2"/>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93F74-6002-491C-8FFF-51451C88EB2B}">
  <dimension ref="A1:X101"/>
  <sheetViews>
    <sheetView topLeftCell="E1" zoomScaleNormal="90" workbookViewId="0">
      <selection activeCell="K4" sqref="K4"/>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str">
        <f ca="1">UPPER(TEXT((1&amp;LEFT(B$1,3))-1,"MMM"))&amp;"-"&amp;UPPER(TEXT((1&amp;RIGHT(LEFT(B$1,7),3))-1,"MMM"))&amp;" "&amp;RIGHT(B$1,4)</f>
        <v>OCT-NOV C 25</v>
      </c>
      <c r="B1" s="730" t="str">
        <f ca="1">MID(CELL("filename",B1),FIND("]",CELL("filename",B1))+1,255)</f>
        <v>NOV-DEC 25</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1449</v>
      </c>
      <c r="M2" s="79" t="s">
        <v>801</v>
      </c>
      <c r="N2" s="307" t="s">
        <v>1450</v>
      </c>
      <c r="O2" s="273" t="s">
        <v>10</v>
      </c>
      <c r="P2" s="273"/>
      <c r="Q2" s="283" t="s">
        <v>803</v>
      </c>
    </row>
    <row r="3" spans="1:24">
      <c r="B3" s="118"/>
      <c r="C3" s="118"/>
      <c r="D3" s="290" t="e">
        <f>"£" &amp; ROUND(O5+O38+O26+IF(#REF!&lt;0,0,#REF!)+O46+O4,2) &amp; " / " &amp; "£" &amp; E48</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",G48*0.5," / Actual = ",ROUND(D5,2)," (",ROUND((D5/G48)*100,2),")")</f>
        <v>Expenses - 50 - 7007.09 / Actual = 2819.42 (20.12)</v>
      </c>
      <c r="C4" s="727"/>
      <c r="D4" s="727"/>
      <c r="E4" s="727"/>
      <c r="F4" s="318"/>
      <c r="G4" s="243"/>
      <c r="H4" s="304">
        <f>SUM(H5:H46)</f>
        <v>2626.7400000000002</v>
      </c>
      <c r="I4" s="243">
        <f>H4+'DEC-JAN 26'!H4</f>
        <v>4324.6100000000006</v>
      </c>
      <c r="J4" s="304">
        <f>SUM(J5:J46)</f>
        <v>973.56000000000006</v>
      </c>
      <c r="K4" s="243">
        <f>J4+3968.4+'DEC-JAN 26'!J4</f>
        <v>5153.4400000000005</v>
      </c>
      <c r="L4" s="304">
        <f>SUM(L5:L46)</f>
        <v>0</v>
      </c>
      <c r="M4" s="243"/>
      <c r="N4" s="304">
        <f>SUM(N5:N46)-SUM(N28:N34)</f>
        <v>0</v>
      </c>
      <c r="O4" s="308">
        <f>IF(H47&lt;&gt;"PAID",H4,0)+IF(J47&lt;&gt;"PAID",J4,0)+IF(L47&lt;&gt;"PAID",L4,0)+IF(N47&lt;&gt;"PAID",N4,0)</f>
        <v>3600.3</v>
      </c>
      <c r="P4" s="309" t="s">
        <v>973</v>
      </c>
      <c r="Q4" s="408"/>
      <c r="R4" s="243"/>
      <c r="S4" s="284"/>
      <c r="T4" s="11"/>
      <c r="U4" s="390"/>
      <c r="V4" s="11"/>
      <c r="W4" s="390"/>
      <c r="X4" s="11"/>
    </row>
    <row r="5" spans="1:24" ht="15" customHeight="1">
      <c r="B5" s="733" t="str">
        <f>IF(D5&gt;E$48*0.5,ROUND(D5-E$48*0.5,2) &amp; " Over",ROUND(E$48*0.5-D5,2) &amp; " Under")</f>
        <v>4187.67 Under</v>
      </c>
      <c r="C5" s="733"/>
      <c r="D5" s="761">
        <f>ROUND(SUM(F6:F23),2)</f>
        <v>2819.42</v>
      </c>
      <c r="E5" s="761"/>
      <c r="F5" s="321"/>
      <c r="G5" s="284"/>
      <c r="H5" s="306"/>
      <c r="I5" s="390"/>
      <c r="J5" s="306"/>
      <c r="K5" s="390"/>
      <c r="L5" s="306"/>
      <c r="M5" s="79"/>
      <c r="N5" s="305"/>
      <c r="O5" s="285">
        <f>SUMIF(O6:O23,"&gt;0")</f>
        <v>0</v>
      </c>
      <c r="P5" s="285" t="s">
        <v>892</v>
      </c>
      <c r="Q5" s="282">
        <f>SUM(Q6:Q23)</f>
        <v>16.720000000000027</v>
      </c>
      <c r="R5" s="243"/>
      <c r="T5" s="243"/>
    </row>
    <row r="6" spans="1:24" ht="15" customHeight="1">
      <c r="B6" s="734" t="str">
        <f>"50%: " &amp; E$48*0.5</f>
        <v>50%: 7007.09</v>
      </c>
      <c r="C6" s="734" t="str">
        <f>ROUND((D5/E$48)*100,2) &amp; "%: " &amp;D5</f>
        <v>20.12%: 2819.42</v>
      </c>
      <c r="D6" s="13" t="s">
        <v>805</v>
      </c>
      <c r="E6" s="523">
        <v>0</v>
      </c>
      <c r="F6" s="528">
        <f>160-25+3.48</f>
        <v>138.47999999999999</v>
      </c>
      <c r="H6" s="305">
        <f>20.49+59.23+33.2</f>
        <v>112.92</v>
      </c>
      <c r="J6" s="305">
        <f>34.94</f>
        <v>34.94</v>
      </c>
      <c r="L6" s="305"/>
      <c r="N6" s="305"/>
      <c r="O6" s="274">
        <f>SUM(E6:F6)-SUM(G6:N6)</f>
        <v>-9.3800000000000239</v>
      </c>
      <c r="P6" s="274" t="str">
        <f t="shared" ref="P6:P23" si="0">D6</f>
        <v>Car Petrol / commuting</v>
      </c>
      <c r="Q6" s="282">
        <f>IF(O6&lt;0,O6*-1,0)</f>
        <v>9.3800000000000239</v>
      </c>
      <c r="R6" s="243"/>
      <c r="S6" s="243"/>
      <c r="T6" s="243"/>
    </row>
    <row r="7" spans="1:24" ht="15" customHeight="1">
      <c r="B7" s="734"/>
      <c r="C7" s="734"/>
      <c r="D7" s="13" t="s">
        <v>169</v>
      </c>
      <c r="E7" s="523">
        <v>0</v>
      </c>
      <c r="F7" s="523">
        <f>400+45.03-29.29</f>
        <v>415.73999999999995</v>
      </c>
      <c r="H7" s="305">
        <f>5.05+2.8+(94.7-40)+(99.17-59.17)+123.93+7.15+11.4+11.97+4.99+1.95+18.75+24+23.25+85.8</f>
        <v>415.74000000000007</v>
      </c>
      <c r="J7" s="305"/>
      <c r="L7" s="305"/>
      <c r="N7" s="305"/>
      <c r="O7" s="274">
        <f>SUM(E7:F7)-SUM(G7:N7)</f>
        <v>0</v>
      </c>
      <c r="P7" s="274" t="str">
        <f t="shared" si="0"/>
        <v>Food</v>
      </c>
      <c r="Q7" s="282">
        <f>IF(O7&lt;0,O7*-1,0)</f>
        <v>0</v>
      </c>
      <c r="R7" s="243"/>
    </row>
    <row r="8" spans="1:24" ht="15" customHeight="1">
      <c r="B8" s="734"/>
      <c r="C8" s="734"/>
      <c r="D8" s="13" t="s">
        <v>153</v>
      </c>
      <c r="E8" s="523">
        <v>0</v>
      </c>
      <c r="F8" s="523">
        <f>120-20-3.48</f>
        <v>96.52</v>
      </c>
      <c r="H8" s="305"/>
      <c r="J8" s="305">
        <f>20.59+31.8+23.54+20.59</f>
        <v>96.52000000000001</v>
      </c>
      <c r="L8" s="305"/>
      <c r="N8" s="305"/>
      <c r="O8" s="274">
        <f>SUM(E8:F8)-SUM(G8:N8)</f>
        <v>0</v>
      </c>
      <c r="P8" s="274" t="str">
        <f t="shared" si="0"/>
        <v>Luna</v>
      </c>
      <c r="Q8" s="282">
        <f>IF(O8&lt;0,O8*-1,0)</f>
        <v>0</v>
      </c>
    </row>
    <row r="9" spans="1:24" ht="15" customHeight="1">
      <c r="B9" s="734"/>
      <c r="C9" s="734"/>
      <c r="D9" s="13" t="s">
        <v>189</v>
      </c>
      <c r="E9" s="735">
        <f>SUM(F10:F23)</f>
        <v>2168.6799999999998</v>
      </c>
      <c r="F9" s="735"/>
      <c r="G9" s="243"/>
      <c r="H9" s="305"/>
      <c r="J9" s="305"/>
      <c r="L9" s="305"/>
      <c r="N9" s="305"/>
      <c r="O9" s="274"/>
      <c r="P9" s="274" t="str">
        <f t="shared" si="0"/>
        <v>Direct debits</v>
      </c>
      <c r="Q9" s="282"/>
      <c r="R9" s="243"/>
      <c r="T9" s="243"/>
    </row>
    <row r="10" spans="1:24" ht="15" customHeight="1" outlineLevel="1">
      <c r="B10" s="734"/>
      <c r="C10" s="734"/>
      <c r="D10" s="201" t="s">
        <v>595</v>
      </c>
      <c r="E10" s="523">
        <v>0</v>
      </c>
      <c r="F10" s="523">
        <v>838</v>
      </c>
      <c r="G10">
        <v>838</v>
      </c>
      <c r="H10" s="305"/>
      <c r="J10" s="305"/>
      <c r="L10" s="304"/>
      <c r="N10" s="305"/>
      <c r="O10" s="274">
        <f t="shared" ref="O10:O23" si="1">SUM(E10:F10)-SUM(G10:N10)</f>
        <v>0</v>
      </c>
      <c r="P10" s="274" t="str">
        <f t="shared" si="0"/>
        <v>Mortgage</v>
      </c>
      <c r="Q10" s="282">
        <f t="shared" ref="Q10:Q23" si="2">IF(O10&lt;0,O10*-1,0)</f>
        <v>0</v>
      </c>
      <c r="R10" s="243"/>
    </row>
    <row r="11" spans="1:24" ht="15" customHeight="1" outlineLevel="1">
      <c r="B11" s="734"/>
      <c r="C11" s="734"/>
      <c r="D11" s="201" t="s">
        <v>596</v>
      </c>
      <c r="E11" s="523">
        <v>0</v>
      </c>
      <c r="F11" s="523">
        <v>168</v>
      </c>
      <c r="G11">
        <v>168</v>
      </c>
      <c r="H11" s="305"/>
      <c r="J11" s="305"/>
      <c r="L11" s="305"/>
      <c r="N11" s="305"/>
      <c r="O11" s="274">
        <f t="shared" si="1"/>
        <v>0</v>
      </c>
      <c r="P11" s="274" t="str">
        <f t="shared" si="0"/>
        <v>Council tax</v>
      </c>
      <c r="Q11" s="282">
        <f t="shared" si="2"/>
        <v>0</v>
      </c>
    </row>
    <row r="12" spans="1:24" ht="15" customHeight="1" outlineLevel="1">
      <c r="B12" s="734"/>
      <c r="C12" s="734"/>
      <c r="D12" s="201" t="s">
        <v>1002</v>
      </c>
      <c r="E12" s="523">
        <v>0</v>
      </c>
      <c r="F12" s="523">
        <f>49+107.15</f>
        <v>156.15</v>
      </c>
      <c r="G12">
        <f>49+107.15</f>
        <v>156.15</v>
      </c>
      <c r="H12" s="305"/>
      <c r="J12" s="305"/>
      <c r="L12" s="305"/>
      <c r="N12" s="305"/>
      <c r="O12" s="274">
        <f t="shared" si="1"/>
        <v>0</v>
      </c>
      <c r="P12" s="274" t="str">
        <f t="shared" si="0"/>
        <v>Utilities (G,W,E,HTB)</v>
      </c>
      <c r="Q12" s="282">
        <f t="shared" si="2"/>
        <v>0</v>
      </c>
    </row>
    <row r="13" spans="1:24" ht="15" customHeight="1" outlineLevel="1">
      <c r="B13" s="734"/>
      <c r="C13" s="734"/>
      <c r="D13" s="201" t="s">
        <v>996</v>
      </c>
      <c r="E13" s="523">
        <v>0</v>
      </c>
      <c r="F13" s="523">
        <v>72.84</v>
      </c>
      <c r="G13">
        <v>72.84</v>
      </c>
      <c r="H13" s="305"/>
      <c r="J13" s="305"/>
      <c r="L13" s="305"/>
      <c r="N13" s="305"/>
      <c r="O13" s="274">
        <f t="shared" si="1"/>
        <v>0</v>
      </c>
      <c r="P13" s="274" t="str">
        <f t="shared" si="0"/>
        <v>Home Insurance</v>
      </c>
      <c r="Q13" s="282">
        <f t="shared" si="2"/>
        <v>0</v>
      </c>
    </row>
    <row r="14" spans="1:24" ht="15" customHeight="1" outlineLevel="1">
      <c r="B14" s="734"/>
      <c r="C14" s="734"/>
      <c r="D14" s="201" t="s">
        <v>1056</v>
      </c>
      <c r="E14" s="523">
        <v>0</v>
      </c>
      <c r="F14" s="523">
        <f>31.99+22.99</f>
        <v>54.98</v>
      </c>
      <c r="G14">
        <f>22.99+31.99</f>
        <v>54.98</v>
      </c>
      <c r="H14" s="305"/>
      <c r="J14" s="305"/>
      <c r="L14" s="305"/>
      <c r="N14" s="305"/>
      <c r="O14" s="274">
        <f t="shared" si="1"/>
        <v>0</v>
      </c>
      <c r="P14" s="274" t="str">
        <f t="shared" si="0"/>
        <v>Pet Health / Insurance</v>
      </c>
      <c r="Q14" s="282">
        <f t="shared" si="2"/>
        <v>0</v>
      </c>
      <c r="U14" s="11"/>
    </row>
    <row r="15" spans="1:24" ht="15" customHeight="1" outlineLevel="1">
      <c r="B15" s="734"/>
      <c r="C15" s="734"/>
      <c r="D15" s="201" t="s">
        <v>1057</v>
      </c>
      <c r="E15" s="523">
        <v>0</v>
      </c>
      <c r="F15" s="523">
        <f>30.8+62.08</f>
        <v>92.88</v>
      </c>
      <c r="G15">
        <v>92.88</v>
      </c>
      <c r="H15" s="305"/>
      <c r="J15" s="305"/>
      <c r="L15" s="305"/>
      <c r="N15" s="305"/>
      <c r="O15" s="274">
        <f t="shared" si="1"/>
        <v>0</v>
      </c>
      <c r="P15" s="274" t="str">
        <f t="shared" si="0"/>
        <v>Life / Income Insurance</v>
      </c>
      <c r="Q15" s="282">
        <f t="shared" si="2"/>
        <v>0</v>
      </c>
    </row>
    <row r="16" spans="1:24" ht="15" customHeight="1" outlineLevel="1">
      <c r="B16" s="734"/>
      <c r="C16" s="734"/>
      <c r="D16" s="201" t="s">
        <v>602</v>
      </c>
      <c r="E16" s="523">
        <v>0</v>
      </c>
      <c r="F16" s="523">
        <v>37</v>
      </c>
      <c r="G16">
        <v>37</v>
      </c>
      <c r="H16" s="305"/>
      <c r="J16" s="305"/>
      <c r="L16" s="305"/>
      <c r="N16" s="305"/>
      <c r="O16" s="274">
        <f t="shared" si="1"/>
        <v>0</v>
      </c>
      <c r="P16" s="274" t="str">
        <f t="shared" si="0"/>
        <v>Broadband / TV</v>
      </c>
      <c r="Q16" s="282">
        <f t="shared" si="2"/>
        <v>0</v>
      </c>
    </row>
    <row r="17" spans="2:19" ht="15" customHeight="1" outlineLevel="1">
      <c r="B17" s="734"/>
      <c r="C17" s="734"/>
      <c r="D17" s="201" t="s">
        <v>788</v>
      </c>
      <c r="E17" s="523">
        <v>0</v>
      </c>
      <c r="F17" s="523">
        <v>29.1</v>
      </c>
      <c r="G17">
        <v>29.1</v>
      </c>
      <c r="H17" s="305"/>
      <c r="J17" s="305"/>
      <c r="L17" s="305"/>
      <c r="N17" s="305"/>
      <c r="O17" s="274">
        <f t="shared" si="1"/>
        <v>0</v>
      </c>
      <c r="P17" s="274" t="str">
        <f t="shared" si="0"/>
        <v>Matt Phone</v>
      </c>
      <c r="Q17" s="282">
        <f t="shared" si="2"/>
        <v>0</v>
      </c>
    </row>
    <row r="18" spans="2:19" ht="15" customHeight="1" outlineLevel="1">
      <c r="B18" s="734"/>
      <c r="C18" s="734"/>
      <c r="D18" s="201" t="s">
        <v>690</v>
      </c>
      <c r="E18" s="523">
        <v>0</v>
      </c>
      <c r="F18" s="523">
        <f>14+46.3+270.97+73.44+19-1.95</f>
        <v>421.76000000000005</v>
      </c>
      <c r="G18">
        <f>46.3+14.43+16.62+73.44+270.97</f>
        <v>421.76</v>
      </c>
      <c r="H18" s="305"/>
      <c r="J18" s="305"/>
      <c r="L18" s="305"/>
      <c r="N18" s="305"/>
      <c r="O18" s="274">
        <f t="shared" si="1"/>
        <v>0</v>
      </c>
      <c r="P18" s="274" t="str">
        <f t="shared" si="0"/>
        <v>Cars</v>
      </c>
      <c r="Q18" s="282">
        <f t="shared" si="2"/>
        <v>0</v>
      </c>
    </row>
    <row r="19" spans="2:19" ht="15" customHeight="1" outlineLevel="1">
      <c r="B19" s="734"/>
      <c r="C19" s="734"/>
      <c r="D19" s="201" t="s">
        <v>944</v>
      </c>
      <c r="E19" s="523">
        <v>0</v>
      </c>
      <c r="F19" s="523">
        <v>15</v>
      </c>
      <c r="G19">
        <v>15</v>
      </c>
      <c r="H19" s="305"/>
      <c r="J19" s="305"/>
      <c r="L19" s="305"/>
      <c r="N19" s="305"/>
      <c r="O19" s="274">
        <f t="shared" si="1"/>
        <v>0</v>
      </c>
      <c r="P19" s="274" t="str">
        <f t="shared" si="0"/>
        <v>Windows</v>
      </c>
      <c r="Q19" s="282">
        <f t="shared" si="2"/>
        <v>0</v>
      </c>
      <c r="R19" s="243"/>
    </row>
    <row r="20" spans="2:19" ht="15" customHeight="1" outlineLevel="1">
      <c r="B20" s="7"/>
      <c r="C20" s="7"/>
      <c r="D20" s="201" t="s">
        <v>920</v>
      </c>
      <c r="E20" s="523">
        <v>0</v>
      </c>
      <c r="F20" s="523">
        <f>137.5+31.26</f>
        <v>168.76</v>
      </c>
      <c r="G20">
        <f>137.5+31.26</f>
        <v>168.76</v>
      </c>
      <c r="H20" s="305"/>
      <c r="J20" s="305"/>
      <c r="L20" s="305"/>
      <c r="N20" s="305"/>
      <c r="O20" s="274">
        <f t="shared" si="1"/>
        <v>0</v>
      </c>
      <c r="P20" s="274" t="str">
        <f t="shared" si="0"/>
        <v>Finance</v>
      </c>
      <c r="Q20" s="282"/>
      <c r="R20" s="243"/>
    </row>
    <row r="21" spans="2:19" ht="15" customHeight="1" outlineLevel="1">
      <c r="B21" s="7"/>
      <c r="C21" s="7"/>
      <c r="D21" s="201" t="s">
        <v>1297</v>
      </c>
      <c r="E21" s="523">
        <v>0</v>
      </c>
      <c r="F21" s="523">
        <v>0</v>
      </c>
      <c r="H21" s="305"/>
      <c r="J21" s="305"/>
      <c r="L21" s="305"/>
      <c r="N21" s="305"/>
      <c r="O21" s="274">
        <f t="shared" si="1"/>
        <v>0</v>
      </c>
      <c r="P21" s="274" t="str">
        <f t="shared" si="0"/>
        <v>Skin</v>
      </c>
      <c r="Q21" s="282"/>
      <c r="R21" s="243"/>
      <c r="S21" s="11"/>
    </row>
    <row r="22" spans="2:19" ht="15" customHeight="1" outlineLevel="1">
      <c r="B22" s="7"/>
      <c r="C22" s="7"/>
      <c r="D22" s="201" t="s">
        <v>2909</v>
      </c>
      <c r="E22" s="523">
        <v>0</v>
      </c>
      <c r="F22" s="523">
        <v>45.79</v>
      </c>
      <c r="G22">
        <v>45.79</v>
      </c>
      <c r="H22" s="305"/>
      <c r="J22" s="305"/>
      <c r="L22" s="305"/>
      <c r="N22" s="305"/>
      <c r="O22" s="274">
        <f t="shared" si="1"/>
        <v>0</v>
      </c>
      <c r="P22" s="274" t="str">
        <f t="shared" si="0"/>
        <v>Kris Phone</v>
      </c>
      <c r="Q22" s="282"/>
      <c r="R22" s="243"/>
      <c r="S22" s="11"/>
    </row>
    <row r="23" spans="2:19" ht="15" customHeight="1" outlineLevel="1">
      <c r="B23" s="7"/>
      <c r="C23" s="7"/>
      <c r="D23" s="201" t="s">
        <v>781</v>
      </c>
      <c r="E23" s="523">
        <v>0</v>
      </c>
      <c r="F23" s="523">
        <f>10.49+18+4.99+0.99+12+20+1.95</f>
        <v>68.42</v>
      </c>
      <c r="G23" s="11">
        <f>18+12+3.29+10.49+5.99</f>
        <v>49.77</v>
      </c>
      <c r="H23" s="305"/>
      <c r="J23" s="305">
        <f>5.99+20</f>
        <v>25.990000000000002</v>
      </c>
      <c r="L23" s="305"/>
      <c r="N23" s="305"/>
      <c r="O23" s="274">
        <f t="shared" si="1"/>
        <v>-7.3400000000000034</v>
      </c>
      <c r="P23" s="274" t="str">
        <f t="shared" si="0"/>
        <v>Subscriptions</v>
      </c>
      <c r="Q23" s="282">
        <f t="shared" si="2"/>
        <v>7.3400000000000034</v>
      </c>
      <c r="R23" s="243"/>
    </row>
    <row r="24" spans="2:19" ht="15" customHeight="1">
      <c r="B24" s="118"/>
      <c r="C24" s="118"/>
      <c r="D24" s="188"/>
      <c r="H24" s="305"/>
      <c r="J24" s="305"/>
      <c r="L24" s="305"/>
      <c r="N24" s="305"/>
      <c r="O24" s="273"/>
      <c r="P24" s="273"/>
      <c r="Q24" s="282"/>
    </row>
    <row r="25" spans="2:19" ht="15" customHeight="1">
      <c r="B25" s="736" t="str">
        <f>_xlfn.CONCAT("Savings - 20 - ",G48*0.2," / Actual = ",D26," (",ROUND((D26/G48)*100,2),")")</f>
        <v>Savings - 20 - 2802.836 / Actual = 530 (3.78)</v>
      </c>
      <c r="C25" s="736"/>
      <c r="D25" s="736"/>
      <c r="E25" s="736"/>
      <c r="F25" s="320"/>
      <c r="H25" s="305"/>
      <c r="J25" s="305"/>
      <c r="L25" s="305"/>
      <c r="N25" s="305"/>
      <c r="O25" s="274"/>
      <c r="P25" s="274"/>
      <c r="Q25" s="282"/>
    </row>
    <row r="26" spans="2:19" ht="15" customHeight="1">
      <c r="B26" s="727" t="str">
        <f>IF(ISNUMBER((SEARCH("Over",C$5))),"Operating under budget","Operating over budget")</f>
        <v>Operating over budget</v>
      </c>
      <c r="C26" s="727"/>
      <c r="D26" s="759">
        <f>F27</f>
        <v>530</v>
      </c>
      <c r="E26" s="759"/>
      <c r="F26" s="319"/>
      <c r="H26" s="305"/>
      <c r="J26" s="305"/>
      <c r="L26" s="305"/>
      <c r="N26" s="305"/>
      <c r="O26" s="285">
        <f>O27</f>
        <v>-556.58000000000197</v>
      </c>
      <c r="P26" s="285" t="s">
        <v>895</v>
      </c>
      <c r="Q26" s="282">
        <f>SUM(Q27:Q27)</f>
        <v>0</v>
      </c>
      <c r="S26" s="243"/>
    </row>
    <row r="27" spans="2:19" ht="15" customHeight="1" outlineLevel="1">
      <c r="B27" s="7" t="str">
        <f>"20% : " &amp; E$48*0.2</f>
        <v>20% : 2802.836</v>
      </c>
      <c r="C27" s="7" t="str">
        <f>"20% : " &amp; E$48*0.2</f>
        <v>20% : 2802.836</v>
      </c>
      <c r="D27" s="300" t="s">
        <v>183</v>
      </c>
      <c r="E27" s="523">
        <v>0</v>
      </c>
      <c r="F27" s="523">
        <f>SUM(F28:F35)</f>
        <v>530</v>
      </c>
      <c r="G27" s="243"/>
      <c r="H27" s="305"/>
      <c r="J27" s="305"/>
      <c r="L27" s="305"/>
      <c r="N27" s="305"/>
      <c r="O27" s="274">
        <f>SUM(O28:O35)</f>
        <v>-556.58000000000197</v>
      </c>
      <c r="P27" s="274" t="str">
        <f t="shared" ref="P27:P35" si="3">D27</f>
        <v>Savings</v>
      </c>
      <c r="Q27" s="282">
        <v>0</v>
      </c>
      <c r="R27" s="495"/>
    </row>
    <row r="28" spans="2:19" ht="15" customHeight="1" outlineLevel="1">
      <c r="B28" s="7"/>
      <c r="C28" s="7"/>
      <c r="D28" s="300" t="s">
        <v>1485</v>
      </c>
      <c r="E28" s="523">
        <v>0</v>
      </c>
      <c r="F28" s="523">
        <v>0</v>
      </c>
      <c r="H28" s="305"/>
      <c r="J28" s="305"/>
      <c r="L28" s="305"/>
      <c r="N28" s="315"/>
      <c r="O28" s="274">
        <f>SUM(E28:F28)-SUM(G28:N28)</f>
        <v>0</v>
      </c>
      <c r="P28" s="274" t="str">
        <f t="shared" si="3"/>
        <v>MOT / Service</v>
      </c>
      <c r="Q28" s="282"/>
      <c r="R28" s="243"/>
    </row>
    <row r="29" spans="2:19" ht="15" customHeight="1" outlineLevel="1">
      <c r="B29" s="7"/>
      <c r="C29" s="7"/>
      <c r="D29" s="300" t="s">
        <v>690</v>
      </c>
      <c r="E29" s="523">
        <v>0</v>
      </c>
      <c r="F29" s="523">
        <v>0</v>
      </c>
      <c r="H29" s="305"/>
      <c r="J29" s="305"/>
      <c r="L29" s="305"/>
      <c r="N29" s="315"/>
      <c r="O29" s="274">
        <f>SUM(E29:F29)-SUM(G29:N29)</f>
        <v>0</v>
      </c>
      <c r="P29" s="274" t="str">
        <f t="shared" si="3"/>
        <v>Cars</v>
      </c>
      <c r="Q29" s="282"/>
      <c r="R29" s="243"/>
    </row>
    <row r="30" spans="2:19" ht="15" customHeight="1" outlineLevel="1">
      <c r="B30" s="7"/>
      <c r="C30" s="7"/>
      <c r="D30" s="300" t="s">
        <v>590</v>
      </c>
      <c r="E30" s="523">
        <v>0</v>
      </c>
      <c r="F30" s="523">
        <v>0</v>
      </c>
      <c r="G30" s="305">
        <f>40</f>
        <v>40</v>
      </c>
      <c r="H30" s="305">
        <f>9.95+60+149</f>
        <v>218.95</v>
      </c>
      <c r="J30" s="305"/>
      <c r="L30" s="305"/>
      <c r="N30" s="315"/>
      <c r="O30" s="274">
        <f>SUM(E30:F30)-SUM(G30:N30)-Q48</f>
        <v>-275.67000000000195</v>
      </c>
      <c r="P30" s="274" t="str">
        <f t="shared" si="3"/>
        <v>Contingency</v>
      </c>
      <c r="Q30" s="282"/>
    </row>
    <row r="31" spans="2:19" ht="15" customHeight="1" outlineLevel="1">
      <c r="B31" s="7"/>
      <c r="C31" s="7"/>
      <c r="D31" s="300" t="s">
        <v>1486</v>
      </c>
      <c r="E31" s="523">
        <v>0</v>
      </c>
      <c r="F31" s="523">
        <v>0</v>
      </c>
      <c r="H31" s="305"/>
      <c r="J31" s="305"/>
      <c r="L31" s="305"/>
      <c r="N31" s="315"/>
      <c r="O31" s="274">
        <f t="shared" ref="O31:O35" si="4">SUM(E31:F31)-SUM(G31:N31)</f>
        <v>0</v>
      </c>
      <c r="P31" s="274" t="str">
        <f t="shared" si="3"/>
        <v>TV</v>
      </c>
      <c r="Q31" s="282"/>
    </row>
    <row r="32" spans="2:19" ht="15" customHeight="1" outlineLevel="1">
      <c r="B32" s="7"/>
      <c r="C32" s="7"/>
      <c r="D32" s="300" t="s">
        <v>1296</v>
      </c>
      <c r="E32" s="523">
        <v>0</v>
      </c>
      <c r="F32" s="523">
        <v>0</v>
      </c>
      <c r="H32" s="305"/>
      <c r="J32" s="305"/>
      <c r="L32" s="305"/>
      <c r="N32" s="315"/>
      <c r="O32" s="274">
        <f t="shared" si="4"/>
        <v>0</v>
      </c>
      <c r="P32" s="274" t="str">
        <f t="shared" si="3"/>
        <v>Offset</v>
      </c>
      <c r="Q32" s="282"/>
    </row>
    <row r="33" spans="2:19" ht="15" customHeight="1" outlineLevel="1">
      <c r="B33" s="7"/>
      <c r="C33" s="7"/>
      <c r="D33" s="300" t="s">
        <v>3091</v>
      </c>
      <c r="E33" s="523">
        <v>0</v>
      </c>
      <c r="F33" s="625">
        <v>300</v>
      </c>
      <c r="H33" s="305">
        <f>(9.5+13.49+13.98+12.99)+(99.17-79.17)+(94.17-54.17)+58.85+45.52+136.99</f>
        <v>351.32000000000005</v>
      </c>
      <c r="J33" s="305"/>
      <c r="L33" s="305"/>
      <c r="N33" s="315"/>
      <c r="O33" s="274">
        <f t="shared" si="4"/>
        <v>-51.32000000000005</v>
      </c>
      <c r="P33" s="274" t="str">
        <f t="shared" si="3"/>
        <v>Family aprty</v>
      </c>
      <c r="Q33" s="282"/>
    </row>
    <row r="34" spans="2:19" ht="15" customHeight="1" outlineLevel="1">
      <c r="B34" s="7"/>
      <c r="C34" s="7"/>
      <c r="D34" s="300" t="s">
        <v>701</v>
      </c>
      <c r="E34" s="523">
        <v>0</v>
      </c>
      <c r="F34" s="523">
        <f>830-300-300</f>
        <v>230</v>
      </c>
      <c r="G34">
        <v>60</v>
      </c>
      <c r="H34" s="305">
        <f>24.99+(28.07-18.07)+9.6+24.9+45+23.19+40.14+9+17.58-9-9.6+24.9+12.77+11.98+13.6</f>
        <v>249.04999999999998</v>
      </c>
      <c r="J34" s="305">
        <f>-10+9.99+15+60+43.15+18.4+14</f>
        <v>150.54</v>
      </c>
      <c r="L34" s="305"/>
      <c r="N34" s="315"/>
      <c r="O34" s="274">
        <f t="shared" si="4"/>
        <v>-229.58999999999992</v>
      </c>
      <c r="P34" s="274" t="str">
        <f t="shared" si="3"/>
        <v>Gift</v>
      </c>
      <c r="Q34" s="282"/>
    </row>
    <row r="35" spans="2:19" ht="15" customHeight="1" outlineLevel="1">
      <c r="B35" s="7"/>
      <c r="C35" s="7"/>
      <c r="D35" s="300" t="s">
        <v>1391</v>
      </c>
      <c r="E35" s="523">
        <v>0</v>
      </c>
      <c r="F35" s="523">
        <v>0</v>
      </c>
      <c r="H35" s="305"/>
      <c r="J35" s="305"/>
      <c r="L35" s="305"/>
      <c r="N35" s="315"/>
      <c r="O35" s="274">
        <f t="shared" si="4"/>
        <v>0</v>
      </c>
      <c r="P35" s="274" t="str">
        <f t="shared" si="3"/>
        <v>Avios</v>
      </c>
      <c r="Q35" s="282"/>
    </row>
    <row r="36" spans="2:19" ht="15" customHeight="1">
      <c r="B36" s="118"/>
      <c r="C36" s="118"/>
      <c r="H36" s="305"/>
      <c r="J36" s="305"/>
      <c r="L36" s="305"/>
      <c r="N36" s="305"/>
      <c r="O36" s="273"/>
      <c r="P36" s="273"/>
      <c r="Q36" s="282"/>
      <c r="R36" s="243"/>
    </row>
    <row r="37" spans="2:19" ht="15" customHeight="1">
      <c r="B37" s="727" t="str">
        <f>_xlfn.CONCAT("Wants - 30 - ",G48*0.3," / Actual = ",D38," (",ROUND((D38/G48)*100,2),")")</f>
        <v>Wants - 30 - 4204.254 / Actual = 10664.76 (76.1)</v>
      </c>
      <c r="C37" s="727"/>
      <c r="D37" s="727"/>
      <c r="E37" s="727"/>
      <c r="F37" s="318"/>
      <c r="H37" s="305"/>
      <c r="J37" s="305"/>
      <c r="L37" s="305"/>
      <c r="N37" s="305"/>
      <c r="O37" s="273"/>
      <c r="P37" s="273"/>
      <c r="Q37" s="282"/>
    </row>
    <row r="38" spans="2:19" ht="15" customHeight="1">
      <c r="B38" s="727" t="str">
        <f>IF(ISNUMBER((SEARCH("Over",B$5))),"Operating under budget","Operating over budget")</f>
        <v>Operating over budget</v>
      </c>
      <c r="C38" s="727"/>
      <c r="D38" s="759">
        <f>(E$48-D5-D26-E47)</f>
        <v>10664.759999999998</v>
      </c>
      <c r="E38" s="727"/>
      <c r="F38" s="319"/>
      <c r="H38" s="305"/>
      <c r="J38" s="305"/>
      <c r="L38" s="305"/>
      <c r="N38" s="305"/>
      <c r="O38" s="285">
        <f>0</f>
        <v>0</v>
      </c>
      <c r="P38" s="285" t="s">
        <v>899</v>
      </c>
      <c r="Q38" s="282">
        <f>SUM(Q39:Q39)</f>
        <v>1.9326762412674725E-12</v>
      </c>
      <c r="S38" s="11"/>
    </row>
    <row r="39" spans="2:19" ht="18" outlineLevel="1">
      <c r="B39" s="7"/>
      <c r="C39" s="284"/>
      <c r="D39" s="13" t="s">
        <v>922</v>
      </c>
      <c r="E39" s="523">
        <v>0</v>
      </c>
      <c r="F39" s="523">
        <f>D38-F46-F43-F40-F42-F44-F45</f>
        <v>356.60999999999808</v>
      </c>
      <c r="G39" s="11">
        <f>40+230</f>
        <v>270</v>
      </c>
      <c r="H39" s="305">
        <f>4.99+2.1+3.5+0.9+2.2+9.82+6+5-1.03+5.99+6.7+6.6</f>
        <v>52.77000000000001</v>
      </c>
      <c r="J39" s="305">
        <f>14+3.84+12+4</f>
        <v>33.840000000000003</v>
      </c>
      <c r="L39" s="305"/>
      <c r="N39" s="305"/>
      <c r="O39" s="274">
        <f>SUM(E39:F39)-SUM(G39:N39)</f>
        <v>-1.9326762412674725E-12</v>
      </c>
      <c r="P39" s="274" t="str">
        <f t="shared" ref="P39:P46" si="5">D39</f>
        <v>Matt Fun</v>
      </c>
      <c r="Q39" s="271">
        <f>IF(F39-SUM(G39:N39)&lt;=0,(F39-SUM(G39:N39))*-1,0)</f>
        <v>1.9326762412674725E-12</v>
      </c>
      <c r="S39" s="11"/>
    </row>
    <row r="40" spans="2:19" ht="18" outlineLevel="1">
      <c r="B40" s="7"/>
      <c r="C40" s="284"/>
      <c r="D40" s="13" t="s">
        <v>3082</v>
      </c>
      <c r="E40" s="523">
        <v>0</v>
      </c>
      <c r="F40" s="523">
        <f>800-34.99+50+20+25+20+53-92.36+235-45.03+29.29+72.66</f>
        <v>1132.5700000000002</v>
      </c>
      <c r="G40" s="11">
        <f>120+1.2</f>
        <v>121.2</v>
      </c>
      <c r="H40" s="305">
        <f>22.37+16+(28.07-10)+(99.17-20-40)+(163.8-120)+22.98+28.6+16+3.84+7.12+2.99+3.15+13.99+11.9+21.75+2.75+6.6+6.7+14.98+19.2</f>
        <v>321.96000000000004</v>
      </c>
      <c r="J40" s="305">
        <f>56.99+15+17+17+6.2+90+72.5+5+8.29+28+109.35</f>
        <v>425.33000000000004</v>
      </c>
      <c r="L40" s="305"/>
      <c r="N40" s="305"/>
      <c r="O40" s="274">
        <f>SUM(E40:F40)-SUM(G40:N40)-O41</f>
        <v>-50.729999999999791</v>
      </c>
      <c r="P40" s="274" t="str">
        <f t="shared" si="5"/>
        <v>Xmas shared</v>
      </c>
      <c r="Q40" s="271">
        <f>IF(F40-SUM(G40:N40)&lt;=0,(F40-SUM(G40:N40))*-1,0)</f>
        <v>0</v>
      </c>
      <c r="S40" s="11"/>
    </row>
    <row r="41" spans="2:19" ht="18" outlineLevel="1">
      <c r="B41" s="7"/>
      <c r="C41" s="284"/>
      <c r="D41" s="13" t="s">
        <v>3093</v>
      </c>
      <c r="E41" s="523">
        <v>0</v>
      </c>
      <c r="F41" s="523">
        <f>SUM(G41:N41)</f>
        <v>314.80999999999995</v>
      </c>
      <c r="G41" s="11">
        <f>60</f>
        <v>60</v>
      </c>
      <c r="H41" s="305">
        <f>(9+23.81+8.9+6.7)</f>
        <v>48.410000000000004</v>
      </c>
      <c r="J41" s="305">
        <f>7+10.5+26.85+10.25+2.5+75+67.3+7</f>
        <v>206.39999999999998</v>
      </c>
      <c r="L41" s="305"/>
      <c r="N41" s="305"/>
      <c r="O41" s="274">
        <f>SUM(G41:N41)</f>
        <v>314.80999999999995</v>
      </c>
      <c r="P41" s="274" t="str">
        <f t="shared" si="5"/>
        <v>Anna + Roman</v>
      </c>
      <c r="Q41" s="271"/>
      <c r="S41" s="11"/>
    </row>
    <row r="42" spans="2:19" ht="18" outlineLevel="1">
      <c r="B42" s="7"/>
      <c r="C42" s="284"/>
      <c r="D42" s="13" t="s">
        <v>3083</v>
      </c>
      <c r="E42" s="523">
        <v>0</v>
      </c>
      <c r="F42" s="523">
        <v>234.99</v>
      </c>
      <c r="G42" s="11"/>
      <c r="H42" s="305">
        <f>78+42+114.08+9.95</f>
        <v>244.02999999999997</v>
      </c>
      <c r="J42" s="305"/>
      <c r="L42" s="305"/>
      <c r="N42" s="305"/>
      <c r="O42" s="274">
        <f>SUM(E42:F42)-SUM(G42:N42)</f>
        <v>-9.0399999999999636</v>
      </c>
      <c r="P42" s="274" t="str">
        <f t="shared" si="5"/>
        <v>Bedroom Reno</v>
      </c>
      <c r="Q42" s="271">
        <f>IF(F42-SUM(G42:N42)&lt;=0,(F42-SUM(G42:N42))*-1,0)</f>
        <v>9.0399999999999636</v>
      </c>
      <c r="S42" s="11"/>
    </row>
    <row r="43" spans="2:19" ht="18" outlineLevel="1">
      <c r="B43" s="7"/>
      <c r="C43" s="284"/>
      <c r="D43" s="13" t="s">
        <v>814</v>
      </c>
      <c r="E43" s="523">
        <v>0</v>
      </c>
      <c r="F43" s="523">
        <f>2683.32+300+120+(251.87-60)+600+3968.4</f>
        <v>7863.59</v>
      </c>
      <c r="G43" s="11">
        <f>378.49+7485.1</f>
        <v>7863.59</v>
      </c>
      <c r="H43" s="305"/>
      <c r="J43" s="305"/>
      <c r="L43" s="305"/>
      <c r="N43" s="305"/>
      <c r="O43" s="274">
        <f>SUM(E43:F43)-SUM(G43:N43)</f>
        <v>0</v>
      </c>
      <c r="P43" s="274" t="str">
        <f t="shared" si="5"/>
        <v>CC</v>
      </c>
      <c r="Q43" s="282"/>
      <c r="S43" s="11"/>
    </row>
    <row r="44" spans="2:19" ht="18" outlineLevel="1">
      <c r="B44" s="7"/>
      <c r="C44" s="284"/>
      <c r="D44" s="13" t="s">
        <v>3088</v>
      </c>
      <c r="E44" s="523">
        <v>0</v>
      </c>
      <c r="F44" s="625">
        <f>50+300+142</f>
        <v>492</v>
      </c>
      <c r="G44" s="11"/>
      <c r="H44" s="305"/>
      <c r="J44" s="305"/>
      <c r="L44" s="305"/>
      <c r="N44" s="305"/>
      <c r="O44" s="274">
        <f>SUM(E44:F44)-SUM(G44:N44)</f>
        <v>492</v>
      </c>
      <c r="P44" s="274" t="str">
        <f t="shared" si="5"/>
        <v>Rollover Strategy</v>
      </c>
      <c r="Q44" s="282"/>
      <c r="S44" s="11"/>
    </row>
    <row r="45" spans="2:19" ht="18" outlineLevel="1">
      <c r="B45" s="7"/>
      <c r="C45" s="284"/>
      <c r="D45" s="13" t="s">
        <v>3103</v>
      </c>
      <c r="E45" s="523">
        <v>0</v>
      </c>
      <c r="F45" s="625">
        <v>300</v>
      </c>
      <c r="G45" s="11"/>
      <c r="H45" s="305">
        <f>329.98+148.19-178</f>
        <v>300.17</v>
      </c>
      <c r="J45" s="305"/>
      <c r="L45" s="305"/>
      <c r="N45" s="305"/>
      <c r="O45" s="274">
        <f>SUM(E45:F45)-SUM(G45:N45)</f>
        <v>-0.17000000000001592</v>
      </c>
      <c r="P45" s="274" t="str">
        <f t="shared" si="5"/>
        <v>Work Expense</v>
      </c>
      <c r="Q45" s="282"/>
      <c r="S45" s="11"/>
    </row>
    <row r="46" spans="2:19" ht="18" outlineLevel="1">
      <c r="B46" s="7"/>
      <c r="C46" s="284"/>
      <c r="D46" s="13" t="s">
        <v>152</v>
      </c>
      <c r="E46" s="523">
        <v>0</v>
      </c>
      <c r="F46" s="523">
        <f>40+40+55+20+60+40+30</f>
        <v>285</v>
      </c>
      <c r="G46" s="11">
        <f>30+30</f>
        <v>60</v>
      </c>
      <c r="H46" s="305">
        <f>55+65.44+36.89+(163.8-43.8)-19.4+9.49+44</f>
        <v>311.42</v>
      </c>
      <c r="J46" s="305"/>
      <c r="L46" s="305"/>
      <c r="N46" s="305"/>
      <c r="O46" s="274">
        <f>SUM(E46:F46)-SUM(G46:N46)</f>
        <v>-86.420000000000016</v>
      </c>
      <c r="P46" s="274" t="str">
        <f t="shared" si="5"/>
        <v>Kris</v>
      </c>
      <c r="Q46" s="271">
        <f>IF(F46-SUM(G46:N46)&lt;=0,(F46-SUM(G46:N46))*-1,0)</f>
        <v>86.420000000000016</v>
      </c>
    </row>
    <row r="47" spans="2:19">
      <c r="B47" s="118"/>
      <c r="C47" s="118"/>
      <c r="E47" s="523">
        <f>E27</f>
        <v>0</v>
      </c>
      <c r="G47" s="349"/>
      <c r="J47" s="7"/>
      <c r="L47" s="7"/>
      <c r="N47" s="7"/>
      <c r="O47" s="273"/>
      <c r="P47" s="273"/>
      <c r="Q47" s="282"/>
    </row>
    <row r="48" spans="2:19" ht="18">
      <c r="B48" s="728" t="s">
        <v>817</v>
      </c>
      <c r="C48" s="728"/>
      <c r="D48" s="728"/>
      <c r="E48" s="529">
        <f>G48+I48+K48+M48+N48+E47</f>
        <v>14014.179999999998</v>
      </c>
      <c r="F48" s="530"/>
      <c r="G48" s="271">
        <f>2683.32+(3579.86+20+120+251.87)+(910+140+20+600+200+40+40+55+20+45+360)+3968.4+40+50+250+53.73+532+5+30</f>
        <v>14014.179999999998</v>
      </c>
      <c r="H48" s="282"/>
      <c r="I48" s="271"/>
      <c r="J48" s="271"/>
      <c r="K48" s="271"/>
      <c r="L48" s="271"/>
      <c r="M48" s="271"/>
      <c r="N48" s="271"/>
      <c r="O48" s="314">
        <f>ROUND(O5+O38+O26+IF(O39&lt;0,0,O39)+O46+O4+O43+O40+O42+O44+O45,2)</f>
        <v>3389.36</v>
      </c>
      <c r="P48" s="274"/>
      <c r="Q48" s="282">
        <f>SUM(Q38,Q26,Q5)</f>
        <v>16.72000000000196</v>
      </c>
    </row>
    <row r="49" spans="2:18" ht="18">
      <c r="B49" s="118"/>
      <c r="C49" s="7"/>
      <c r="D49" s="13" t="s">
        <v>1451</v>
      </c>
      <c r="G49" s="523"/>
      <c r="H49" s="243"/>
      <c r="L49" s="243"/>
      <c r="O49" s="610">
        <f>O48-SUM(O4:O5)-O44-O40-O39</f>
        <v>-652.20999999999833</v>
      </c>
      <c r="P49" s="7" t="str">
        <f>IF(O49&lt;0, "DEFICIT", "")</f>
        <v>DEFICIT</v>
      </c>
    </row>
    <row r="50" spans="2:18" ht="14.4">
      <c r="B50" s="729"/>
      <c r="C50" s="729"/>
      <c r="D50" s="729"/>
      <c r="E50" s="729"/>
      <c r="F50" s="729"/>
      <c r="G50" s="729"/>
      <c r="H50" s="297"/>
      <c r="K50" s="729"/>
      <c r="L50" s="729"/>
      <c r="M50" s="729"/>
      <c r="N50" s="729"/>
      <c r="O50" s="729"/>
      <c r="P50" s="297"/>
    </row>
    <row r="51" spans="2:18" ht="15" customHeight="1">
      <c r="B51" s="726" t="s">
        <v>955</v>
      </c>
      <c r="C51" s="726"/>
      <c r="D51" s="726"/>
      <c r="E51" s="726"/>
      <c r="F51" s="348"/>
      <c r="H51" s="243"/>
      <c r="K51" s="212"/>
      <c r="L51" s="212"/>
      <c r="M51" s="243"/>
      <c r="N51" s="476" t="s">
        <v>3126</v>
      </c>
      <c r="O51" s="316">
        <v>46012</v>
      </c>
      <c r="P51" s="7">
        <f ca="1">DATEDIF(O51,NOW(),"d")</f>
        <v>239</v>
      </c>
      <c r="Q51">
        <v>1.2</v>
      </c>
      <c r="R51" t="s">
        <v>3127</v>
      </c>
    </row>
    <row r="52" spans="2:18">
      <c r="B52" s="523"/>
      <c r="C52" s="38"/>
      <c r="D52" s="737" t="s">
        <v>3027</v>
      </c>
      <c r="E52" s="737"/>
      <c r="G52">
        <f>104.88-5</f>
        <v>99.88</v>
      </c>
      <c r="J52" s="726"/>
      <c r="K52" s="726"/>
      <c r="L52" s="243"/>
      <c r="N52" s="637" t="s">
        <v>3140</v>
      </c>
      <c r="O52" s="638">
        <v>46018</v>
      </c>
      <c r="P52" s="639">
        <f ca="1">DATEDIF(O52,NOW(),"d")</f>
        <v>233</v>
      </c>
      <c r="Q52" s="514">
        <v>7.28</v>
      </c>
      <c r="R52" s="514" t="s">
        <v>1099</v>
      </c>
    </row>
    <row r="53" spans="2:18" ht="16.2" customHeight="1">
      <c r="D53" s="644" t="s">
        <v>3025</v>
      </c>
      <c r="E53" s="56">
        <v>58</v>
      </c>
      <c r="F53" s="625"/>
      <c r="G53">
        <f>4306.3-G52</f>
        <v>4206.42</v>
      </c>
      <c r="K53" s="243"/>
      <c r="L53" s="243"/>
      <c r="M53" s="243"/>
      <c r="N53" s="358" t="s">
        <v>3141</v>
      </c>
      <c r="O53" s="316">
        <v>46018</v>
      </c>
      <c r="P53" s="639">
        <f ca="1">DATEDIF(O53,NOW(),"d")</f>
        <v>233</v>
      </c>
      <c r="Q53">
        <v>5</v>
      </c>
      <c r="R53" t="s">
        <v>3142</v>
      </c>
    </row>
    <row r="54" spans="2:18">
      <c r="B54" s="532"/>
      <c r="D54" s="644" t="s">
        <v>3031</v>
      </c>
      <c r="E54" s="56">
        <v>40</v>
      </c>
      <c r="F54" s="625"/>
      <c r="J54" s="726"/>
      <c r="K54" s="726"/>
      <c r="L54" s="243"/>
      <c r="M54" s="243"/>
      <c r="N54" s="243"/>
      <c r="P54"/>
    </row>
    <row r="55" spans="2:18">
      <c r="D55" s="78" t="s">
        <v>3026</v>
      </c>
      <c r="E55" s="56">
        <v>120</v>
      </c>
      <c r="F55" s="625"/>
      <c r="H55" s="369"/>
      <c r="L55" s="243" t="s">
        <v>3128</v>
      </c>
      <c r="M55" s="243">
        <f>-200-N55</f>
        <v>419.27999999999838</v>
      </c>
      <c r="N55" s="243">
        <f>O49+32.93</f>
        <v>-619.27999999999838</v>
      </c>
      <c r="P55"/>
      <c r="Q55" s="243"/>
    </row>
    <row r="56" spans="2:18">
      <c r="D56" s="78" t="s">
        <v>137</v>
      </c>
      <c r="E56" s="645">
        <f>200+600</f>
        <v>800</v>
      </c>
      <c r="L56" s="243"/>
      <c r="M56" s="656"/>
      <c r="N56" s="243"/>
      <c r="O56" s="7">
        <f>2933.79+29.99+6.6+6.7</f>
        <v>2977.0799999999995</v>
      </c>
      <c r="P56" s="292"/>
      <c r="Q56" s="212"/>
    </row>
    <row r="57" spans="2:18" ht="15" customHeight="1">
      <c r="D57" s="78" t="s">
        <v>10</v>
      </c>
      <c r="E57" s="646">
        <f>E56-SUM(E53:E55)</f>
        <v>582</v>
      </c>
      <c r="F57" s="784"/>
      <c r="G57" t="s">
        <v>3092</v>
      </c>
      <c r="M57" s="243"/>
      <c r="N57" s="243"/>
      <c r="P57" s="56"/>
      <c r="Q57" s="38"/>
    </row>
    <row r="58" spans="2:18" ht="15.45" customHeight="1">
      <c r="F58" s="735"/>
      <c r="G58" t="s">
        <v>2977</v>
      </c>
      <c r="H58">
        <f>65.44+36.89-40</f>
        <v>62.33</v>
      </c>
      <c r="L58" s="390" t="s">
        <v>3111</v>
      </c>
      <c r="M58" s="390"/>
      <c r="N58" s="390"/>
      <c r="P58"/>
    </row>
    <row r="59" spans="2:18" ht="14.4">
      <c r="D59" s="737" t="s">
        <v>3028</v>
      </c>
      <c r="E59" s="737"/>
      <c r="F59" s="735"/>
      <c r="G59" t="s">
        <v>3139</v>
      </c>
      <c r="H59">
        <v>44</v>
      </c>
      <c r="J59" s="243"/>
      <c r="K59" t="s">
        <v>3105</v>
      </c>
      <c r="L59" t="s">
        <v>3113</v>
      </c>
      <c r="M59" t="s">
        <v>3112</v>
      </c>
      <c r="N59">
        <v>100</v>
      </c>
    </row>
    <row r="60" spans="2:18" ht="16.2" customHeight="1">
      <c r="D60" s="78" t="s">
        <v>3022</v>
      </c>
      <c r="E60" s="784">
        <v>84</v>
      </c>
      <c r="F60" s="625"/>
      <c r="I60" s="243"/>
      <c r="J60" s="243" t="s">
        <v>3109</v>
      </c>
      <c r="K60">
        <v>65</v>
      </c>
      <c r="L60" t="s">
        <v>1918</v>
      </c>
      <c r="M60" t="s">
        <v>3114</v>
      </c>
      <c r="N60">
        <v>30</v>
      </c>
      <c r="O60"/>
    </row>
    <row r="61" spans="2:18" ht="14.7" customHeight="1">
      <c r="B61" s="11"/>
      <c r="D61" s="78" t="s">
        <v>3023</v>
      </c>
      <c r="E61" s="784"/>
      <c r="F61" s="625"/>
      <c r="J61" t="s">
        <v>38</v>
      </c>
      <c r="K61">
        <v>100</v>
      </c>
      <c r="L61" t="s">
        <v>1919</v>
      </c>
      <c r="M61" t="s">
        <v>3115</v>
      </c>
      <c r="N61">
        <v>60</v>
      </c>
      <c r="O61"/>
      <c r="P61"/>
    </row>
    <row r="62" spans="2:18">
      <c r="B62" s="11"/>
      <c r="D62" s="78" t="s">
        <v>404</v>
      </c>
      <c r="E62" s="523">
        <v>40</v>
      </c>
      <c r="I62" s="243"/>
      <c r="J62" t="s">
        <v>3110</v>
      </c>
      <c r="K62">
        <v>20</v>
      </c>
      <c r="L62" t="s">
        <v>3123</v>
      </c>
      <c r="M62" t="s">
        <v>3122</v>
      </c>
      <c r="N62">
        <v>40</v>
      </c>
      <c r="P62"/>
    </row>
    <row r="63" spans="2:18">
      <c r="B63" s="11"/>
      <c r="D63" s="78" t="s">
        <v>3024</v>
      </c>
      <c r="E63" s="523">
        <v>114.99</v>
      </c>
      <c r="L63" t="s">
        <v>3117</v>
      </c>
      <c r="M63" t="s">
        <v>3116</v>
      </c>
      <c r="N63">
        <v>100</v>
      </c>
      <c r="O63" t="s">
        <v>3121</v>
      </c>
      <c r="P63"/>
    </row>
    <row r="64" spans="2:18">
      <c r="D64" s="78" t="s">
        <v>137</v>
      </c>
      <c r="E64" s="645">
        <v>200</v>
      </c>
      <c r="L64" s="243" t="s">
        <v>3118</v>
      </c>
      <c r="M64" s="243" t="s">
        <v>3119</v>
      </c>
      <c r="N64">
        <v>25</v>
      </c>
      <c r="O64"/>
      <c r="P64"/>
    </row>
    <row r="65" spans="2:16">
      <c r="B65" s="212"/>
      <c r="C65" s="212"/>
      <c r="D65" s="78" t="s">
        <v>10</v>
      </c>
      <c r="E65" s="646">
        <f>E64-SUM(E60:E63)</f>
        <v>-38.990000000000009</v>
      </c>
      <c r="F65" s="188"/>
      <c r="P65"/>
    </row>
    <row r="66" spans="2:16">
      <c r="C66" s="56"/>
      <c r="F66"/>
      <c r="L66" s="243"/>
      <c r="O66"/>
      <c r="P66"/>
    </row>
    <row r="67" spans="2:16" ht="15.75" customHeight="1">
      <c r="C67" s="56"/>
      <c r="D67" t="s">
        <v>2137</v>
      </c>
      <c r="E67" s="653">
        <f>(3968.4-O44)+107</f>
        <v>3583.4</v>
      </c>
      <c r="F67"/>
      <c r="L67" s="243"/>
      <c r="M67" s="243"/>
      <c r="O67"/>
      <c r="P67"/>
    </row>
    <row r="68" spans="2:16">
      <c r="C68" s="56"/>
      <c r="D68" t="s">
        <v>2917</v>
      </c>
      <c r="E68" s="625">
        <f>E67-2700</f>
        <v>883.40000000000009</v>
      </c>
      <c r="M68" s="243"/>
      <c r="O68"/>
      <c r="P68"/>
    </row>
    <row r="69" spans="2:16">
      <c r="C69" s="56"/>
      <c r="D69" t="s">
        <v>2742</v>
      </c>
      <c r="E69" s="625">
        <f>E68-256</f>
        <v>627.40000000000009</v>
      </c>
      <c r="O69"/>
      <c r="P69"/>
    </row>
    <row r="70" spans="2:16">
      <c r="C70" s="56"/>
      <c r="D70" s="634" t="s">
        <v>3009</v>
      </c>
      <c r="E70" s="625">
        <f>E69-200</f>
        <v>427.40000000000009</v>
      </c>
      <c r="N70" s="288"/>
      <c r="O70"/>
      <c r="P70"/>
    </row>
    <row r="71" spans="2:16">
      <c r="C71" s="56"/>
      <c r="D71" t="s">
        <v>3011</v>
      </c>
      <c r="E71" s="625">
        <f>E70-118</f>
        <v>309.40000000000009</v>
      </c>
      <c r="L71" s="243"/>
      <c r="O71"/>
      <c r="P71"/>
    </row>
    <row r="72" spans="2:16">
      <c r="C72" s="56"/>
      <c r="D72" t="s">
        <v>3004</v>
      </c>
      <c r="E72" s="625">
        <f>E71-250</f>
        <v>59.400000000000091</v>
      </c>
      <c r="I72" s="11"/>
      <c r="O72"/>
      <c r="P72"/>
    </row>
    <row r="73" spans="2:16">
      <c r="B73" s="212"/>
      <c r="C73" s="294"/>
      <c r="D73" t="s">
        <v>3101</v>
      </c>
      <c r="E73" s="625">
        <f>E72-60</f>
        <v>-0.59999999999990905</v>
      </c>
      <c r="O73"/>
      <c r="P73"/>
    </row>
    <row r="74" spans="2:16" ht="15.45" customHeight="1">
      <c r="C74" s="56"/>
      <c r="F74"/>
      <c r="M74" s="243"/>
      <c r="O74"/>
      <c r="P74"/>
    </row>
    <row r="75" spans="2:16">
      <c r="C75" s="56"/>
      <c r="E75" s="625"/>
      <c r="F75" s="625"/>
      <c r="L75" s="459"/>
      <c r="M75" s="461"/>
      <c r="O75"/>
      <c r="P75"/>
    </row>
    <row r="76" spans="2:16">
      <c r="C76" s="56"/>
      <c r="D76" s="634"/>
      <c r="E76" s="533"/>
      <c r="L76" s="459"/>
      <c r="M76" s="461"/>
      <c r="O76"/>
      <c r="P76"/>
    </row>
    <row r="77" spans="2:16" ht="14.4">
      <c r="C77" s="56"/>
      <c r="E77" s="243"/>
      <c r="F77"/>
      <c r="L77" s="459"/>
      <c r="M77" s="461"/>
      <c r="O77"/>
      <c r="P77"/>
    </row>
    <row r="78" spans="2:16">
      <c r="C78" s="56"/>
      <c r="L78" s="188"/>
      <c r="M78" s="230"/>
      <c r="O78"/>
      <c r="P78"/>
    </row>
    <row r="79" spans="2:16">
      <c r="C79" s="56"/>
      <c r="L79" s="188"/>
      <c r="M79" s="230"/>
      <c r="O79"/>
      <c r="P79"/>
    </row>
    <row r="80" spans="2:16">
      <c r="C80" s="56"/>
      <c r="L80" s="188"/>
      <c r="M80" s="230"/>
      <c r="O80"/>
      <c r="P80"/>
    </row>
    <row r="81" spans="4:16">
      <c r="L81" s="188"/>
      <c r="M81" s="230"/>
      <c r="O81"/>
      <c r="P81"/>
    </row>
    <row r="82" spans="4:16">
      <c r="L82" s="532"/>
      <c r="M82" s="230"/>
      <c r="O82"/>
      <c r="P82"/>
    </row>
    <row r="83" spans="4:16">
      <c r="L83" s="405"/>
      <c r="M83" s="230"/>
      <c r="O83"/>
      <c r="P83"/>
    </row>
    <row r="90" spans="4:16">
      <c r="E90" s="533"/>
      <c r="F90" s="212"/>
    </row>
    <row r="91" spans="4:16" ht="14.4">
      <c r="E91"/>
      <c r="F91"/>
    </row>
    <row r="92" spans="4:16">
      <c r="F92" s="56"/>
    </row>
    <row r="93" spans="4:16">
      <c r="F93" s="56"/>
    </row>
    <row r="94" spans="4:16">
      <c r="F94" s="56"/>
      <c r="G94" s="407"/>
    </row>
    <row r="95" spans="4:16" ht="14.4">
      <c r="D95" s="621"/>
      <c r="E95" s="56"/>
      <c r="F95" s="56"/>
      <c r="G95" s="407"/>
    </row>
    <row r="96" spans="4:16" ht="14.4">
      <c r="E96" s="56"/>
      <c r="F96" s="56"/>
      <c r="G96" s="407"/>
    </row>
    <row r="97" spans="5:16" ht="14.4">
      <c r="E97" s="56"/>
      <c r="F97" s="56"/>
      <c r="G97" s="407"/>
    </row>
    <row r="98" spans="5:16">
      <c r="G98" s="407"/>
      <c r="H98" s="11"/>
      <c r="O98"/>
      <c r="P98"/>
    </row>
    <row r="99" spans="5:16">
      <c r="G99" s="407"/>
      <c r="O99"/>
      <c r="P99"/>
    </row>
    <row r="100" spans="5:16">
      <c r="G100" s="407"/>
      <c r="O100"/>
      <c r="P100"/>
    </row>
    <row r="101" spans="5:16">
      <c r="G101" s="407"/>
    </row>
  </sheetData>
  <mergeCells count="28">
    <mergeCell ref="F57:F59"/>
    <mergeCell ref="B50:G50"/>
    <mergeCell ref="K50:O50"/>
    <mergeCell ref="B51:C51"/>
    <mergeCell ref="D51:E51"/>
    <mergeCell ref="J52:K52"/>
    <mergeCell ref="D52:E52"/>
    <mergeCell ref="D59:E59"/>
    <mergeCell ref="J54:K54"/>
    <mergeCell ref="B37:E37"/>
    <mergeCell ref="B38:C38"/>
    <mergeCell ref="D38:E38"/>
    <mergeCell ref="E60:E61"/>
    <mergeCell ref="B48:D48"/>
    <mergeCell ref="B4:E4"/>
    <mergeCell ref="B1:O1"/>
    <mergeCell ref="G3:H3"/>
    <mergeCell ref="I3:J3"/>
    <mergeCell ref="K3:L3"/>
    <mergeCell ref="M3:N3"/>
    <mergeCell ref="B25:E25"/>
    <mergeCell ref="B26:C26"/>
    <mergeCell ref="B5:C5"/>
    <mergeCell ref="D5:E5"/>
    <mergeCell ref="B6:B19"/>
    <mergeCell ref="C6:C19"/>
    <mergeCell ref="E9:F9"/>
    <mergeCell ref="D26:E26"/>
  </mergeCells>
  <pageMargins left="0.7" right="0.7" top="0.75" bottom="0.75" header="0.3" footer="0.3"/>
  <pageSetup orientation="portrait" r:id="rId1"/>
  <legacyDrawing r:id="rId2"/>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65D6-373C-47C2-8867-5CBD80CA5D44}">
  <dimension ref="A1:T29"/>
  <sheetViews>
    <sheetView workbookViewId="0">
      <selection activeCell="M7" sqref="M7"/>
    </sheetView>
  </sheetViews>
  <sheetFormatPr defaultColWidth="8.44140625" defaultRowHeight="14.4"/>
  <cols>
    <col min="1" max="1" width="11.44140625" bestFit="1" customWidth="1"/>
    <col min="2" max="2" width="10.33203125" customWidth="1"/>
    <col min="3" max="3" width="14.77734375" customWidth="1"/>
    <col min="4" max="4" width="12.33203125" customWidth="1"/>
    <col min="5" max="5" width="8.44140625" bestFit="1" customWidth="1"/>
    <col min="6" max="6" width="4.6640625" bestFit="1" customWidth="1"/>
    <col min="7" max="7" width="4.44140625" bestFit="1" customWidth="1"/>
    <col min="8" max="8" width="6" bestFit="1" customWidth="1"/>
    <col min="9" max="9" width="19.44140625" bestFit="1" customWidth="1"/>
    <col min="10" max="12" width="8.44140625" bestFit="1" customWidth="1"/>
    <col min="13" max="13" width="10.44140625" bestFit="1" customWidth="1"/>
    <col min="14" max="14" width="11" customWidth="1"/>
    <col min="15" max="15" width="8.44140625" bestFit="1" customWidth="1"/>
    <col min="16" max="16" width="10.6640625" bestFit="1" customWidth="1"/>
    <col min="17" max="18" width="10.44140625" bestFit="1" customWidth="1"/>
  </cols>
  <sheetData>
    <row r="1" spans="1:20">
      <c r="A1" s="726">
        <v>2025</v>
      </c>
      <c r="B1" s="726"/>
      <c r="F1" s="726"/>
      <c r="G1" s="726"/>
      <c r="H1" s="726"/>
      <c r="I1" s="726"/>
      <c r="O1" s="726"/>
      <c r="P1" s="726"/>
      <c r="Q1" s="726"/>
      <c r="R1" s="726"/>
      <c r="S1" s="726"/>
      <c r="T1" s="726"/>
    </row>
    <row r="2" spans="1:20">
      <c r="A2" t="s">
        <v>2271</v>
      </c>
      <c r="B2">
        <v>5</v>
      </c>
    </row>
    <row r="3" spans="1:20">
      <c r="A3" t="s">
        <v>2272</v>
      </c>
      <c r="B3">
        <v>5</v>
      </c>
      <c r="Q3" s="42"/>
      <c r="R3" s="42"/>
    </row>
    <row r="4" spans="1:20">
      <c r="A4" t="s">
        <v>2887</v>
      </c>
      <c r="B4">
        <v>5</v>
      </c>
      <c r="Q4" s="77"/>
      <c r="R4" s="77"/>
      <c r="S4" s="55"/>
    </row>
    <row r="5" spans="1:20">
      <c r="A5" t="s">
        <v>2888</v>
      </c>
      <c r="B5">
        <v>1</v>
      </c>
      <c r="Q5" s="42"/>
      <c r="R5" s="42"/>
    </row>
    <row r="6" spans="1:20">
      <c r="A6" t="s">
        <v>3063</v>
      </c>
      <c r="B6">
        <v>1</v>
      </c>
      <c r="Q6" s="42"/>
      <c r="R6" s="42"/>
    </row>
    <row r="7" spans="1:20">
      <c r="A7" t="s">
        <v>3079</v>
      </c>
      <c r="B7">
        <v>1</v>
      </c>
    </row>
    <row r="8" spans="1:20">
      <c r="A8" t="s">
        <v>3080</v>
      </c>
      <c r="B8">
        <v>1</v>
      </c>
    </row>
    <row r="9" spans="1:20">
      <c r="A9" t="s">
        <v>2274</v>
      </c>
      <c r="B9">
        <v>6</v>
      </c>
    </row>
    <row r="10" spans="1:20">
      <c r="B10">
        <f>SUM(B2:B9)</f>
        <v>25</v>
      </c>
    </row>
    <row r="13" spans="1:20">
      <c r="A13" s="726"/>
      <c r="B13" s="726"/>
      <c r="C13" s="726"/>
      <c r="D13" s="726"/>
      <c r="E13" s="726"/>
    </row>
    <row r="17" spans="1:12">
      <c r="K17" s="726"/>
      <c r="L17" s="726"/>
    </row>
    <row r="24" spans="1:12">
      <c r="A24" s="726"/>
      <c r="B24" s="726"/>
      <c r="C24" s="726"/>
      <c r="D24" s="726"/>
      <c r="E24" s="726"/>
      <c r="F24" s="726"/>
    </row>
    <row r="26" spans="1:12">
      <c r="C26" s="42"/>
      <c r="D26" s="42"/>
    </row>
    <row r="27" spans="1:12">
      <c r="C27" s="77"/>
      <c r="D27" s="77"/>
      <c r="E27" s="55"/>
    </row>
    <row r="28" spans="1:12">
      <c r="C28" s="42"/>
      <c r="D28" s="42"/>
    </row>
    <row r="29" spans="1:12">
      <c r="C29" s="42"/>
      <c r="D29" s="42"/>
    </row>
  </sheetData>
  <mergeCells count="6">
    <mergeCell ref="A24:F24"/>
    <mergeCell ref="F1:I1"/>
    <mergeCell ref="A1:B1"/>
    <mergeCell ref="O1:T1"/>
    <mergeCell ref="A13:E13"/>
    <mergeCell ref="K17:L17"/>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031CA-9E0D-E04C-AD83-D59236F2D89F}">
  <dimension ref="A1:X102"/>
  <sheetViews>
    <sheetView topLeftCell="D91" zoomScaleNormal="90" workbookViewId="0">
      <selection activeCell="K102" sqref="F76:K102"/>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str">
        <f ca="1">UPPER(TEXT((1&amp;LEFT(B$1,3))-1,"MMM"))&amp;"-"&amp;UPPER(TEXT((1&amp;RIGHT(LEFT(B$1,7),3))-1,"MMM"))&amp;" "&amp;RIGHT(B$1,4)</f>
        <v>NOV-DEC N 26</v>
      </c>
      <c r="B1" s="730" t="str">
        <f ca="1">MID(CELL("filename",B1),FIND("]",CELL("filename",B1))+1,255)</f>
        <v>DEC-JAN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1449</v>
      </c>
      <c r="M2" s="79" t="s">
        <v>801</v>
      </c>
      <c r="N2" s="307" t="s">
        <v>1450</v>
      </c>
      <c r="O2" s="273" t="s">
        <v>10</v>
      </c>
      <c r="P2" s="273"/>
      <c r="Q2" s="283" t="s">
        <v>803</v>
      </c>
    </row>
    <row r="3" spans="1:24">
      <c r="B3" s="118"/>
      <c r="C3" s="118"/>
      <c r="D3" s="290" t="e">
        <f>"£" &amp; ROUND(O5+O39+O27+IF(#REF!&lt;0,0,#REF!)+O43+O4,2) &amp; " / " &amp; "£" &amp; E45</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",G45*0.5," / Actual = ",ROUND(D5,2)," (",ROUND((D5/G45)*100,2),")")</f>
        <v>Expenses - 50 - 4403.05 / Actual = 3549.37 (40.31)</v>
      </c>
      <c r="C4" s="727"/>
      <c r="D4" s="727"/>
      <c r="E4" s="727"/>
      <c r="F4" s="318"/>
      <c r="G4" s="243"/>
      <c r="H4" s="304">
        <f>SUM(H5:H43)</f>
        <v>1697.87</v>
      </c>
      <c r="I4" s="243">
        <f>H4+3176.4</f>
        <v>4874.2700000000004</v>
      </c>
      <c r="J4" s="304">
        <f>SUM(J5:J43)</f>
        <v>211.48000000000002</v>
      </c>
      <c r="K4" s="243">
        <f>J4+'JAN-FEB 26'!J4</f>
        <v>1396.75</v>
      </c>
      <c r="L4" s="304">
        <f>SUM(L5:L43)</f>
        <v>0</v>
      </c>
      <c r="M4" s="243"/>
      <c r="N4" s="304">
        <f>SUM(N5:N43)-SUM(N29:N35)</f>
        <v>0</v>
      </c>
      <c r="O4" s="308">
        <f>IF(H44&lt;&gt;"PAID",H4,0)+IF(J44&lt;&gt;"PAID",J4,0)+IF(L44&lt;&gt;"PAID",L4,0)+IF(N44&lt;&gt;"PAID",N4,0)</f>
        <v>1909.35</v>
      </c>
      <c r="P4" s="309" t="s">
        <v>973</v>
      </c>
      <c r="Q4" s="408"/>
      <c r="R4" s="243"/>
      <c r="S4" s="284"/>
      <c r="T4" s="11"/>
      <c r="U4" s="390"/>
      <c r="V4" s="11"/>
      <c r="W4" s="390"/>
      <c r="X4" s="11"/>
    </row>
    <row r="5" spans="1:24" ht="15" customHeight="1">
      <c r="B5" s="733" t="str">
        <f>IF(D5&gt;E$45*0.5,ROUND(D5-E$45*0.5,2) &amp; " Over",ROUND(E$45*0.5-D5,2) &amp; " Under")</f>
        <v>853.68 Under</v>
      </c>
      <c r="C5" s="733"/>
      <c r="D5" s="761">
        <f>ROUND(SUM(F6:F24),2)</f>
        <v>3549.37</v>
      </c>
      <c r="E5" s="761"/>
      <c r="F5" s="321"/>
      <c r="G5" s="284"/>
      <c r="H5" s="306"/>
      <c r="I5" s="390"/>
      <c r="J5" s="306"/>
      <c r="K5" s="390"/>
      <c r="L5" s="306"/>
      <c r="M5" s="79"/>
      <c r="N5" s="305"/>
      <c r="O5" s="285">
        <f>SUMIF(O6:O24,"&gt;0")</f>
        <v>0</v>
      </c>
      <c r="P5" s="285" t="s">
        <v>892</v>
      </c>
      <c r="Q5" s="282">
        <f>SUM(Q6:Q24)</f>
        <v>0.66999999999998749</v>
      </c>
      <c r="R5" s="243"/>
      <c r="T5" s="243"/>
    </row>
    <row r="6" spans="1:24" ht="15" customHeight="1">
      <c r="B6" s="734" t="str">
        <f>"50%: " &amp; E$45*0.5</f>
        <v>50%: 4403.05</v>
      </c>
      <c r="C6" s="734" t="str">
        <f>ROUND((D5/E$45)*100,2) &amp; "%: " &amp;D5</f>
        <v>40.31%: 3549.37</v>
      </c>
      <c r="D6" s="13" t="s">
        <v>805</v>
      </c>
      <c r="E6" s="523">
        <v>0</v>
      </c>
      <c r="F6" s="528">
        <f>160</f>
        <v>160</v>
      </c>
      <c r="H6" s="305">
        <f>28.67+28.08+20.02+34.11+20.01</f>
        <v>130.88999999999999</v>
      </c>
      <c r="J6" s="305">
        <f>29.78</f>
        <v>29.78</v>
      </c>
      <c r="L6" s="305"/>
      <c r="N6" s="305"/>
      <c r="O6" s="274">
        <f>SUM(E6:F6)-SUM(G6:N6)</f>
        <v>-0.66999999999998749</v>
      </c>
      <c r="P6" s="274" t="str">
        <f t="shared" ref="P6:P24" si="0">D6</f>
        <v>Car Petrol / commuting</v>
      </c>
      <c r="Q6" s="282">
        <f>IF(O6&lt;0,O6*-1,0)</f>
        <v>0.66999999999998749</v>
      </c>
      <c r="R6" s="243"/>
      <c r="S6" s="243"/>
      <c r="T6" s="243"/>
    </row>
    <row r="7" spans="1:24" ht="15" customHeight="1">
      <c r="B7" s="734"/>
      <c r="C7" s="734"/>
      <c r="D7" s="13" t="s">
        <v>169</v>
      </c>
      <c r="E7" s="523">
        <v>0</v>
      </c>
      <c r="F7" s="523">
        <f>450+5.43-1.56</f>
        <v>453.87</v>
      </c>
      <c r="H7" s="305">
        <f>50.15+3.57+7.28+10.2+35.63+25.13+3.15+29.14+19.8+5.75+61.29+24.8+4.99+64.35+19.51-0.79+85.92</f>
        <v>449.87</v>
      </c>
      <c r="J7" s="305">
        <f>3.4+0.6</f>
        <v>4</v>
      </c>
      <c r="L7" s="305"/>
      <c r="N7" s="305"/>
      <c r="O7" s="274">
        <f>SUM(E7:F7)-SUM(G7:N7)</f>
        <v>0</v>
      </c>
      <c r="P7" s="274" t="str">
        <f t="shared" si="0"/>
        <v>Food</v>
      </c>
      <c r="Q7" s="282">
        <f>IF(O7&lt;0,O7*-1,0)</f>
        <v>0</v>
      </c>
      <c r="R7" s="243"/>
    </row>
    <row r="8" spans="1:24" ht="15" customHeight="1">
      <c r="B8" s="734"/>
      <c r="C8" s="734"/>
      <c r="D8" s="13" t="s">
        <v>153</v>
      </c>
      <c r="E8" s="523">
        <v>0</v>
      </c>
      <c r="F8" s="523">
        <f>120+6.3</f>
        <v>126.3</v>
      </c>
      <c r="H8" s="305"/>
      <c r="J8" s="305">
        <f>23.19+44.24+26.19+32.68</f>
        <v>126.30000000000001</v>
      </c>
      <c r="L8" s="305"/>
      <c r="N8" s="305"/>
      <c r="O8" s="274">
        <f>SUM(E8:F8)-SUM(G8:N8)</f>
        <v>0</v>
      </c>
      <c r="P8" s="274" t="str">
        <f t="shared" si="0"/>
        <v>Luna</v>
      </c>
      <c r="Q8" s="282">
        <f>IF(O8&lt;0,O8*-1,0)</f>
        <v>0</v>
      </c>
    </row>
    <row r="9" spans="1:24" ht="15" customHeight="1">
      <c r="B9" s="734"/>
      <c r="C9" s="734"/>
      <c r="D9" s="13" t="s">
        <v>189</v>
      </c>
      <c r="E9" s="735">
        <f>SUM(F10:F24)</f>
        <v>2809.2000000000003</v>
      </c>
      <c r="F9" s="735"/>
      <c r="G9" s="243"/>
      <c r="H9" s="305"/>
      <c r="J9" s="305"/>
      <c r="L9" s="305"/>
      <c r="N9" s="305"/>
      <c r="O9" s="274"/>
      <c r="P9" s="274" t="str">
        <f t="shared" si="0"/>
        <v>Direct debits</v>
      </c>
      <c r="Q9" s="282"/>
      <c r="R9" s="243"/>
      <c r="T9" s="243"/>
    </row>
    <row r="10" spans="1:24" ht="15" customHeight="1" outlineLevel="1">
      <c r="B10" s="734"/>
      <c r="C10" s="734"/>
      <c r="D10" s="201" t="s">
        <v>595</v>
      </c>
      <c r="E10" s="523">
        <v>0</v>
      </c>
      <c r="F10" s="523">
        <v>838</v>
      </c>
      <c r="G10">
        <v>838</v>
      </c>
      <c r="H10" s="305"/>
      <c r="J10" s="305"/>
      <c r="L10" s="304"/>
      <c r="N10" s="305"/>
      <c r="O10" s="274">
        <f t="shared" ref="O10:O24" si="1">SUM(E10:F10)-SUM(G10:N10)</f>
        <v>0</v>
      </c>
      <c r="P10" s="274" t="str">
        <f t="shared" si="0"/>
        <v>Mortgage</v>
      </c>
      <c r="Q10" s="282">
        <f t="shared" ref="Q10:Q24" si="2">IF(O10&lt;0,O10*-1,0)</f>
        <v>0</v>
      </c>
      <c r="R10" s="243"/>
    </row>
    <row r="11" spans="1:24" ht="15" customHeight="1" outlineLevel="1">
      <c r="B11" s="734"/>
      <c r="C11" s="734"/>
      <c r="D11" s="201" t="s">
        <v>596</v>
      </c>
      <c r="E11" s="523">
        <v>0</v>
      </c>
      <c r="F11" s="523">
        <v>168</v>
      </c>
      <c r="G11">
        <v>168</v>
      </c>
      <c r="H11" s="305"/>
      <c r="J11" s="305"/>
      <c r="L11" s="305"/>
      <c r="N11" s="305"/>
      <c r="O11" s="274">
        <f t="shared" si="1"/>
        <v>0</v>
      </c>
      <c r="P11" s="274" t="str">
        <f t="shared" si="0"/>
        <v>Council tax</v>
      </c>
      <c r="Q11" s="282">
        <f t="shared" si="2"/>
        <v>0</v>
      </c>
    </row>
    <row r="12" spans="1:24" ht="15" customHeight="1" outlineLevel="1">
      <c r="B12" s="734"/>
      <c r="C12" s="734"/>
      <c r="D12" s="201" t="s">
        <v>1002</v>
      </c>
      <c r="E12" s="523">
        <v>0</v>
      </c>
      <c r="F12" s="523">
        <f>49+107.15</f>
        <v>156.15</v>
      </c>
      <c r="G12">
        <f>49+107.15</f>
        <v>156.15</v>
      </c>
      <c r="H12" s="305"/>
      <c r="J12" s="305"/>
      <c r="L12" s="305"/>
      <c r="N12" s="305"/>
      <c r="O12" s="274">
        <f>SUM(E12:F12)-SUM(G12:N12)</f>
        <v>0</v>
      </c>
      <c r="P12" s="274" t="str">
        <f t="shared" si="0"/>
        <v>Utilities (G,W,E,HTB)</v>
      </c>
      <c r="Q12" s="282">
        <f t="shared" si="2"/>
        <v>0</v>
      </c>
    </row>
    <row r="13" spans="1:24" ht="15" customHeight="1" outlineLevel="1">
      <c r="B13" s="734"/>
      <c r="C13" s="734"/>
      <c r="D13" s="201" t="s">
        <v>996</v>
      </c>
      <c r="E13" s="523">
        <v>0</v>
      </c>
      <c r="F13" s="523">
        <v>72.84</v>
      </c>
      <c r="G13">
        <v>72.84</v>
      </c>
      <c r="H13" s="305"/>
      <c r="J13" s="305"/>
      <c r="L13" s="305"/>
      <c r="N13" s="305"/>
      <c r="O13" s="274">
        <f t="shared" si="1"/>
        <v>0</v>
      </c>
      <c r="P13" s="274" t="str">
        <f t="shared" si="0"/>
        <v>Home Insurance</v>
      </c>
      <c r="Q13" s="282">
        <f t="shared" si="2"/>
        <v>0</v>
      </c>
    </row>
    <row r="14" spans="1:24" ht="15" customHeight="1" outlineLevel="1">
      <c r="B14" s="734"/>
      <c r="C14" s="734"/>
      <c r="D14" s="201" t="s">
        <v>1056</v>
      </c>
      <c r="E14" s="523">
        <v>0</v>
      </c>
      <c r="F14" s="523">
        <f>31.99+22.99</f>
        <v>54.98</v>
      </c>
      <c r="G14">
        <f>22.99+31.99</f>
        <v>54.98</v>
      </c>
      <c r="H14" s="305"/>
      <c r="J14" s="305"/>
      <c r="L14" s="305"/>
      <c r="N14" s="305"/>
      <c r="O14" s="274">
        <f t="shared" si="1"/>
        <v>0</v>
      </c>
      <c r="P14" s="274" t="str">
        <f t="shared" si="0"/>
        <v>Pet Health / Insurance</v>
      </c>
      <c r="Q14" s="282">
        <f t="shared" si="2"/>
        <v>0</v>
      </c>
      <c r="U14" s="11"/>
    </row>
    <row r="15" spans="1:24" ht="15" customHeight="1" outlineLevel="1">
      <c r="B15" s="734"/>
      <c r="C15" s="734"/>
      <c r="D15" s="201" t="s">
        <v>1057</v>
      </c>
      <c r="E15" s="523">
        <v>0</v>
      </c>
      <c r="F15" s="523">
        <f>30.8+62.08-5</f>
        <v>87.88</v>
      </c>
      <c r="G15">
        <v>87.88</v>
      </c>
      <c r="H15" s="305"/>
      <c r="J15" s="305"/>
      <c r="L15" s="305"/>
      <c r="N15" s="305"/>
      <c r="O15" s="274">
        <f t="shared" si="1"/>
        <v>0</v>
      </c>
      <c r="P15" s="274" t="str">
        <f t="shared" si="0"/>
        <v>Life / Income Insurance</v>
      </c>
      <c r="Q15" s="282">
        <f t="shared" si="2"/>
        <v>0</v>
      </c>
    </row>
    <row r="16" spans="1:24" ht="15" customHeight="1" outlineLevel="1">
      <c r="B16" s="734"/>
      <c r="C16" s="734"/>
      <c r="D16" s="201" t="s">
        <v>602</v>
      </c>
      <c r="E16" s="523">
        <v>0</v>
      </c>
      <c r="F16" s="523">
        <v>37</v>
      </c>
      <c r="G16">
        <v>37</v>
      </c>
      <c r="H16" s="305"/>
      <c r="J16" s="305"/>
      <c r="L16" s="305"/>
      <c r="N16" s="305"/>
      <c r="O16" s="274">
        <f t="shared" si="1"/>
        <v>0</v>
      </c>
      <c r="P16" s="274" t="str">
        <f t="shared" si="0"/>
        <v>Broadband / TV</v>
      </c>
      <c r="Q16" s="282">
        <f t="shared" si="2"/>
        <v>0</v>
      </c>
    </row>
    <row r="17" spans="2:19" ht="15" customHeight="1" outlineLevel="1">
      <c r="B17" s="734"/>
      <c r="C17" s="734"/>
      <c r="D17" s="201" t="s">
        <v>788</v>
      </c>
      <c r="E17" s="523">
        <v>0</v>
      </c>
      <c r="F17" s="523">
        <v>0</v>
      </c>
      <c r="H17" s="305"/>
      <c r="J17" s="305"/>
      <c r="L17" s="305"/>
      <c r="N17" s="305"/>
      <c r="O17" s="274">
        <f t="shared" si="1"/>
        <v>0</v>
      </c>
      <c r="P17" s="274" t="str">
        <f t="shared" si="0"/>
        <v>Matt Phone</v>
      </c>
      <c r="Q17" s="282">
        <f t="shared" si="2"/>
        <v>0</v>
      </c>
    </row>
    <row r="18" spans="2:19" ht="15" customHeight="1" outlineLevel="1">
      <c r="B18" s="734"/>
      <c r="C18" s="734"/>
      <c r="D18" s="201" t="s">
        <v>690</v>
      </c>
      <c r="E18" s="523">
        <v>0</v>
      </c>
      <c r="F18" s="523">
        <f>14.43+48.17+270.97+487.35+73.44+17.09-1.88</f>
        <v>909.57000000000016</v>
      </c>
      <c r="G18">
        <f>46.29+14.43+73.44+487.35+17.09+270.97</f>
        <v>909.57</v>
      </c>
      <c r="H18" s="305"/>
      <c r="J18" s="305"/>
      <c r="L18" s="305"/>
      <c r="N18" s="305"/>
      <c r="O18" s="274">
        <f t="shared" si="1"/>
        <v>0</v>
      </c>
      <c r="P18" s="274" t="str">
        <f t="shared" si="0"/>
        <v>Cars</v>
      </c>
      <c r="Q18" s="282">
        <f t="shared" si="2"/>
        <v>0</v>
      </c>
    </row>
    <row r="19" spans="2:19" ht="15" customHeight="1" outlineLevel="1">
      <c r="B19" s="734"/>
      <c r="C19" s="734"/>
      <c r="D19" s="201" t="s">
        <v>944</v>
      </c>
      <c r="E19" s="523">
        <v>0</v>
      </c>
      <c r="F19" s="523">
        <v>15</v>
      </c>
      <c r="G19">
        <v>15</v>
      </c>
      <c r="H19" s="305"/>
      <c r="J19" s="305"/>
      <c r="L19" s="305"/>
      <c r="N19" s="305"/>
      <c r="O19" s="274">
        <f t="shared" si="1"/>
        <v>0</v>
      </c>
      <c r="P19" s="274" t="str">
        <f t="shared" si="0"/>
        <v>Windows</v>
      </c>
      <c r="Q19" s="282">
        <f t="shared" si="2"/>
        <v>0</v>
      </c>
      <c r="R19" s="243"/>
    </row>
    <row r="20" spans="2:19" ht="15" customHeight="1" outlineLevel="1">
      <c r="B20" s="7"/>
      <c r="C20" s="7"/>
      <c r="D20" s="201" t="s">
        <v>920</v>
      </c>
      <c r="E20" s="523">
        <v>0</v>
      </c>
      <c r="F20" s="523">
        <f>48.22+170+137.5</f>
        <v>355.72</v>
      </c>
      <c r="G20">
        <f>48.22+170+137.5</f>
        <v>355.72</v>
      </c>
      <c r="H20" s="305"/>
      <c r="J20" s="305"/>
      <c r="L20" s="305"/>
      <c r="N20" s="305"/>
      <c r="O20" s="274">
        <f t="shared" si="1"/>
        <v>0</v>
      </c>
      <c r="P20" s="274" t="str">
        <f t="shared" si="0"/>
        <v>Finance</v>
      </c>
      <c r="Q20" s="282"/>
      <c r="R20" s="243"/>
    </row>
    <row r="21" spans="2:19" ht="15" customHeight="1" outlineLevel="1">
      <c r="B21" s="7"/>
      <c r="C21" s="7"/>
      <c r="D21" s="201" t="s">
        <v>1297</v>
      </c>
      <c r="E21" s="523">
        <v>0</v>
      </c>
      <c r="F21" s="523">
        <v>0</v>
      </c>
      <c r="H21" s="305"/>
      <c r="J21" s="305"/>
      <c r="L21" s="305"/>
      <c r="N21" s="305"/>
      <c r="O21" s="274">
        <f t="shared" si="1"/>
        <v>0</v>
      </c>
      <c r="P21" s="274" t="str">
        <f t="shared" si="0"/>
        <v>Skin</v>
      </c>
      <c r="Q21" s="282"/>
      <c r="R21" s="243"/>
      <c r="S21" s="11"/>
    </row>
    <row r="22" spans="2:19" ht="15" customHeight="1" outlineLevel="1">
      <c r="B22" s="7"/>
      <c r="C22" s="7"/>
      <c r="D22" s="201" t="s">
        <v>2909</v>
      </c>
      <c r="E22" s="523">
        <v>0</v>
      </c>
      <c r="F22" s="523">
        <v>45.79</v>
      </c>
      <c r="G22">
        <v>45.79</v>
      </c>
      <c r="H22" s="305"/>
      <c r="J22" s="305"/>
      <c r="L22" s="305"/>
      <c r="N22" s="305"/>
      <c r="O22" s="274">
        <f t="shared" si="1"/>
        <v>0</v>
      </c>
      <c r="P22" s="274" t="str">
        <f t="shared" si="0"/>
        <v>Kris Phone</v>
      </c>
      <c r="Q22" s="282"/>
      <c r="R22" s="243"/>
      <c r="S22" s="11"/>
    </row>
    <row r="23" spans="2:19" ht="15" customHeight="1" outlineLevel="1">
      <c r="B23" s="7"/>
      <c r="C23" s="7"/>
      <c r="D23" s="201" t="s">
        <v>604</v>
      </c>
      <c r="E23" s="523">
        <v>0</v>
      </c>
      <c r="F23" s="523">
        <v>0</v>
      </c>
      <c r="H23" s="305"/>
      <c r="J23" s="305"/>
      <c r="L23" s="305"/>
      <c r="N23" s="305"/>
      <c r="O23" s="274">
        <f t="shared" si="1"/>
        <v>0</v>
      </c>
      <c r="P23" s="274" t="str">
        <f t="shared" si="0"/>
        <v>Health</v>
      </c>
      <c r="Q23" s="282"/>
      <c r="R23" s="243"/>
      <c r="S23" s="11"/>
    </row>
    <row r="24" spans="2:19" ht="15" customHeight="1" outlineLevel="1">
      <c r="B24" s="7"/>
      <c r="C24" s="7"/>
      <c r="D24" s="201" t="s">
        <v>781</v>
      </c>
      <c r="E24" s="523">
        <v>0</v>
      </c>
      <c r="F24" s="523">
        <f>10.49+18+4.99+0.99+12+20+1.95-0.15</f>
        <v>68.27</v>
      </c>
      <c r="G24" s="11">
        <f>12+18+1.79+10.49+5.99</f>
        <v>48.27</v>
      </c>
      <c r="H24" s="305"/>
      <c r="J24" s="305">
        <v>20</v>
      </c>
      <c r="L24" s="305"/>
      <c r="N24" s="305"/>
      <c r="O24" s="274">
        <f t="shared" si="1"/>
        <v>0</v>
      </c>
      <c r="P24" s="274" t="str">
        <f t="shared" si="0"/>
        <v>Subscriptions</v>
      </c>
      <c r="Q24" s="282">
        <f t="shared" si="2"/>
        <v>0</v>
      </c>
      <c r="R24" s="243"/>
    </row>
    <row r="25" spans="2:19" ht="15" customHeight="1">
      <c r="B25" s="118"/>
      <c r="C25" s="118"/>
      <c r="D25" s="188"/>
      <c r="H25" s="305"/>
      <c r="J25" s="305"/>
      <c r="L25" s="305"/>
      <c r="N25" s="305"/>
      <c r="O25" s="273"/>
      <c r="P25" s="273"/>
      <c r="Q25" s="282"/>
    </row>
    <row r="26" spans="2:19" ht="15" customHeight="1">
      <c r="B26" s="736" t="str">
        <f>_xlfn.CONCAT("Savings - 20 - ",G45*0.2," / Actual = ",D27," (",ROUND((D27/G45)*100,2),")")</f>
        <v>Savings - 20 - 1761.22 / Actual = 174.88 (1.99)</v>
      </c>
      <c r="C26" s="736"/>
      <c r="D26" s="736"/>
      <c r="E26" s="736"/>
      <c r="F26" s="320"/>
      <c r="H26" s="305"/>
      <c r="J26" s="305"/>
      <c r="L26" s="305"/>
      <c r="N26" s="305"/>
      <c r="O26" s="274"/>
      <c r="P26" s="274"/>
      <c r="Q26" s="282"/>
    </row>
    <row r="27" spans="2:19" ht="15" customHeight="1">
      <c r="B27" s="727" t="str">
        <f>IF(ISNUMBER((SEARCH("Over",C$5))),"Operating under budget","Operating over budget")</f>
        <v>Operating over budget</v>
      </c>
      <c r="C27" s="727"/>
      <c r="D27" s="759">
        <f>F28</f>
        <v>174.88</v>
      </c>
      <c r="E27" s="759"/>
      <c r="F27" s="319"/>
      <c r="H27" s="305"/>
      <c r="J27" s="305"/>
      <c r="L27" s="305"/>
      <c r="N27" s="305"/>
      <c r="O27" s="285">
        <f>O28</f>
        <v>-316.33000000000004</v>
      </c>
      <c r="P27" s="285" t="s">
        <v>895</v>
      </c>
      <c r="Q27" s="282">
        <f>SUM(Q28:Q28)</f>
        <v>0</v>
      </c>
      <c r="S27" s="243"/>
    </row>
    <row r="28" spans="2:19" ht="15" customHeight="1" outlineLevel="1">
      <c r="B28" s="7" t="str">
        <f>"20% : " &amp; E$45*0.2</f>
        <v>20% : 1761.22</v>
      </c>
      <c r="C28" s="7" t="str">
        <f>"20% : " &amp; E$45*0.2</f>
        <v>20% : 1761.22</v>
      </c>
      <c r="D28" s="300" t="s">
        <v>183</v>
      </c>
      <c r="E28" s="523">
        <v>0</v>
      </c>
      <c r="F28" s="523">
        <f>SUM(F29:F36)</f>
        <v>174.88</v>
      </c>
      <c r="G28" s="243"/>
      <c r="H28" s="305"/>
      <c r="J28" s="305"/>
      <c r="L28" s="305"/>
      <c r="N28" s="305"/>
      <c r="O28" s="274">
        <f>SUM(O29:O36)</f>
        <v>-316.33000000000004</v>
      </c>
      <c r="P28" s="274" t="str">
        <f t="shared" ref="P28:P36" si="3">D28</f>
        <v>Savings</v>
      </c>
      <c r="Q28" s="282">
        <v>0</v>
      </c>
      <c r="R28" s="495"/>
    </row>
    <row r="29" spans="2:19" ht="15" customHeight="1" outlineLevel="1">
      <c r="B29" s="7"/>
      <c r="C29" s="7"/>
      <c r="D29" s="300" t="s">
        <v>1485</v>
      </c>
      <c r="E29" s="523">
        <v>0</v>
      </c>
      <c r="F29" s="523">
        <v>0</v>
      </c>
      <c r="H29" s="305"/>
      <c r="J29" s="305"/>
      <c r="L29" s="305"/>
      <c r="N29" s="315"/>
      <c r="O29" s="274">
        <f>SUM(E29:F29)-SUM(G29:N29)</f>
        <v>0</v>
      </c>
      <c r="P29" s="274" t="str">
        <f t="shared" si="3"/>
        <v>MOT / Service</v>
      </c>
      <c r="Q29" s="282"/>
      <c r="R29" s="243"/>
    </row>
    <row r="30" spans="2:19" ht="15" customHeight="1" outlineLevel="1">
      <c r="B30" s="7"/>
      <c r="C30" s="7"/>
      <c r="D30" s="300" t="s">
        <v>690</v>
      </c>
      <c r="E30" s="523">
        <v>0</v>
      </c>
      <c r="F30" s="523">
        <v>0</v>
      </c>
      <c r="H30" s="305"/>
      <c r="J30" s="305"/>
      <c r="L30" s="305"/>
      <c r="N30" s="315"/>
      <c r="O30" s="274">
        <f>SUM(E30:F30)-SUM(G30:N30)</f>
        <v>0</v>
      </c>
      <c r="P30" s="274" t="str">
        <f t="shared" si="3"/>
        <v>Cars</v>
      </c>
      <c r="Q30" s="282"/>
      <c r="R30" s="243"/>
    </row>
    <row r="31" spans="2:19" ht="15" customHeight="1" outlineLevel="1">
      <c r="B31" s="7"/>
      <c r="C31" s="7"/>
      <c r="D31" s="300" t="s">
        <v>590</v>
      </c>
      <c r="E31" s="523">
        <v>0</v>
      </c>
      <c r="F31" s="523">
        <v>0</v>
      </c>
      <c r="H31" s="305"/>
      <c r="J31" s="305"/>
      <c r="L31" s="305"/>
      <c r="N31" s="315"/>
      <c r="O31" s="274">
        <f>SUM(E31:F31)-SUM(G31:N31)-Q45</f>
        <v>-0.66999999999998749</v>
      </c>
      <c r="P31" s="274" t="str">
        <f t="shared" si="3"/>
        <v>Contingency</v>
      </c>
      <c r="Q31" s="282"/>
    </row>
    <row r="32" spans="2:19" ht="15" customHeight="1" outlineLevel="1">
      <c r="B32" s="7"/>
      <c r="C32" s="7"/>
      <c r="D32" s="300" t="s">
        <v>1486</v>
      </c>
      <c r="E32" s="523">
        <v>0</v>
      </c>
      <c r="F32" s="523">
        <v>0</v>
      </c>
      <c r="H32" s="305"/>
      <c r="J32" s="305"/>
      <c r="L32" s="305"/>
      <c r="N32" s="315"/>
      <c r="O32" s="274">
        <f t="shared" ref="O32:O36" si="4">SUM(E32:F32)-SUM(G32:N32)</f>
        <v>0</v>
      </c>
      <c r="P32" s="274" t="str">
        <f t="shared" si="3"/>
        <v>TV</v>
      </c>
      <c r="Q32" s="282"/>
    </row>
    <row r="33" spans="2:19" ht="15" customHeight="1" outlineLevel="1">
      <c r="B33" s="7"/>
      <c r="C33" s="7"/>
      <c r="D33" s="300" t="s">
        <v>1296</v>
      </c>
      <c r="E33" s="523">
        <v>0</v>
      </c>
      <c r="F33" s="523">
        <f>600-134.01-492</f>
        <v>-26.009999999999991</v>
      </c>
      <c r="H33" s="305"/>
      <c r="J33" s="305"/>
      <c r="L33" s="305"/>
      <c r="N33" s="315"/>
      <c r="O33" s="274">
        <f t="shared" si="4"/>
        <v>-26.009999999999991</v>
      </c>
      <c r="P33" s="274" t="str">
        <f t="shared" si="3"/>
        <v>Offset</v>
      </c>
      <c r="Q33" s="282"/>
    </row>
    <row r="34" spans="2:19" ht="15" customHeight="1" outlineLevel="1">
      <c r="B34" s="7"/>
      <c r="C34" s="7"/>
      <c r="D34" s="300" t="s">
        <v>3209</v>
      </c>
      <c r="E34" s="523">
        <v>0</v>
      </c>
      <c r="F34" s="523">
        <v>0</v>
      </c>
      <c r="H34" s="305">
        <v>201.56</v>
      </c>
      <c r="J34" s="305"/>
      <c r="L34" s="305"/>
      <c r="N34" s="315"/>
      <c r="O34" s="274">
        <f t="shared" si="4"/>
        <v>-201.56</v>
      </c>
      <c r="P34" s="274" t="str">
        <f t="shared" si="3"/>
        <v>LA / VEGAS 2026</v>
      </c>
      <c r="Q34" s="282"/>
    </row>
    <row r="35" spans="2:19" ht="15" customHeight="1" outlineLevel="1">
      <c r="B35" s="7"/>
      <c r="C35" s="7"/>
      <c r="D35" s="300" t="s">
        <v>701</v>
      </c>
      <c r="E35" s="523">
        <v>0</v>
      </c>
      <c r="F35" s="523">
        <f>830-300-300-110+29.1+8.2+3.59</f>
        <v>160.88999999999999</v>
      </c>
      <c r="H35" s="305">
        <f>180+87.99+89.99-90</f>
        <v>267.98</v>
      </c>
      <c r="J35" s="305">
        <f>16+5</f>
        <v>21</v>
      </c>
      <c r="L35" s="305"/>
      <c r="N35" s="315"/>
      <c r="O35" s="274">
        <f t="shared" si="4"/>
        <v>-128.09000000000003</v>
      </c>
      <c r="P35" s="274" t="str">
        <f t="shared" si="3"/>
        <v>Gift</v>
      </c>
      <c r="Q35" s="282"/>
    </row>
    <row r="36" spans="2:19" ht="15" customHeight="1" outlineLevel="1">
      <c r="B36" s="7"/>
      <c r="C36" s="7"/>
      <c r="D36" s="300" t="s">
        <v>3189</v>
      </c>
      <c r="E36" s="523">
        <v>0</v>
      </c>
      <c r="F36" s="523">
        <f>40</f>
        <v>40</v>
      </c>
      <c r="H36" s="305"/>
      <c r="J36" s="305"/>
      <c r="L36" s="305"/>
      <c r="N36" s="315"/>
      <c r="O36" s="274">
        <f t="shared" si="4"/>
        <v>40</v>
      </c>
      <c r="P36" s="274" t="str">
        <f t="shared" si="3"/>
        <v>Inheritence</v>
      </c>
      <c r="Q36" s="282"/>
    </row>
    <row r="37" spans="2:19" ht="15" customHeight="1">
      <c r="B37" s="118"/>
      <c r="C37" s="118"/>
      <c r="H37" s="305"/>
      <c r="J37" s="305"/>
      <c r="L37" s="305"/>
      <c r="N37" s="305"/>
      <c r="O37" s="273"/>
      <c r="P37" s="273"/>
      <c r="Q37" s="282"/>
      <c r="R37" s="243"/>
    </row>
    <row r="38" spans="2:19" ht="15" customHeight="1">
      <c r="B38" s="727" t="str">
        <f>_xlfn.CONCAT("Wants - 30 - ",G45*0.3," / Actual = ",D39," (",ROUND((D39/G45)*100,2),")")</f>
        <v>Wants - 30 - 2641.83 / Actual = 5081.85 (57.71)</v>
      </c>
      <c r="C38" s="727"/>
      <c r="D38" s="727"/>
      <c r="E38" s="727"/>
      <c r="F38" s="318"/>
      <c r="H38" s="305"/>
      <c r="J38" s="305"/>
      <c r="L38" s="305"/>
      <c r="N38" s="305"/>
      <c r="O38" s="273"/>
      <c r="P38" s="273"/>
      <c r="Q38" s="282"/>
    </row>
    <row r="39" spans="2:19" ht="15" customHeight="1">
      <c r="B39" s="727" t="str">
        <f>IF(ISNUMBER((SEARCH("Over",B$5))),"Operating under budget","Operating over budget")</f>
        <v>Operating over budget</v>
      </c>
      <c r="C39" s="727"/>
      <c r="D39" s="759">
        <f>(E$45-D5-D27-E44)</f>
        <v>5081.8500000000004</v>
      </c>
      <c r="E39" s="727"/>
      <c r="F39" s="319"/>
      <c r="H39" s="305"/>
      <c r="J39" s="305"/>
      <c r="L39" s="305"/>
      <c r="N39" s="305"/>
      <c r="O39" s="285">
        <f>0</f>
        <v>0</v>
      </c>
      <c r="P39" s="285" t="s">
        <v>899</v>
      </c>
      <c r="Q39" s="282">
        <f>SUM(Q40:Q40)</f>
        <v>0</v>
      </c>
      <c r="S39" s="11"/>
    </row>
    <row r="40" spans="2:19" ht="18" outlineLevel="1">
      <c r="B40" s="7"/>
      <c r="C40" s="284"/>
      <c r="D40" s="13" t="s">
        <v>922</v>
      </c>
      <c r="E40" s="523">
        <v>0</v>
      </c>
      <c r="F40" s="523">
        <f>D39-F43-F41-F42</f>
        <v>240</v>
      </c>
      <c r="G40" s="11">
        <f>9.99+0.4+1.2+19.99</f>
        <v>31.58</v>
      </c>
      <c r="H40" s="305">
        <f>29.99+67.4+12.99+3.49+11.98+5.95+20.28+3+11.98+5.95+9.49+7.5-25+2.99+11.04+7.35+10.99+0.65</f>
        <v>198.01999999999998</v>
      </c>
      <c r="J40" s="305">
        <f>5+5.4</f>
        <v>10.4</v>
      </c>
      <c r="L40" s="305"/>
      <c r="N40" s="305"/>
      <c r="O40" s="274">
        <f>SUM(E40:F40)-SUM(G40:N40)</f>
        <v>0</v>
      </c>
      <c r="P40" s="274" t="str">
        <f t="shared" ref="P40:P43" si="5">D40</f>
        <v>Matt Fun</v>
      </c>
      <c r="Q40" s="271">
        <f>IF(F40-SUM(G40:N40)&lt;=0,(F40-SUM(G40:N40))*-1,0)</f>
        <v>0</v>
      </c>
      <c r="S40" s="11"/>
    </row>
    <row r="41" spans="2:19" ht="18" outlineLevel="1">
      <c r="B41" s="7"/>
      <c r="C41" s="284"/>
      <c r="D41" s="13" t="s">
        <v>814</v>
      </c>
      <c r="E41" s="523">
        <v>0</v>
      </c>
      <c r="F41" s="523">
        <f>3389.36+32.93+44+134.01</f>
        <v>3600.3</v>
      </c>
      <c r="G41" s="11">
        <v>3600.3</v>
      </c>
      <c r="H41" s="305"/>
      <c r="J41" s="305"/>
      <c r="L41" s="305"/>
      <c r="N41" s="305"/>
      <c r="O41" s="274">
        <f>SUM(E41:F41)-SUM(G41:N41)</f>
        <v>0</v>
      </c>
      <c r="P41" s="274" t="str">
        <f t="shared" si="5"/>
        <v>CC</v>
      </c>
      <c r="Q41" s="282"/>
      <c r="S41" s="11"/>
    </row>
    <row r="42" spans="2:19" ht="18" outlineLevel="1">
      <c r="B42" s="7"/>
      <c r="C42" s="284"/>
      <c r="D42" s="13" t="s">
        <v>3088</v>
      </c>
      <c r="E42" s="523">
        <v>0</v>
      </c>
      <c r="F42" s="625">
        <f>50+250+492</f>
        <v>792</v>
      </c>
      <c r="G42" s="11">
        <v>792</v>
      </c>
      <c r="H42" s="305"/>
      <c r="J42" s="305"/>
      <c r="L42" s="305"/>
      <c r="N42" s="305"/>
      <c r="O42" s="274">
        <f>SUM(E42:F42)-SUM(G42:N42)</f>
        <v>0</v>
      </c>
      <c r="P42" s="274" t="str">
        <f t="shared" si="5"/>
        <v>Rollover Strategy</v>
      </c>
      <c r="Q42" s="282"/>
      <c r="S42" s="11"/>
    </row>
    <row r="43" spans="2:19" ht="18" outlineLevel="1">
      <c r="B43" s="7"/>
      <c r="C43" s="284"/>
      <c r="D43" s="13" t="s">
        <v>152</v>
      </c>
      <c r="E43" s="523">
        <v>0</v>
      </c>
      <c r="F43" s="523">
        <f>50+100+67.45+15.1+162+55</f>
        <v>449.54999999999995</v>
      </c>
      <c r="G43" s="11"/>
      <c r="H43" s="305">
        <f>(6.7+4.4+2.6+51.4)+100+67.45+55+162</f>
        <v>449.55</v>
      </c>
      <c r="J43" s="305"/>
      <c r="L43" s="305"/>
      <c r="N43" s="305"/>
      <c r="O43" s="274">
        <f>SUM(E43:F43)-SUM(G43:N43)</f>
        <v>0</v>
      </c>
      <c r="P43" s="274" t="str">
        <f t="shared" si="5"/>
        <v>Kris</v>
      </c>
      <c r="Q43" s="271">
        <f>IF(F43-SUM(G43:N43)&lt;=0,(F43-SUM(G43:N43))*-1,0)</f>
        <v>5.6843418860808015E-14</v>
      </c>
    </row>
    <row r="44" spans="2:19">
      <c r="B44" s="118"/>
      <c r="C44" s="118"/>
      <c r="E44" s="523">
        <f>E28</f>
        <v>0</v>
      </c>
      <c r="G44" s="349"/>
      <c r="J44" s="7"/>
      <c r="L44" s="7"/>
      <c r="N44" s="7"/>
      <c r="O44" s="273"/>
      <c r="P44" s="273"/>
      <c r="Q44" s="282"/>
    </row>
    <row r="45" spans="2:19" ht="18">
      <c r="B45" s="728" t="s">
        <v>817</v>
      </c>
      <c r="C45" s="728"/>
      <c r="D45" s="728"/>
      <c r="E45" s="529">
        <f>G45+I45+K45+M45+N45+E44</f>
        <v>8806.1</v>
      </c>
      <c r="F45" s="530"/>
      <c r="G45" s="271">
        <f>3389.36+3579.86+20+(800+140+20+33+44+250+50+50+100+67.45)+40+162+55+5.43</f>
        <v>8806.1</v>
      </c>
      <c r="H45" s="282"/>
      <c r="I45" s="271"/>
      <c r="J45" s="271"/>
      <c r="K45" s="271"/>
      <c r="L45" s="271"/>
      <c r="M45" s="271"/>
      <c r="N45" s="271"/>
      <c r="O45" s="314">
        <f>ROUND(O5+O39+O27+IF(O40&lt;0,0,O40)+O43+O4+O41+O42,2)</f>
        <v>1593.02</v>
      </c>
      <c r="P45" s="274"/>
      <c r="Q45" s="282">
        <f>SUM(Q39,Q27,Q5)</f>
        <v>0.66999999999998749</v>
      </c>
    </row>
    <row r="46" spans="2:19" ht="18">
      <c r="B46" s="118"/>
      <c r="C46" s="7"/>
      <c r="D46" s="13" t="s">
        <v>1451</v>
      </c>
      <c r="G46" s="523"/>
      <c r="H46" s="243"/>
      <c r="L46" s="243"/>
      <c r="O46" s="610">
        <f>O45-SUM(O4:O5)-O42-O40</f>
        <v>-316.32999999999993</v>
      </c>
      <c r="P46" s="7" t="str">
        <f>IF(O46&lt;0, "DEFICIT", "")</f>
        <v>DEFICIT</v>
      </c>
    </row>
    <row r="47" spans="2:19" ht="14.4">
      <c r="B47" s="729"/>
      <c r="C47" s="729"/>
      <c r="D47" s="729"/>
      <c r="E47" s="729"/>
      <c r="F47" s="729"/>
      <c r="G47" s="729"/>
      <c r="H47" s="297"/>
      <c r="K47" s="729"/>
      <c r="L47" s="729"/>
      <c r="M47" s="729"/>
      <c r="N47" s="729"/>
      <c r="O47" s="729"/>
      <c r="P47" s="297"/>
    </row>
    <row r="48" spans="2:19" ht="15" customHeight="1">
      <c r="B48" s="726" t="s">
        <v>955</v>
      </c>
      <c r="C48" s="726"/>
      <c r="D48" s="726"/>
      <c r="E48" s="726"/>
      <c r="F48" s="348"/>
      <c r="H48" s="243"/>
      <c r="K48" s="212"/>
      <c r="L48" s="212"/>
      <c r="M48" s="243"/>
      <c r="N48" s="476" t="s">
        <v>3207</v>
      </c>
      <c r="O48" s="316">
        <v>46038</v>
      </c>
      <c r="P48" s="7">
        <f ca="1">DATEDIF(O48,NOW(),"d")</f>
        <v>213</v>
      </c>
      <c r="Q48">
        <v>270</v>
      </c>
      <c r="R48" t="s">
        <v>3208</v>
      </c>
    </row>
    <row r="49" spans="2:18">
      <c r="B49" s="523"/>
      <c r="C49" s="38"/>
      <c r="D49" s="726" t="s">
        <v>3129</v>
      </c>
      <c r="E49" s="726"/>
      <c r="F49" s="659" t="s">
        <v>3132</v>
      </c>
      <c r="H49" s="369"/>
      <c r="I49" s="243" t="s">
        <v>3266</v>
      </c>
      <c r="J49" t="s">
        <v>1847</v>
      </c>
      <c r="K49" t="s">
        <v>3125</v>
      </c>
      <c r="L49" t="s">
        <v>3136</v>
      </c>
      <c r="N49" s="637" t="s">
        <v>3210</v>
      </c>
      <c r="O49" s="638">
        <v>46038</v>
      </c>
      <c r="P49" s="639">
        <f ca="1">DATEDIF(O49,NOW(),"d")</f>
        <v>213</v>
      </c>
      <c r="Q49" s="514">
        <v>-25</v>
      </c>
      <c r="R49" s="514" t="s">
        <v>1317</v>
      </c>
    </row>
    <row r="50" spans="2:18" ht="16.2" customHeight="1">
      <c r="D50" s="621" t="s">
        <v>3143</v>
      </c>
      <c r="E50" s="56">
        <f>270.97+137.5</f>
        <v>408.47</v>
      </c>
      <c r="F50" s="659" t="s">
        <v>3133</v>
      </c>
      <c r="H50" t="s">
        <v>1719</v>
      </c>
      <c r="I50" s="243">
        <v>40</v>
      </c>
      <c r="J50">
        <v>100</v>
      </c>
      <c r="K50">
        <v>130</v>
      </c>
      <c r="L50">
        <v>90</v>
      </c>
      <c r="M50" s="243"/>
      <c r="N50" s="358" t="s">
        <v>3211</v>
      </c>
      <c r="O50" s="316">
        <v>46038</v>
      </c>
      <c r="P50" s="639">
        <f ca="1">DATEDIF(O50,NOW(),"d")</f>
        <v>213</v>
      </c>
      <c r="Q50">
        <v>32.68</v>
      </c>
      <c r="R50" t="s">
        <v>1441</v>
      </c>
    </row>
    <row r="51" spans="2:18">
      <c r="B51" s="532"/>
      <c r="D51" s="621" t="s">
        <v>3130</v>
      </c>
      <c r="E51" s="56">
        <v>100</v>
      </c>
      <c r="F51" s="659" t="s">
        <v>3135</v>
      </c>
      <c r="H51" t="s">
        <v>3267</v>
      </c>
      <c r="I51">
        <f>I50*12</f>
        <v>480</v>
      </c>
      <c r="J51">
        <f>J50/2</f>
        <v>50</v>
      </c>
      <c r="K51">
        <f>K50</f>
        <v>130</v>
      </c>
      <c r="L51">
        <f>L50</f>
        <v>90</v>
      </c>
      <c r="M51" s="243"/>
      <c r="N51" s="243"/>
      <c r="P51"/>
    </row>
    <row r="52" spans="2:18">
      <c r="D52" t="s">
        <v>3131</v>
      </c>
      <c r="E52" s="56">
        <v>200</v>
      </c>
      <c r="F52" s="659" t="s">
        <v>3134</v>
      </c>
      <c r="H52" s="426" t="s">
        <v>3137</v>
      </c>
      <c r="I52">
        <f>SUM(I51:L51)*0.73</f>
        <v>547.5</v>
      </c>
      <c r="M52" s="243"/>
      <c r="N52" s="243"/>
      <c r="P52"/>
      <c r="Q52" s="243"/>
    </row>
    <row r="53" spans="2:18">
      <c r="E53" s="56"/>
      <c r="H53" s="426" t="s">
        <v>3138</v>
      </c>
      <c r="I53">
        <f>((150*0.73)*4)*0.43</f>
        <v>188.34</v>
      </c>
      <c r="L53" s="243"/>
      <c r="M53" s="656"/>
      <c r="N53" s="243"/>
      <c r="P53" s="292"/>
      <c r="Q53" s="212"/>
    </row>
    <row r="54" spans="2:18" ht="15" customHeight="1">
      <c r="F54" s="658"/>
      <c r="G54" s="369"/>
      <c r="H54" s="426"/>
      <c r="I54">
        <f>(I53/I52)*100</f>
        <v>34.400000000000006</v>
      </c>
      <c r="K54" s="243"/>
      <c r="M54" s="243"/>
      <c r="N54" s="243"/>
      <c r="O54" s="661"/>
      <c r="P54" s="56"/>
      <c r="Q54" s="38"/>
    </row>
    <row r="55" spans="2:18" ht="15.45" customHeight="1">
      <c r="F55" s="533"/>
      <c r="G55" s="369"/>
      <c r="K55" s="243"/>
      <c r="L55" s="390"/>
      <c r="M55" s="390"/>
      <c r="N55" s="390"/>
      <c r="P55"/>
    </row>
    <row r="56" spans="2:18" ht="15" customHeight="1">
      <c r="F56" s="660"/>
      <c r="J56" s="243"/>
      <c r="K56" s="243"/>
      <c r="M56" s="243"/>
    </row>
    <row r="57" spans="2:18" ht="16.2" customHeight="1">
      <c r="F57" s="660"/>
      <c r="H57" s="243"/>
      <c r="I57" s="243"/>
      <c r="J57" s="243"/>
      <c r="O57"/>
    </row>
    <row r="58" spans="2:18" ht="14.7" customHeight="1">
      <c r="B58" s="11"/>
      <c r="F58" s="625"/>
      <c r="J58" s="243"/>
      <c r="O58"/>
      <c r="P58"/>
    </row>
    <row r="59" spans="2:18">
      <c r="B59" s="11"/>
      <c r="D59" t="s">
        <v>2137</v>
      </c>
      <c r="E59" s="653">
        <f>(3176.4-O42)+107</f>
        <v>3283.4</v>
      </c>
      <c r="F59" s="660"/>
      <c r="I59" s="243"/>
      <c r="P59"/>
    </row>
    <row r="60" spans="2:18">
      <c r="B60" s="11"/>
      <c r="D60" t="s">
        <v>2917</v>
      </c>
      <c r="E60" s="625">
        <f>E59-2700</f>
        <v>583.40000000000009</v>
      </c>
      <c r="F60" s="660"/>
      <c r="I60" t="s">
        <v>3147</v>
      </c>
      <c r="O60"/>
      <c r="P60"/>
    </row>
    <row r="61" spans="2:18">
      <c r="D61" t="s">
        <v>2742</v>
      </c>
      <c r="E61" s="625">
        <f>E60-256</f>
        <v>327.40000000000009</v>
      </c>
      <c r="F61" s="660"/>
      <c r="I61" t="s">
        <v>1708</v>
      </c>
      <c r="J61">
        <v>29.1</v>
      </c>
      <c r="L61" s="243"/>
      <c r="M61" s="243"/>
      <c r="O61"/>
      <c r="P61"/>
    </row>
    <row r="62" spans="2:18">
      <c r="B62" s="212"/>
      <c r="C62" s="212"/>
      <c r="D62" s="634" t="s">
        <v>3009</v>
      </c>
      <c r="E62" s="625">
        <f>E61-150</f>
        <v>177.40000000000009</v>
      </c>
      <c r="F62" s="79"/>
      <c r="I62" t="s">
        <v>894</v>
      </c>
      <c r="J62">
        <v>92.88</v>
      </c>
      <c r="P62"/>
    </row>
    <row r="63" spans="2:18">
      <c r="C63" s="56"/>
      <c r="D63" t="s">
        <v>3011</v>
      </c>
      <c r="E63" s="625">
        <f>E62-118</f>
        <v>59.400000000000091</v>
      </c>
      <c r="F63" s="660"/>
      <c r="G63" s="369"/>
      <c r="H63" s="243"/>
      <c r="I63" t="s">
        <v>2890</v>
      </c>
      <c r="J63">
        <v>45.79</v>
      </c>
      <c r="L63" s="243"/>
      <c r="O63"/>
      <c r="P63"/>
    </row>
    <row r="64" spans="2:18" ht="15.75" customHeight="1">
      <c r="C64" s="56"/>
      <c r="D64" s="358" t="s">
        <v>3004</v>
      </c>
      <c r="E64" s="629">
        <f>E63-0</f>
        <v>59.400000000000091</v>
      </c>
      <c r="F64"/>
      <c r="H64" s="243"/>
      <c r="I64" t="s">
        <v>3102</v>
      </c>
      <c r="J64">
        <v>270.97000000000003</v>
      </c>
      <c r="L64" s="243"/>
      <c r="M64" s="243"/>
      <c r="O64"/>
      <c r="P64"/>
    </row>
    <row r="65" spans="2:16">
      <c r="C65" s="56"/>
      <c r="D65" t="s">
        <v>3101</v>
      </c>
      <c r="E65" s="625">
        <f>E64-60</f>
        <v>-0.59999999999990905</v>
      </c>
      <c r="G65" s="426"/>
      <c r="M65" s="243"/>
      <c r="O65"/>
      <c r="P65"/>
    </row>
    <row r="66" spans="2:16">
      <c r="C66" s="56"/>
      <c r="E66" s="625"/>
      <c r="G66" s="426"/>
      <c r="H66" t="s">
        <v>1575</v>
      </c>
      <c r="I66">
        <v>5000</v>
      </c>
      <c r="O66"/>
      <c r="P66"/>
    </row>
    <row r="67" spans="2:16">
      <c r="C67" s="56"/>
      <c r="D67" s="634"/>
      <c r="E67" s="625"/>
      <c r="G67" s="426"/>
      <c r="H67" t="s">
        <v>56</v>
      </c>
      <c r="I67">
        <v>-2800</v>
      </c>
      <c r="N67" s="288"/>
      <c r="O67"/>
      <c r="P67"/>
    </row>
    <row r="68" spans="2:16">
      <c r="C68" s="56"/>
      <c r="E68" s="625"/>
      <c r="L68" s="243"/>
      <c r="O68"/>
      <c r="P68"/>
    </row>
    <row r="69" spans="2:16">
      <c r="C69" s="56"/>
      <c r="E69" s="625"/>
      <c r="I69" s="11"/>
      <c r="O69"/>
      <c r="P69"/>
    </row>
    <row r="70" spans="2:16">
      <c r="B70" s="212"/>
      <c r="C70" s="294"/>
      <c r="E70" s="625"/>
      <c r="F70" s="785" t="s">
        <v>3124</v>
      </c>
      <c r="G70" t="s">
        <v>3190</v>
      </c>
      <c r="O70"/>
      <c r="P70"/>
    </row>
    <row r="71" spans="2:16" ht="15.45" customHeight="1">
      <c r="C71" s="56"/>
      <c r="F71" s="735"/>
      <c r="G71" s="663">
        <v>111</v>
      </c>
      <c r="M71" s="243"/>
      <c r="O71"/>
      <c r="P71"/>
    </row>
    <row r="72" spans="2:16">
      <c r="C72" s="56"/>
      <c r="E72" s="625"/>
      <c r="F72" s="625"/>
      <c r="G72" s="445">
        <f>G71*0.45</f>
        <v>49.95</v>
      </c>
      <c r="L72" s="459"/>
      <c r="M72" s="461"/>
      <c r="O72"/>
      <c r="P72"/>
    </row>
    <row r="73" spans="2:16">
      <c r="C73" s="56"/>
      <c r="D73" s="634"/>
      <c r="E73" s="533"/>
      <c r="L73" s="459"/>
      <c r="M73" s="461"/>
      <c r="O73"/>
      <c r="P73"/>
    </row>
    <row r="74" spans="2:16" ht="14.4">
      <c r="C74" s="56"/>
      <c r="E74" s="243"/>
      <c r="F74"/>
      <c r="L74" s="459"/>
      <c r="M74" s="461"/>
      <c r="O74"/>
      <c r="P74"/>
    </row>
    <row r="75" spans="2:16">
      <c r="C75" s="56"/>
      <c r="D75" t="s">
        <v>3191</v>
      </c>
      <c r="E75">
        <v>10000</v>
      </c>
      <c r="L75" s="188"/>
      <c r="M75" s="230"/>
      <c r="O75"/>
      <c r="P75"/>
    </row>
    <row r="76" spans="2:16">
      <c r="C76" s="56"/>
      <c r="D76" t="s">
        <v>3192</v>
      </c>
      <c r="E76" s="523">
        <v>3000</v>
      </c>
      <c r="H76">
        <v>55000</v>
      </c>
      <c r="L76" s="188"/>
      <c r="M76" s="230"/>
      <c r="O76"/>
      <c r="P76"/>
    </row>
    <row r="77" spans="2:16">
      <c r="C77" s="56"/>
      <c r="D77" t="s">
        <v>3193</v>
      </c>
      <c r="E77" s="523">
        <f>300+1500</f>
        <v>1800</v>
      </c>
      <c r="G77">
        <f>5.45</f>
        <v>5.45</v>
      </c>
      <c r="H77">
        <v>58000</v>
      </c>
      <c r="L77" s="188"/>
      <c r="M77" s="230"/>
      <c r="O77"/>
      <c r="P77"/>
    </row>
    <row r="78" spans="2:16">
      <c r="D78" t="s">
        <v>3194</v>
      </c>
      <c r="E78" s="523">
        <f>300+1500</f>
        <v>1800</v>
      </c>
      <c r="F78" s="523">
        <v>3.5</v>
      </c>
      <c r="G78" s="288">
        <v>4.7500000000000001E-2</v>
      </c>
      <c r="H78">
        <f>H77*(1+G78)</f>
        <v>60755.000000000007</v>
      </c>
      <c r="I78">
        <f>H78-H77</f>
        <v>2755.0000000000073</v>
      </c>
      <c r="J78">
        <f>I78/1000</f>
        <v>2.7550000000000074</v>
      </c>
      <c r="L78" s="188"/>
      <c r="M78" s="230"/>
      <c r="O78"/>
      <c r="P78"/>
    </row>
    <row r="79" spans="2:16">
      <c r="D79" t="s">
        <v>131</v>
      </c>
      <c r="E79" s="523">
        <f>SUM(E75:E78)</f>
        <v>16600</v>
      </c>
      <c r="F79" s="523">
        <v>4.75</v>
      </c>
      <c r="J79">
        <f>J78*I81</f>
        <v>107.3807166666668</v>
      </c>
      <c r="L79" s="532"/>
      <c r="M79" s="230"/>
      <c r="O79"/>
      <c r="P79"/>
    </row>
    <row r="80" spans="2:16">
      <c r="D80" t="s">
        <v>1788</v>
      </c>
      <c r="E80" s="523">
        <f>3300</f>
        <v>3300</v>
      </c>
      <c r="I80">
        <f>3582.46-3465.53</f>
        <v>116.92999999999984</v>
      </c>
      <c r="L80" s="405"/>
      <c r="M80" s="230"/>
      <c r="O80"/>
      <c r="P80"/>
    </row>
    <row r="81" spans="4:16">
      <c r="D81" t="s">
        <v>2137</v>
      </c>
      <c r="E81" s="523">
        <f>E79-E80</f>
        <v>13300</v>
      </c>
      <c r="I81">
        <f>I80/3</f>
        <v>38.97666666666661</v>
      </c>
      <c r="J81" t="s">
        <v>3226</v>
      </c>
    </row>
    <row r="82" spans="4:16">
      <c r="D82" t="s">
        <v>3195</v>
      </c>
      <c r="E82" s="523">
        <f>E81-600</f>
        <v>12700</v>
      </c>
    </row>
    <row r="83" spans="4:16">
      <c r="I83" t="s">
        <v>3227</v>
      </c>
    </row>
    <row r="84" spans="4:16">
      <c r="I84" t="s">
        <v>3228</v>
      </c>
    </row>
    <row r="85" spans="4:16">
      <c r="I85" t="s">
        <v>596</v>
      </c>
      <c r="J85">
        <v>14</v>
      </c>
    </row>
    <row r="86" spans="4:16">
      <c r="I86" t="s">
        <v>2222</v>
      </c>
      <c r="J86">
        <f>72-22</f>
        <v>50</v>
      </c>
    </row>
    <row r="87" spans="4:16">
      <c r="E87" s="533"/>
      <c r="F87" s="212"/>
      <c r="I87" t="s">
        <v>2223</v>
      </c>
      <c r="J87">
        <v>5</v>
      </c>
    </row>
    <row r="88" spans="4:16" ht="14.4">
      <c r="E88"/>
      <c r="F88"/>
      <c r="I88" t="s">
        <v>2225</v>
      </c>
      <c r="J88">
        <v>12</v>
      </c>
    </row>
    <row r="89" spans="4:16">
      <c r="F89" s="56"/>
      <c r="I89" t="s">
        <v>2224</v>
      </c>
      <c r="J89">
        <v>9</v>
      </c>
    </row>
    <row r="90" spans="4:16">
      <c r="F90" s="56"/>
    </row>
    <row r="91" spans="4:16">
      <c r="F91" s="56"/>
      <c r="G91" s="407"/>
    </row>
    <row r="92" spans="4:16" ht="14.4">
      <c r="D92" s="621"/>
      <c r="E92" s="56"/>
      <c r="F92" s="56"/>
      <c r="G92" s="407"/>
      <c r="I92" t="s">
        <v>3229</v>
      </c>
    </row>
    <row r="93" spans="4:16" ht="14.4">
      <c r="E93" s="56"/>
      <c r="F93" s="56"/>
      <c r="G93" s="407"/>
      <c r="I93" t="s">
        <v>2225</v>
      </c>
      <c r="J93">
        <f>92.79-107.15</f>
        <v>-14.36</v>
      </c>
      <c r="K93" t="s">
        <v>1325</v>
      </c>
    </row>
    <row r="94" spans="4:16" ht="14.4">
      <c r="E94" s="56"/>
      <c r="F94" s="56"/>
      <c r="G94" s="407"/>
      <c r="I94" t="s">
        <v>3231</v>
      </c>
      <c r="J94">
        <f>58-73.44</f>
        <v>-15.439999999999998</v>
      </c>
      <c r="K94" t="s">
        <v>1325</v>
      </c>
    </row>
    <row r="95" spans="4:16">
      <c r="G95" s="407"/>
      <c r="H95" s="11"/>
      <c r="I95" t="s">
        <v>3281</v>
      </c>
      <c r="J95">
        <f>F11*0.09</f>
        <v>15.12</v>
      </c>
      <c r="K95" s="258" t="s">
        <v>1326</v>
      </c>
      <c r="O95"/>
      <c r="P95"/>
    </row>
    <row r="96" spans="4:16">
      <c r="G96" s="407"/>
      <c r="I96" t="s">
        <v>1506</v>
      </c>
      <c r="J96">
        <f>J79*-1</f>
        <v>-107.3807166666668</v>
      </c>
      <c r="K96" t="s">
        <v>1326</v>
      </c>
      <c r="O96"/>
      <c r="P96"/>
    </row>
    <row r="97" spans="7:16">
      <c r="G97" s="407"/>
      <c r="I97" t="s">
        <v>2222</v>
      </c>
      <c r="J97">
        <v>-50</v>
      </c>
      <c r="K97" t="s">
        <v>1328</v>
      </c>
      <c r="O97"/>
      <c r="P97"/>
    </row>
    <row r="98" spans="7:16">
      <c r="G98" s="407"/>
      <c r="I98" t="s">
        <v>2224</v>
      </c>
      <c r="J98">
        <v>9</v>
      </c>
      <c r="K98" t="s">
        <v>1328</v>
      </c>
    </row>
    <row r="99" spans="7:16">
      <c r="I99" t="s">
        <v>3232</v>
      </c>
      <c r="J99">
        <v>-10</v>
      </c>
      <c r="K99" t="s">
        <v>1330</v>
      </c>
    </row>
    <row r="100" spans="7:16">
      <c r="I100" t="s">
        <v>2223</v>
      </c>
      <c r="J100">
        <v>-10</v>
      </c>
      <c r="K100" t="s">
        <v>1331</v>
      </c>
    </row>
    <row r="101" spans="7:16">
      <c r="I101" t="s">
        <v>3230</v>
      </c>
      <c r="J101">
        <f>10-29.1</f>
        <v>-19.100000000000001</v>
      </c>
      <c r="K101" t="s">
        <v>1331</v>
      </c>
    </row>
    <row r="102" spans="7:16">
      <c r="J102">
        <f>SUM(J93:J101)</f>
        <v>-202.16071666666679</v>
      </c>
    </row>
  </sheetData>
  <mergeCells count="24">
    <mergeCell ref="F70:F71"/>
    <mergeCell ref="B47:G47"/>
    <mergeCell ref="K47:O47"/>
    <mergeCell ref="B48:C48"/>
    <mergeCell ref="D48:E48"/>
    <mergeCell ref="D49:E49"/>
    <mergeCell ref="B45:D45"/>
    <mergeCell ref="B5:C5"/>
    <mergeCell ref="D5:E5"/>
    <mergeCell ref="B6:B19"/>
    <mergeCell ref="C6:C19"/>
    <mergeCell ref="E9:F9"/>
    <mergeCell ref="B26:E26"/>
    <mergeCell ref="B27:C27"/>
    <mergeCell ref="D27:E27"/>
    <mergeCell ref="B38:E38"/>
    <mergeCell ref="B39:C39"/>
    <mergeCell ref="D39:E39"/>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93EC0-D4BE-4F42-918A-049EC214C3E5}">
  <dimension ref="A1:X104"/>
  <sheetViews>
    <sheetView topLeftCell="H43" zoomScaleNormal="90" workbookViewId="0">
      <selection activeCell="L54" sqref="L53:L56"/>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str">
        <f ca="1">UPPER(TEXT((1&amp;LEFT(B$1,3))-1,"MMM"))&amp;"-"&amp;UPPER(TEXT((1&amp;RIGHT(LEFT(B$1,7),3))-1,"MMM"))&amp;" "&amp;RIGHT(B$1,4)</f>
        <v>DEC-JAN B 26</v>
      </c>
      <c r="B1" s="730" t="str">
        <f ca="1">MID(CELL("filename",B1),FIND("]",CELL("filename",B1))+1,255)</f>
        <v>JAN-FEB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1449</v>
      </c>
      <c r="M2" s="79" t="s">
        <v>801</v>
      </c>
      <c r="N2" s="307" t="s">
        <v>1450</v>
      </c>
      <c r="O2" s="273" t="s">
        <v>10</v>
      </c>
      <c r="P2" s="273"/>
      <c r="Q2" s="283" t="s">
        <v>803</v>
      </c>
    </row>
    <row r="3" spans="1:24">
      <c r="B3" s="118"/>
      <c r="C3" s="118"/>
      <c r="D3" s="290" t="e">
        <f>"£" &amp; ROUND(O5+O43+O28+IF(#REF!&lt;0,0,#REF!)+O47+O4,2) &amp; " / " &amp; "£" &amp; E49</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",G49*0.5," / Actual = ",ROUND(D5,2)," (",ROUND((D5/G49)*100,2),")")</f>
        <v>Expenses - 50 - 3836.755 / Actual = 2949.41 (38.44)</v>
      </c>
      <c r="C4" s="727"/>
      <c r="D4" s="727"/>
      <c r="E4" s="727"/>
      <c r="F4" s="318"/>
      <c r="G4" s="243"/>
      <c r="H4" s="304">
        <f>SUM(H5:H47)</f>
        <v>3294.22</v>
      </c>
      <c r="I4" s="243"/>
      <c r="J4" s="304">
        <f>SUM(J5:J47)</f>
        <v>1185.27</v>
      </c>
      <c r="K4" s="243">
        <f>J4+(E67*-1)</f>
        <v>1185.27</v>
      </c>
      <c r="L4" s="304">
        <f>SUM(L5:L47)</f>
        <v>0</v>
      </c>
      <c r="M4" s="243">
        <f>4025.41-K4</f>
        <v>2840.14</v>
      </c>
      <c r="N4" s="304">
        <f>SUM(N5:N47)-SUM(N30:N35)</f>
        <v>0</v>
      </c>
      <c r="O4" s="308">
        <f>IF(H48&lt;&gt;"PAID",H4,0)+IF(J48&lt;&gt;"PAID",J4,0)+IF(L48&lt;&gt;"PAID",L4,0)+IF(N48&lt;&gt;"PAID",N4,0)</f>
        <v>4479.49</v>
      </c>
      <c r="P4" s="309" t="s">
        <v>973</v>
      </c>
      <c r="Q4" s="408"/>
      <c r="R4" s="243"/>
      <c r="S4" s="284"/>
      <c r="T4" s="11"/>
      <c r="U4" s="390"/>
      <c r="V4" s="11"/>
      <c r="W4" s="390"/>
      <c r="X4" s="11"/>
    </row>
    <row r="5" spans="1:24" ht="15" customHeight="1">
      <c r="B5" s="733" t="str">
        <f>IF(D5&gt;E$49*0.5,ROUND(D5-E$49*0.5,2) &amp; " Over",ROUND(E$49*0.5-D5,2) &amp; " Under")</f>
        <v>887.35 Under</v>
      </c>
      <c r="C5" s="733"/>
      <c r="D5" s="761">
        <f>ROUND(SUM(F6:F25),2)</f>
        <v>2949.41</v>
      </c>
      <c r="E5" s="761"/>
      <c r="F5" s="321"/>
      <c r="G5" s="284"/>
      <c r="H5" s="306"/>
      <c r="I5" s="390"/>
      <c r="J5" s="306"/>
      <c r="K5" s="390"/>
      <c r="L5" s="306"/>
      <c r="M5" s="79"/>
      <c r="N5" s="305"/>
      <c r="O5" s="285">
        <f>SUMIF(O6:O25,"&gt;0")</f>
        <v>0</v>
      </c>
      <c r="P5" s="285" t="s">
        <v>892</v>
      </c>
      <c r="Q5" s="282">
        <f>SUM(Q6:Q25)</f>
        <v>28.400000000000006</v>
      </c>
      <c r="R5" s="243"/>
      <c r="T5" s="243"/>
    </row>
    <row r="6" spans="1:24" ht="15" customHeight="1">
      <c r="B6" s="734" t="str">
        <f>"50%: " &amp; E$49*0.5</f>
        <v>50%: 3836.755</v>
      </c>
      <c r="C6" s="734" t="str">
        <f>ROUND((D5/E$49)*100,2) &amp; "%: " &amp;D5</f>
        <v>38.44%: 2949.41</v>
      </c>
      <c r="D6" s="13" t="s">
        <v>805</v>
      </c>
      <c r="E6" s="523">
        <v>0</v>
      </c>
      <c r="F6" s="528">
        <f>160+4.98</f>
        <v>164.98</v>
      </c>
      <c r="H6" s="305">
        <f>30.24+30.4+27.06+20.02+30.28+26.98</f>
        <v>164.98</v>
      </c>
      <c r="J6" s="305"/>
      <c r="L6" s="305"/>
      <c r="N6" s="305"/>
      <c r="O6" s="274">
        <f>SUM(E6:F6)-SUM(G6:N6)</f>
        <v>0</v>
      </c>
      <c r="P6" s="274" t="str">
        <f t="shared" ref="P6:P25" si="0">D6</f>
        <v>Car Petrol / commuting</v>
      </c>
      <c r="Q6" s="282">
        <f>IF(O6&lt;0,O6*-1,0)</f>
        <v>0</v>
      </c>
      <c r="R6" s="243"/>
      <c r="S6" s="243"/>
      <c r="T6" s="243"/>
    </row>
    <row r="7" spans="1:24" ht="15" customHeight="1">
      <c r="B7" s="734"/>
      <c r="C7" s="734"/>
      <c r="D7" s="13" t="s">
        <v>169</v>
      </c>
      <c r="E7" s="523">
        <v>0</v>
      </c>
      <c r="F7" s="523">
        <f>500-53.94</f>
        <v>446.06</v>
      </c>
      <c r="H7" s="305">
        <f>4+86.14+10.16+83.43-3.25+1.35+1.1+33.36+11.66+7.45+0.7+61.11-2.6+0.59+2.15+25.73+8.99+95.39+17.1+1.5</f>
        <v>446.05999999999995</v>
      </c>
      <c r="J7" s="305"/>
      <c r="L7" s="305"/>
      <c r="N7" s="305"/>
      <c r="O7" s="274">
        <f>SUM(E7:F7)-SUM(G7:N7)</f>
        <v>0</v>
      </c>
      <c r="P7" s="274" t="str">
        <f t="shared" si="0"/>
        <v>Food</v>
      </c>
      <c r="Q7" s="282">
        <f>IF(O7&lt;0,O7*-1,0)</f>
        <v>0</v>
      </c>
      <c r="R7" s="243"/>
    </row>
    <row r="8" spans="1:24" ht="15" customHeight="1">
      <c r="B8" s="734"/>
      <c r="C8" s="734"/>
      <c r="D8" s="13" t="s">
        <v>153</v>
      </c>
      <c r="E8" s="523">
        <v>0</v>
      </c>
      <c r="F8" s="523">
        <f>120-12.6</f>
        <v>107.4</v>
      </c>
      <c r="H8" s="305"/>
      <c r="J8" s="305">
        <f>21.99+21.94+22.34+19.34+21.79</f>
        <v>107.4</v>
      </c>
      <c r="L8" s="305"/>
      <c r="N8" s="305"/>
      <c r="O8" s="274">
        <f>SUM(E8:F8)-SUM(G8:N8)</f>
        <v>0</v>
      </c>
      <c r="P8" s="274" t="str">
        <f t="shared" si="0"/>
        <v>Luna</v>
      </c>
      <c r="Q8" s="282">
        <f>IF(O8&lt;0,O8*-1,0)</f>
        <v>0</v>
      </c>
    </row>
    <row r="9" spans="1:24" ht="15" customHeight="1">
      <c r="B9" s="734"/>
      <c r="C9" s="734"/>
      <c r="D9" s="13" t="s">
        <v>189</v>
      </c>
      <c r="E9" s="735">
        <f>SUM(F10:F25)</f>
        <v>2230.9699999999998</v>
      </c>
      <c r="F9" s="735"/>
      <c r="G9" s="243"/>
      <c r="H9" s="305"/>
      <c r="J9" s="305"/>
      <c r="L9" s="305"/>
      <c r="N9" s="305"/>
      <c r="O9" s="274"/>
      <c r="P9" s="274" t="str">
        <f t="shared" si="0"/>
        <v>Direct debits</v>
      </c>
      <c r="Q9" s="282"/>
      <c r="R9" s="243"/>
      <c r="T9" s="243"/>
    </row>
    <row r="10" spans="1:24" ht="15" customHeight="1" outlineLevel="1">
      <c r="B10" s="734"/>
      <c r="C10" s="734"/>
      <c r="D10" s="201" t="s">
        <v>595</v>
      </c>
      <c r="E10" s="523">
        <v>0</v>
      </c>
      <c r="F10" s="523">
        <v>838</v>
      </c>
      <c r="G10">
        <v>838</v>
      </c>
      <c r="H10" s="305"/>
      <c r="J10" s="305"/>
      <c r="L10" s="304"/>
      <c r="N10" s="305"/>
      <c r="O10" s="274">
        <f t="shared" ref="O10:O25" si="1">SUM(E10:F10)-SUM(G10:N10)</f>
        <v>0</v>
      </c>
      <c r="P10" s="274" t="str">
        <f t="shared" si="0"/>
        <v>Mortgage</v>
      </c>
      <c r="Q10" s="282">
        <f t="shared" ref="Q10:Q25" si="2">IF(O10&lt;0,O10*-1,0)</f>
        <v>0</v>
      </c>
      <c r="R10" s="243"/>
    </row>
    <row r="11" spans="1:24" ht="15" customHeight="1" outlineLevel="1">
      <c r="B11" s="734"/>
      <c r="C11" s="734"/>
      <c r="D11" s="201" t="s">
        <v>596</v>
      </c>
      <c r="E11" s="523">
        <v>0</v>
      </c>
      <c r="F11" s="523">
        <v>168</v>
      </c>
      <c r="G11">
        <v>168</v>
      </c>
      <c r="H11" s="305"/>
      <c r="J11" s="305"/>
      <c r="L11" s="305"/>
      <c r="N11" s="305"/>
      <c r="O11" s="274">
        <f t="shared" si="1"/>
        <v>0</v>
      </c>
      <c r="P11" s="274" t="str">
        <f t="shared" si="0"/>
        <v>Council tax</v>
      </c>
      <c r="Q11" s="282">
        <f t="shared" si="2"/>
        <v>0</v>
      </c>
    </row>
    <row r="12" spans="1:24" ht="15" customHeight="1" outlineLevel="1">
      <c r="B12" s="734"/>
      <c r="C12" s="734"/>
      <c r="D12" s="201" t="s">
        <v>1002</v>
      </c>
      <c r="E12" s="523">
        <v>0</v>
      </c>
      <c r="F12" s="523">
        <f>49+107.15</f>
        <v>156.15</v>
      </c>
      <c r="G12">
        <f>49+107.15</f>
        <v>156.15</v>
      </c>
      <c r="H12" s="305"/>
      <c r="J12" s="305"/>
      <c r="L12" s="305"/>
      <c r="N12" s="305"/>
      <c r="O12" s="274">
        <f>SUM(E12:F12)-SUM(G12:N12)</f>
        <v>0</v>
      </c>
      <c r="P12" s="274" t="str">
        <f t="shared" si="0"/>
        <v>Utilities (G,W,E,HTB)</v>
      </c>
      <c r="Q12" s="282">
        <f t="shared" si="2"/>
        <v>0</v>
      </c>
    </row>
    <row r="13" spans="1:24" ht="15" customHeight="1" outlineLevel="1">
      <c r="B13" s="734"/>
      <c r="C13" s="734"/>
      <c r="D13" s="201" t="s">
        <v>996</v>
      </c>
      <c r="E13" s="523">
        <v>0</v>
      </c>
      <c r="F13" s="523">
        <v>72.84</v>
      </c>
      <c r="G13">
        <v>72.84</v>
      </c>
      <c r="H13" s="305"/>
      <c r="J13" s="305"/>
      <c r="L13" s="305"/>
      <c r="N13" s="305"/>
      <c r="O13" s="274">
        <f t="shared" si="1"/>
        <v>0</v>
      </c>
      <c r="P13" s="274" t="str">
        <f t="shared" si="0"/>
        <v>Home Insurance</v>
      </c>
      <c r="Q13" s="282">
        <f t="shared" si="2"/>
        <v>0</v>
      </c>
    </row>
    <row r="14" spans="1:24" ht="15" customHeight="1" outlineLevel="1">
      <c r="B14" s="734"/>
      <c r="C14" s="734"/>
      <c r="D14" s="201" t="s">
        <v>1056</v>
      </c>
      <c r="E14" s="523">
        <v>0</v>
      </c>
      <c r="F14" s="523">
        <f>31.99+22.99</f>
        <v>54.98</v>
      </c>
      <c r="G14">
        <f>22.99+31.99</f>
        <v>54.98</v>
      </c>
      <c r="H14" s="305"/>
      <c r="J14" s="305"/>
      <c r="L14" s="305"/>
      <c r="N14" s="305"/>
      <c r="O14" s="274">
        <f t="shared" si="1"/>
        <v>0</v>
      </c>
      <c r="P14" s="274" t="str">
        <f t="shared" si="0"/>
        <v>Pet Health / Insurance</v>
      </c>
      <c r="Q14" s="282">
        <f t="shared" si="2"/>
        <v>0</v>
      </c>
      <c r="U14" s="11"/>
    </row>
    <row r="15" spans="1:24" ht="15" customHeight="1" outlineLevel="1">
      <c r="B15" s="734"/>
      <c r="C15" s="734"/>
      <c r="D15" s="201" t="s">
        <v>1057</v>
      </c>
      <c r="E15" s="523">
        <v>0</v>
      </c>
      <c r="F15" s="523">
        <v>0</v>
      </c>
      <c r="H15" s="305"/>
      <c r="J15" s="305"/>
      <c r="L15" s="305"/>
      <c r="N15" s="305"/>
      <c r="O15" s="274">
        <f t="shared" si="1"/>
        <v>0</v>
      </c>
      <c r="P15" s="274" t="str">
        <f t="shared" si="0"/>
        <v>Life / Income Insurance</v>
      </c>
      <c r="Q15" s="282">
        <f t="shared" si="2"/>
        <v>0</v>
      </c>
    </row>
    <row r="16" spans="1:24" ht="15" customHeight="1" outlineLevel="1">
      <c r="B16" s="734"/>
      <c r="C16" s="734"/>
      <c r="D16" s="201" t="s">
        <v>602</v>
      </c>
      <c r="E16" s="523">
        <v>0</v>
      </c>
      <c r="F16" s="523">
        <v>37</v>
      </c>
      <c r="G16">
        <v>37</v>
      </c>
      <c r="H16" s="305"/>
      <c r="J16" s="305"/>
      <c r="L16" s="305"/>
      <c r="N16" s="305"/>
      <c r="O16" s="274">
        <f t="shared" si="1"/>
        <v>0</v>
      </c>
      <c r="P16" s="274" t="str">
        <f t="shared" si="0"/>
        <v>Broadband / TV</v>
      </c>
      <c r="Q16" s="282">
        <f t="shared" si="2"/>
        <v>0</v>
      </c>
    </row>
    <row r="17" spans="2:19" ht="15" customHeight="1" outlineLevel="1">
      <c r="B17" s="734"/>
      <c r="C17" s="734"/>
      <c r="D17" s="201" t="s">
        <v>788</v>
      </c>
      <c r="E17" s="523">
        <v>0</v>
      </c>
      <c r="F17" s="523">
        <v>29.1</v>
      </c>
      <c r="G17">
        <v>29.1</v>
      </c>
      <c r="H17" s="305"/>
      <c r="J17" s="305"/>
      <c r="L17" s="305"/>
      <c r="N17" s="305"/>
      <c r="O17" s="274">
        <f t="shared" si="1"/>
        <v>0</v>
      </c>
      <c r="P17" s="274" t="str">
        <f t="shared" si="0"/>
        <v>Matt Phone</v>
      </c>
      <c r="Q17" s="282">
        <f t="shared" si="2"/>
        <v>0</v>
      </c>
    </row>
    <row r="18" spans="2:19" ht="15" customHeight="1" outlineLevel="1">
      <c r="B18" s="734"/>
      <c r="C18" s="734"/>
      <c r="D18" s="201" t="s">
        <v>690</v>
      </c>
      <c r="E18" s="523">
        <v>0</v>
      </c>
      <c r="F18" s="523">
        <f>14.43+46.29+487.35+16.62+0.44</f>
        <v>565.13000000000011</v>
      </c>
      <c r="G18">
        <f>46.29+14.43+17.06+487.35</f>
        <v>565.13</v>
      </c>
      <c r="H18" s="305"/>
      <c r="J18" s="305"/>
      <c r="L18" s="305"/>
      <c r="N18" s="305"/>
      <c r="O18" s="274">
        <f t="shared" si="1"/>
        <v>0</v>
      </c>
      <c r="P18" s="274" t="str">
        <f t="shared" si="0"/>
        <v>Cars</v>
      </c>
      <c r="Q18" s="282">
        <f t="shared" si="2"/>
        <v>0</v>
      </c>
    </row>
    <row r="19" spans="2:19" ht="15" customHeight="1" outlineLevel="1">
      <c r="B19" s="734"/>
      <c r="C19" s="734"/>
      <c r="D19" s="201" t="s">
        <v>944</v>
      </c>
      <c r="E19" s="523">
        <v>0</v>
      </c>
      <c r="F19" s="523">
        <v>15</v>
      </c>
      <c r="G19">
        <f>15+15</f>
        <v>30</v>
      </c>
      <c r="H19" s="305"/>
      <c r="J19" s="305"/>
      <c r="L19" s="305"/>
      <c r="N19" s="305"/>
      <c r="O19" s="274">
        <f t="shared" si="1"/>
        <v>-15</v>
      </c>
      <c r="P19" s="274" t="str">
        <f t="shared" si="0"/>
        <v>Windows</v>
      </c>
      <c r="Q19" s="282">
        <f t="shared" si="2"/>
        <v>15</v>
      </c>
      <c r="R19" s="243"/>
    </row>
    <row r="20" spans="2:19" ht="15" customHeight="1" outlineLevel="1">
      <c r="B20" s="7"/>
      <c r="C20" s="7"/>
      <c r="D20" s="201" t="s">
        <v>920</v>
      </c>
      <c r="E20" s="523">
        <v>0</v>
      </c>
      <c r="F20" s="523">
        <f>48.22+(170-118.88)</f>
        <v>99.34</v>
      </c>
      <c r="G20">
        <f>48.22+51.12</f>
        <v>99.34</v>
      </c>
      <c r="H20" s="305"/>
      <c r="J20" s="305"/>
      <c r="L20" s="305"/>
      <c r="N20" s="305"/>
      <c r="O20" s="274">
        <f t="shared" si="1"/>
        <v>0</v>
      </c>
      <c r="P20" s="274" t="str">
        <f t="shared" si="0"/>
        <v>Finance</v>
      </c>
      <c r="Q20" s="282"/>
      <c r="R20" s="243"/>
    </row>
    <row r="21" spans="2:19" ht="15" customHeight="1" outlineLevel="1">
      <c r="B21" s="7"/>
      <c r="C21" s="7"/>
      <c r="D21" s="201" t="s">
        <v>1297</v>
      </c>
      <c r="E21" s="523">
        <v>0</v>
      </c>
      <c r="F21" s="523">
        <v>0</v>
      </c>
      <c r="H21" s="305"/>
      <c r="J21" s="305"/>
      <c r="L21" s="305"/>
      <c r="N21" s="305"/>
      <c r="O21" s="274">
        <f t="shared" si="1"/>
        <v>0</v>
      </c>
      <c r="P21" s="274" t="str">
        <f t="shared" si="0"/>
        <v>Skin</v>
      </c>
      <c r="Q21" s="282"/>
      <c r="R21" s="243"/>
      <c r="S21" s="11"/>
    </row>
    <row r="22" spans="2:19" ht="15" customHeight="1" outlineLevel="1">
      <c r="B22" s="7"/>
      <c r="C22" s="7"/>
      <c r="D22" s="201" t="s">
        <v>2909</v>
      </c>
      <c r="E22" s="523">
        <v>0</v>
      </c>
      <c r="F22" s="523">
        <v>45.79</v>
      </c>
      <c r="G22">
        <v>45.79</v>
      </c>
      <c r="H22" s="305"/>
      <c r="J22" s="305"/>
      <c r="L22" s="305"/>
      <c r="N22" s="305"/>
      <c r="O22" s="274">
        <f t="shared" si="1"/>
        <v>0</v>
      </c>
      <c r="P22" s="274" t="str">
        <f t="shared" si="0"/>
        <v>Kris Phone</v>
      </c>
      <c r="Q22" s="282"/>
      <c r="R22" s="243"/>
      <c r="S22" s="11"/>
    </row>
    <row r="23" spans="2:19" ht="15" customHeight="1" outlineLevel="1">
      <c r="B23" s="7"/>
      <c r="C23" s="7"/>
      <c r="D23" s="201" t="s">
        <v>604</v>
      </c>
      <c r="E23" s="523">
        <v>0</v>
      </c>
      <c r="F23" s="523">
        <f>18</f>
        <v>18</v>
      </c>
      <c r="H23" s="305"/>
      <c r="J23" s="305">
        <v>18</v>
      </c>
      <c r="L23" s="305"/>
      <c r="N23" s="305"/>
      <c r="O23" s="274">
        <f t="shared" si="1"/>
        <v>0</v>
      </c>
      <c r="P23" s="274" t="str">
        <f t="shared" si="0"/>
        <v>Health</v>
      </c>
      <c r="Q23" s="282"/>
      <c r="R23" s="243"/>
      <c r="S23" s="11"/>
    </row>
    <row r="24" spans="2:19" ht="15" customHeight="1" outlineLevel="1">
      <c r="B24" s="7"/>
      <c r="C24" s="7"/>
      <c r="D24" s="201" t="s">
        <v>590</v>
      </c>
      <c r="E24" s="523">
        <v>0</v>
      </c>
      <c r="F24" s="523">
        <f>50-0.03</f>
        <v>49.97</v>
      </c>
      <c r="H24" s="305">
        <f>30</f>
        <v>30</v>
      </c>
      <c r="J24" s="305">
        <f>5.97+14</f>
        <v>19.97</v>
      </c>
      <c r="L24" s="305"/>
      <c r="N24" s="305"/>
      <c r="O24" s="274">
        <f t="shared" si="1"/>
        <v>0</v>
      </c>
      <c r="P24" s="274" t="str">
        <f t="shared" si="0"/>
        <v>Contingency</v>
      </c>
      <c r="Q24" s="282"/>
      <c r="R24" s="243"/>
      <c r="S24" s="11"/>
    </row>
    <row r="25" spans="2:19" ht="15" customHeight="1" outlineLevel="1">
      <c r="B25" s="7"/>
      <c r="C25" s="7"/>
      <c r="D25" s="201" t="s">
        <v>781</v>
      </c>
      <c r="E25" s="523">
        <v>0</v>
      </c>
      <c r="F25" s="523">
        <f>10.49+18+4.99+0.99+12+20+1.95+13.95-0.7</f>
        <v>81.67</v>
      </c>
      <c r="G25" s="11">
        <f>13.4+18+1.79+12+10.49+5.99+13.4</f>
        <v>75.070000000000007</v>
      </c>
      <c r="H25" s="305"/>
      <c r="J25" s="305">
        <v>20</v>
      </c>
      <c r="L25" s="305"/>
      <c r="N25" s="305"/>
      <c r="O25" s="274">
        <f t="shared" si="1"/>
        <v>-13.400000000000006</v>
      </c>
      <c r="P25" s="274" t="str">
        <f t="shared" si="0"/>
        <v>Subscriptions</v>
      </c>
      <c r="Q25" s="282">
        <f t="shared" si="2"/>
        <v>13.400000000000006</v>
      </c>
      <c r="R25" s="243"/>
    </row>
    <row r="26" spans="2:19" ht="15" customHeight="1">
      <c r="B26" s="118"/>
      <c r="C26" s="118"/>
      <c r="D26" s="188"/>
      <c r="H26" s="305"/>
      <c r="J26" s="305"/>
      <c r="L26" s="305"/>
      <c r="N26" s="305"/>
      <c r="O26" s="273"/>
      <c r="P26" s="273"/>
      <c r="Q26" s="282"/>
    </row>
    <row r="27" spans="2:19" ht="15" customHeight="1">
      <c r="B27" s="736" t="str">
        <f>_xlfn.CONCAT("Savings - 20 - ",G49*0.2," / Actual = ",D28," (",ROUND((D28/G49)*100,2),")")</f>
        <v>Savings - 20 - 1534.702 / Actual = 3597.68 (46.88)</v>
      </c>
      <c r="C27" s="736"/>
      <c r="D27" s="736"/>
      <c r="E27" s="736"/>
      <c r="F27" s="320"/>
      <c r="H27" s="305"/>
      <c r="J27" s="305"/>
      <c r="L27" s="305"/>
      <c r="N27" s="305"/>
      <c r="O27" s="274"/>
      <c r="P27" s="274"/>
      <c r="Q27" s="282"/>
    </row>
    <row r="28" spans="2:19" ht="15" customHeight="1">
      <c r="B28" s="727" t="str">
        <f>IF(ISNUMBER((SEARCH("Over",C$5))),"Operating under budget","Operating over budget")</f>
        <v>Operating over budget</v>
      </c>
      <c r="C28" s="727"/>
      <c r="D28" s="759">
        <f>F29</f>
        <v>3597.68</v>
      </c>
      <c r="E28" s="759"/>
      <c r="F28" s="319"/>
      <c r="H28" s="305"/>
      <c r="J28" s="305"/>
      <c r="L28" s="305"/>
      <c r="N28" s="305"/>
      <c r="O28" s="285">
        <f>O29</f>
        <v>27.610000000000127</v>
      </c>
      <c r="P28" s="285" t="s">
        <v>895</v>
      </c>
      <c r="Q28" s="282">
        <f>SUM(Q29:Q29)</f>
        <v>0</v>
      </c>
      <c r="S28" s="243"/>
    </row>
    <row r="29" spans="2:19" ht="15" customHeight="1" outlineLevel="1">
      <c r="B29" s="7" t="str">
        <f>"20% : " &amp; E$49*0.2</f>
        <v>20% : 1534.702</v>
      </c>
      <c r="C29" s="7" t="str">
        <f>"20% : " &amp; E$49*0.2</f>
        <v>20% : 1534.702</v>
      </c>
      <c r="D29" s="300" t="s">
        <v>183</v>
      </c>
      <c r="E29" s="523">
        <v>0</v>
      </c>
      <c r="F29" s="523">
        <f>SUM(F30:F40)</f>
        <v>3597.68</v>
      </c>
      <c r="G29" s="243"/>
      <c r="H29" s="305"/>
      <c r="J29" s="305"/>
      <c r="L29" s="305"/>
      <c r="N29" s="305"/>
      <c r="O29" s="274">
        <f>SUM(O30:O40)</f>
        <v>27.610000000000127</v>
      </c>
      <c r="P29" s="274" t="str">
        <f t="shared" ref="P29:P40" si="3">D29</f>
        <v>Savings</v>
      </c>
      <c r="Q29" s="282">
        <v>0</v>
      </c>
      <c r="R29" s="495"/>
      <c r="S29" s="243"/>
    </row>
    <row r="30" spans="2:19" ht="15" customHeight="1" outlineLevel="1">
      <c r="B30" s="7"/>
      <c r="C30" s="7"/>
      <c r="D30" s="300" t="s">
        <v>690</v>
      </c>
      <c r="E30" s="523">
        <v>0</v>
      </c>
      <c r="F30" s="523">
        <v>92.14</v>
      </c>
      <c r="H30" s="305">
        <v>54</v>
      </c>
      <c r="J30" s="305">
        <v>761.82</v>
      </c>
      <c r="L30" s="305"/>
      <c r="N30" s="315"/>
      <c r="O30" s="274">
        <f>SUM(E30:F30)-SUM(G30:N30)</f>
        <v>-723.68000000000006</v>
      </c>
      <c r="P30" s="274" t="str">
        <f t="shared" si="3"/>
        <v>Cars</v>
      </c>
      <c r="Q30" s="282"/>
      <c r="R30" s="243"/>
      <c r="S30" s="243"/>
    </row>
    <row r="31" spans="2:19" ht="15" customHeight="1" outlineLevel="1">
      <c r="B31" s="7"/>
      <c r="C31" s="7"/>
      <c r="D31" s="300" t="s">
        <v>590</v>
      </c>
      <c r="E31" s="523">
        <v>0</v>
      </c>
      <c r="F31" s="523">
        <v>0</v>
      </c>
      <c r="G31">
        <f>107+70</f>
        <v>177</v>
      </c>
      <c r="H31" s="305">
        <f>107.99</f>
        <v>107.99</v>
      </c>
      <c r="J31" s="305"/>
      <c r="L31" s="305"/>
      <c r="N31" s="315"/>
      <c r="O31" s="274">
        <f>SUM(E31:F31)-SUM(G31:N31)-Q49</f>
        <v>-313.39</v>
      </c>
      <c r="P31" s="274" t="str">
        <f t="shared" si="3"/>
        <v>Contingency</v>
      </c>
      <c r="Q31" s="282"/>
    </row>
    <row r="32" spans="2:19" ht="15" customHeight="1" outlineLevel="1">
      <c r="B32" s="7"/>
      <c r="C32" s="7"/>
      <c r="D32" s="300" t="s">
        <v>604</v>
      </c>
      <c r="E32" s="523">
        <v>0</v>
      </c>
      <c r="F32" s="523">
        <v>25</v>
      </c>
      <c r="H32" s="305">
        <f>30+134.5+134.5</f>
        <v>299</v>
      </c>
      <c r="J32" s="305">
        <v>59.5</v>
      </c>
      <c r="L32" s="305"/>
      <c r="N32" s="315"/>
      <c r="O32" s="274">
        <f>SUM(E32:F32)-SUM(G32:N32)-Q50</f>
        <v>-333.5</v>
      </c>
      <c r="P32" s="274" t="str">
        <f t="shared" si="3"/>
        <v>Health</v>
      </c>
      <c r="Q32" s="282"/>
    </row>
    <row r="33" spans="2:19" ht="15" customHeight="1" outlineLevel="1">
      <c r="B33" s="7"/>
      <c r="C33" s="7"/>
      <c r="D33" s="300" t="s">
        <v>1486</v>
      </c>
      <c r="E33" s="523">
        <v>0</v>
      </c>
      <c r="F33" s="523">
        <v>0</v>
      </c>
      <c r="G33">
        <v>44.87</v>
      </c>
      <c r="H33" s="305"/>
      <c r="J33" s="305"/>
      <c r="L33" s="305"/>
      <c r="N33" s="315"/>
      <c r="O33" s="274">
        <f t="shared" ref="O33:O40" si="4">SUM(E33:F33)-SUM(G33:N33)</f>
        <v>-44.87</v>
      </c>
      <c r="P33" s="274" t="str">
        <f t="shared" si="3"/>
        <v>TV</v>
      </c>
      <c r="Q33" s="282"/>
    </row>
    <row r="34" spans="2:19" ht="15" customHeight="1" outlineLevel="1">
      <c r="B34" s="7"/>
      <c r="C34" s="7"/>
      <c r="D34" s="300" t="s">
        <v>1296</v>
      </c>
      <c r="E34" s="523">
        <v>0</v>
      </c>
      <c r="F34" s="523">
        <f>600</f>
        <v>600</v>
      </c>
      <c r="H34" s="305"/>
      <c r="J34" s="305"/>
      <c r="L34" s="305"/>
      <c r="N34" s="315"/>
      <c r="O34" s="274">
        <f t="shared" si="4"/>
        <v>600</v>
      </c>
      <c r="P34" s="274" t="str">
        <f t="shared" si="3"/>
        <v>Offset</v>
      </c>
      <c r="Q34" s="282"/>
    </row>
    <row r="35" spans="2:19" ht="15" customHeight="1" outlineLevel="1">
      <c r="B35" s="7"/>
      <c r="C35" s="7"/>
      <c r="D35" s="300" t="s">
        <v>701</v>
      </c>
      <c r="E35" s="523">
        <v>0</v>
      </c>
      <c r="F35" s="523">
        <f>830-300-300</f>
        <v>230</v>
      </c>
      <c r="H35" s="305">
        <f>21+180.96+15.95</f>
        <v>217.91</v>
      </c>
      <c r="J35" s="305">
        <f>39.5</f>
        <v>39.5</v>
      </c>
      <c r="L35" s="305"/>
      <c r="N35" s="315"/>
      <c r="O35" s="274">
        <f t="shared" si="4"/>
        <v>-27.409999999999968</v>
      </c>
      <c r="P35" s="274" t="str">
        <f t="shared" si="3"/>
        <v>Gift</v>
      </c>
      <c r="Q35" s="282"/>
    </row>
    <row r="36" spans="2:19" ht="15" customHeight="1" outlineLevel="1">
      <c r="B36" s="7"/>
      <c r="C36" s="7"/>
      <c r="D36" s="300" t="s">
        <v>3265</v>
      </c>
      <c r="E36" s="523">
        <v>0</v>
      </c>
      <c r="F36" s="523">
        <v>40</v>
      </c>
      <c r="H36" s="305"/>
      <c r="J36" s="305"/>
      <c r="L36" s="305"/>
      <c r="N36" s="315"/>
      <c r="O36" s="274">
        <f t="shared" si="4"/>
        <v>40</v>
      </c>
      <c r="P36" s="274" t="str">
        <f t="shared" si="3"/>
        <v>Tentbox</v>
      </c>
      <c r="Q36" s="282"/>
    </row>
    <row r="37" spans="2:19" ht="15" customHeight="1" outlineLevel="1">
      <c r="B37" s="7"/>
      <c r="C37" s="7"/>
      <c r="D37" s="300" t="s">
        <v>3273</v>
      </c>
      <c r="E37" s="523">
        <v>0</v>
      </c>
      <c r="F37" s="523">
        <v>150</v>
      </c>
      <c r="H37" s="305">
        <v>90</v>
      </c>
      <c r="J37" s="305"/>
      <c r="L37" s="305"/>
      <c r="N37" s="315"/>
      <c r="O37" s="274">
        <f t="shared" si="4"/>
        <v>60</v>
      </c>
      <c r="P37" s="274" t="str">
        <f t="shared" si="3"/>
        <v>Scotland 2026</v>
      </c>
      <c r="Q37" s="282"/>
    </row>
    <row r="38" spans="2:19" ht="15" customHeight="1" outlineLevel="1">
      <c r="B38" s="7"/>
      <c r="C38" s="7"/>
      <c r="D38" s="300" t="s">
        <v>3274</v>
      </c>
      <c r="E38" s="523">
        <v>0</v>
      </c>
      <c r="F38" s="523">
        <v>1673.42</v>
      </c>
      <c r="H38" s="305"/>
      <c r="J38" s="305"/>
      <c r="L38" s="305"/>
      <c r="N38" s="315"/>
      <c r="O38" s="274">
        <f t="shared" si="4"/>
        <v>1673.42</v>
      </c>
      <c r="P38" s="274" t="str">
        <f t="shared" si="3"/>
        <v>Travel Insurance</v>
      </c>
      <c r="Q38" s="282"/>
    </row>
    <row r="39" spans="2:19" ht="15" customHeight="1" outlineLevel="1">
      <c r="B39" s="7"/>
      <c r="C39" s="7"/>
      <c r="D39" s="300" t="s">
        <v>3265</v>
      </c>
      <c r="E39" s="523">
        <v>0</v>
      </c>
      <c r="F39">
        <f>87.88+787.12</f>
        <v>875</v>
      </c>
      <c r="H39" s="305">
        <f>1295+12.59+(300.5-54)+99+36.99</f>
        <v>1690.08</v>
      </c>
      <c r="J39" s="305"/>
      <c r="L39" s="305"/>
      <c r="N39" s="315"/>
      <c r="O39" s="274">
        <f t="shared" si="4"/>
        <v>-815.07999999999993</v>
      </c>
      <c r="P39" s="274" t="str">
        <f t="shared" si="3"/>
        <v>Tentbox</v>
      </c>
      <c r="Q39" s="282"/>
    </row>
    <row r="40" spans="2:19" ht="15" customHeight="1" outlineLevel="1">
      <c r="B40" s="7"/>
      <c r="C40" s="7"/>
      <c r="D40" s="300" t="s">
        <v>1391</v>
      </c>
      <c r="E40" s="523">
        <v>0</v>
      </c>
      <c r="F40" s="523">
        <v>-87.88</v>
      </c>
      <c r="H40" s="305"/>
      <c r="J40" s="305"/>
      <c r="L40" s="305"/>
      <c r="N40" s="315"/>
      <c r="O40" s="274">
        <f t="shared" si="4"/>
        <v>-87.88</v>
      </c>
      <c r="P40" s="274" t="str">
        <f t="shared" si="3"/>
        <v>Avios</v>
      </c>
      <c r="Q40" s="282"/>
    </row>
    <row r="41" spans="2:19" ht="15" customHeight="1">
      <c r="B41" s="118"/>
      <c r="C41" s="118"/>
      <c r="H41" s="305"/>
      <c r="J41" s="305"/>
      <c r="L41" s="305"/>
      <c r="N41" s="305"/>
      <c r="O41" s="273"/>
      <c r="P41" s="273"/>
      <c r="Q41" s="282"/>
      <c r="R41" s="243"/>
    </row>
    <row r="42" spans="2:19" ht="15" customHeight="1">
      <c r="B42" s="727" t="str">
        <f>_xlfn.CONCAT("Wants - 30 - ",G49*0.3," / Actual = ",D43," (",ROUND((D43/G49)*100,2),")")</f>
        <v>Wants - 30 - 2302.053 / Actual = 1126.42 (14.68)</v>
      </c>
      <c r="C42" s="727"/>
      <c r="D42" s="727"/>
      <c r="E42" s="727"/>
      <c r="F42" s="318"/>
      <c r="H42" s="305"/>
      <c r="J42" s="305"/>
      <c r="L42" s="305"/>
      <c r="N42" s="305"/>
      <c r="O42" s="273"/>
      <c r="P42" s="273"/>
      <c r="Q42" s="282"/>
    </row>
    <row r="43" spans="2:19" ht="15" customHeight="1">
      <c r="B43" s="727" t="str">
        <f>IF(ISNUMBER((SEARCH("Over",B$5))),"Operating under budget","Operating over budget")</f>
        <v>Operating over budget</v>
      </c>
      <c r="C43" s="727"/>
      <c r="D43" s="759">
        <f>(E$49-D5-D28-E48)</f>
        <v>1126.4200000000005</v>
      </c>
      <c r="E43" s="727"/>
      <c r="F43" s="319"/>
      <c r="H43" s="305"/>
      <c r="J43" s="305"/>
      <c r="L43" s="305"/>
      <c r="N43" s="305"/>
      <c r="O43" s="285">
        <f>0</f>
        <v>0</v>
      </c>
      <c r="P43" s="285" t="s">
        <v>899</v>
      </c>
      <c r="Q43" s="282">
        <f>SUM(Q44:Q44)</f>
        <v>0</v>
      </c>
      <c r="S43" s="11"/>
    </row>
    <row r="44" spans="2:19" ht="18" outlineLevel="1">
      <c r="B44" s="7"/>
      <c r="C44" s="284"/>
      <c r="D44" s="13" t="s">
        <v>922</v>
      </c>
      <c r="E44" s="523">
        <v>0</v>
      </c>
      <c r="F44" s="523">
        <f>D43-F47-F45-F46</f>
        <v>253.15000000000055</v>
      </c>
      <c r="G44" s="11">
        <f>1.2+5.25</f>
        <v>6.45</v>
      </c>
      <c r="H44" s="305">
        <f>18.35+15.19+4.2+3.25+10.99+7.95+51.03+0.06+5.95+14.99+2.77-15.19+12.56+12+6.4+3.45+1.2+2.99</f>
        <v>158.14000000000001</v>
      </c>
      <c r="J44" s="305">
        <f>3+3.98+27.5+15.35+3+4.25</f>
        <v>57.080000000000005</v>
      </c>
      <c r="L44" s="305"/>
      <c r="N44" s="305"/>
      <c r="O44" s="274">
        <f>SUM(E44:F44)-SUM(G44:N44)</f>
        <v>31.48000000000053</v>
      </c>
      <c r="P44" s="274" t="str">
        <f t="shared" ref="P44:P47" si="5">D44</f>
        <v>Matt Fun</v>
      </c>
      <c r="Q44" s="271">
        <f>IF(F44-SUM(G44:N44)&lt;=0,(F44-SUM(G44:N44))*-1,0)</f>
        <v>0</v>
      </c>
      <c r="S44" s="11"/>
    </row>
    <row r="45" spans="2:19" ht="18" outlineLevel="1">
      <c r="B45" s="7"/>
      <c r="C45" s="284"/>
      <c r="D45" s="13" t="s">
        <v>814</v>
      </c>
      <c r="E45" s="523">
        <f>1593.02+3007.52</f>
        <v>4600.54</v>
      </c>
      <c r="F45" s="523">
        <f>64+316.33+50+118.88</f>
        <v>549.21</v>
      </c>
      <c r="G45" s="11">
        <f>4874.27+275.48</f>
        <v>5149.75</v>
      </c>
      <c r="H45" s="305">
        <v>-186</v>
      </c>
      <c r="J45" s="305"/>
      <c r="L45" s="305"/>
      <c r="N45" s="305"/>
      <c r="O45" s="274">
        <f>SUM(E45:F45)-SUM(G45:N45)</f>
        <v>186</v>
      </c>
      <c r="P45" s="274" t="str">
        <f t="shared" si="5"/>
        <v>CC</v>
      </c>
      <c r="Q45" s="282"/>
      <c r="S45" s="11"/>
    </row>
    <row r="46" spans="2:19" ht="18" outlineLevel="1">
      <c r="B46" s="7"/>
      <c r="C46" s="284"/>
      <c r="D46" s="13" t="s">
        <v>3088</v>
      </c>
      <c r="E46" s="523">
        <v>0</v>
      </c>
      <c r="F46" s="660">
        <v>0</v>
      </c>
      <c r="G46" s="11"/>
      <c r="H46" s="305"/>
      <c r="J46" s="305"/>
      <c r="L46" s="305"/>
      <c r="N46" s="305"/>
      <c r="O46" s="274">
        <f>SUM(E46:F46)-SUM(G46:N46)</f>
        <v>0</v>
      </c>
      <c r="P46" s="274" t="str">
        <f t="shared" si="5"/>
        <v>Rollover Strategy</v>
      </c>
      <c r="Q46" s="282"/>
      <c r="S46" s="11"/>
    </row>
    <row r="47" spans="2:19" ht="18" outlineLevel="1">
      <c r="B47" s="7"/>
      <c r="C47" s="284"/>
      <c r="D47" s="13" t="s">
        <v>152</v>
      </c>
      <c r="E47" s="523">
        <v>0</v>
      </c>
      <c r="F47" s="523">
        <f>18.5+8+49+50+2.99+16+58+15+34+72.57</f>
        <v>324.06</v>
      </c>
      <c r="G47" s="11"/>
      <c r="H47" s="305">
        <f>18.5+7.99+16.99+12.99+58.08+14.96+6.1+5.48+10.59+5.48+9.49+2.29+4.73+3.6+34.26+3.2+2.6+4.73</f>
        <v>222.05999999999995</v>
      </c>
      <c r="J47" s="305">
        <f>53+49</f>
        <v>102</v>
      </c>
      <c r="L47" s="305"/>
      <c r="N47" s="305"/>
      <c r="O47" s="274">
        <f>SUM(E47:F47)-SUM(G47:N47)</f>
        <v>0</v>
      </c>
      <c r="P47" s="274" t="str">
        <f t="shared" si="5"/>
        <v>Kris</v>
      </c>
      <c r="Q47" s="271">
        <f>IF(F47-SUM(G47:N47)&lt;=0,(F47-SUM(G47:N47))*-1,0)</f>
        <v>0</v>
      </c>
    </row>
    <row r="48" spans="2:19">
      <c r="B48" s="118"/>
      <c r="C48" s="118"/>
      <c r="E48" s="523">
        <f>E29</f>
        <v>0</v>
      </c>
      <c r="G48" s="349"/>
      <c r="J48" s="7"/>
      <c r="L48" s="7"/>
      <c r="N48" s="7"/>
      <c r="O48" s="273"/>
      <c r="P48" s="273"/>
      <c r="Q48" s="282"/>
    </row>
    <row r="49" spans="2:18" ht="18">
      <c r="B49" s="728" t="s">
        <v>817</v>
      </c>
      <c r="C49" s="728"/>
      <c r="D49" s="728"/>
      <c r="E49" s="529">
        <f>G49+I49+K49+M49+N49+E48</f>
        <v>7673.51</v>
      </c>
      <c r="F49" s="530"/>
      <c r="G49" s="271">
        <f>3579.86+20+(910+140+20+50)-0.39+40+18.5+8+50+150+49+1673.42+16+58+15+787.12+34+25+30</f>
        <v>7673.51</v>
      </c>
      <c r="H49" s="282"/>
      <c r="I49" s="271"/>
      <c r="J49" s="271"/>
      <c r="K49" s="271"/>
      <c r="L49" s="271"/>
      <c r="M49" s="271"/>
      <c r="N49" s="271"/>
      <c r="O49" s="314">
        <f>ROUND(O5+O43+O28+IF(O44&lt;0,0,O44)+O47+O4+O45+O46,2)</f>
        <v>4724.58</v>
      </c>
      <c r="P49" s="274"/>
      <c r="Q49" s="282">
        <f>SUM(Q43,Q28,Q5)</f>
        <v>28.400000000000006</v>
      </c>
    </row>
    <row r="50" spans="2:18" ht="18">
      <c r="B50" s="118"/>
      <c r="C50" s="7"/>
      <c r="D50" s="13" t="s">
        <v>1451</v>
      </c>
      <c r="G50" s="523"/>
      <c r="H50" s="243"/>
      <c r="L50" s="243"/>
      <c r="O50" s="610">
        <f>O49-SUM(O4:O5)-O46-O44-O28-O45+O47</f>
        <v>-5.1159076974727213E-13</v>
      </c>
      <c r="P50" s="7" t="str">
        <f>IF(O50&lt;0, "DEFICIT", "")</f>
        <v>DEFICIT</v>
      </c>
    </row>
    <row r="51" spans="2:18" ht="14.4">
      <c r="B51" s="729"/>
      <c r="C51" s="729"/>
      <c r="D51" s="729"/>
      <c r="E51" s="729"/>
      <c r="F51" s="729"/>
      <c r="G51" s="729"/>
      <c r="H51" s="297"/>
      <c r="K51" s="729"/>
      <c r="L51" s="729"/>
      <c r="M51" s="729"/>
      <c r="N51" s="729"/>
      <c r="O51" s="729"/>
      <c r="P51" s="297"/>
    </row>
    <row r="52" spans="2:18" ht="15" customHeight="1">
      <c r="B52" s="726" t="s">
        <v>955</v>
      </c>
      <c r="C52" s="726"/>
      <c r="F52" s="348"/>
      <c r="H52" s="243"/>
      <c r="K52" s="212"/>
      <c r="L52" s="212"/>
      <c r="M52" s="243"/>
      <c r="N52" s="476" t="s">
        <v>3283</v>
      </c>
      <c r="O52" s="316">
        <v>46075</v>
      </c>
      <c r="P52" s="7">
        <f ca="1">DATEDIF(O52,NOW(),"d")</f>
        <v>176</v>
      </c>
      <c r="Q52">
        <v>5</v>
      </c>
      <c r="R52" t="s">
        <v>3275</v>
      </c>
    </row>
    <row r="53" spans="2:18">
      <c r="B53" s="523"/>
      <c r="C53" s="38"/>
      <c r="D53" s="726"/>
      <c r="E53" s="726"/>
      <c r="F53" s="659"/>
      <c r="H53" s="369"/>
      <c r="I53" s="243"/>
      <c r="L53" s="349"/>
      <c r="N53" s="637" t="s">
        <v>3279</v>
      </c>
      <c r="O53" s="638">
        <v>46075</v>
      </c>
      <c r="P53" s="639">
        <f ca="1">DATEDIF(O53,NOW(),"d")</f>
        <v>176</v>
      </c>
      <c r="Q53" s="514">
        <v>2.6</v>
      </c>
      <c r="R53" s="514" t="s">
        <v>3278</v>
      </c>
    </row>
    <row r="54" spans="2:18" ht="16.2" customHeight="1">
      <c r="E54" s="243"/>
      <c r="F54" s="659"/>
      <c r="H54" s="243"/>
      <c r="I54" s="243"/>
      <c r="L54" s="243"/>
      <c r="M54" s="243"/>
      <c r="N54" s="358" t="s">
        <v>3280</v>
      </c>
      <c r="O54" s="638">
        <v>46075</v>
      </c>
      <c r="P54" s="639">
        <f ca="1">DATEDIF(O54,NOW(),"d")</f>
        <v>176</v>
      </c>
      <c r="Q54">
        <v>21</v>
      </c>
      <c r="R54" t="s">
        <v>1441</v>
      </c>
    </row>
    <row r="55" spans="2:18">
      <c r="B55" s="532"/>
      <c r="E55"/>
      <c r="F55" s="659"/>
      <c r="H55" s="55"/>
      <c r="I55" s="243"/>
      <c r="L55" s="243"/>
      <c r="M55" s="243"/>
      <c r="N55" s="243"/>
      <c r="P55"/>
    </row>
    <row r="56" spans="2:18">
      <c r="D56" s="243"/>
      <c r="E56"/>
      <c r="F56" s="659"/>
      <c r="H56" s="55"/>
      <c r="I56" s="734"/>
      <c r="J56" s="243"/>
      <c r="K56" s="243"/>
      <c r="L56" s="349"/>
      <c r="M56" s="243"/>
      <c r="N56" s="243"/>
      <c r="P56"/>
      <c r="Q56" s="243"/>
    </row>
    <row r="57" spans="2:18">
      <c r="E57" s="243"/>
      <c r="H57" s="55"/>
      <c r="I57" s="734"/>
      <c r="J57" s="243"/>
      <c r="L57" s="243"/>
      <c r="M57" s="656"/>
      <c r="N57" s="243"/>
      <c r="P57" s="292"/>
      <c r="Q57" s="212"/>
    </row>
    <row r="58" spans="2:18" ht="15" customHeight="1">
      <c r="E58" s="243"/>
      <c r="F58" s="669"/>
      <c r="H58" s="55"/>
      <c r="I58" s="243"/>
      <c r="J58" s="243"/>
      <c r="K58" s="243"/>
      <c r="M58" s="243"/>
      <c r="N58" s="243"/>
      <c r="O58" s="661"/>
      <c r="P58" s="56"/>
      <c r="Q58" s="38"/>
    </row>
    <row r="59" spans="2:18" ht="15.45" customHeight="1">
      <c r="D59" s="243"/>
      <c r="E59"/>
      <c r="F59" s="533"/>
      <c r="G59" s="369"/>
      <c r="J59" s="243"/>
      <c r="K59" s="243"/>
      <c r="L59" s="390"/>
      <c r="M59" s="390"/>
      <c r="N59" s="390"/>
      <c r="P59"/>
    </row>
    <row r="60" spans="2:18" ht="15" customHeight="1">
      <c r="D60" s="726"/>
      <c r="E60" s="726"/>
      <c r="F60" s="660"/>
      <c r="H60" s="55"/>
      <c r="J60" s="243"/>
      <c r="K60" s="243"/>
      <c r="M60" s="243"/>
    </row>
    <row r="61" spans="2:18" ht="16.2" customHeight="1">
      <c r="E61"/>
      <c r="F61" s="660"/>
      <c r="H61" s="243"/>
      <c r="I61" s="243"/>
      <c r="J61" s="243"/>
      <c r="O61"/>
    </row>
    <row r="62" spans="2:18" ht="14.7" customHeight="1">
      <c r="B62" s="11"/>
      <c r="E62"/>
      <c r="J62" s="243"/>
      <c r="O62"/>
      <c r="P62"/>
    </row>
    <row r="63" spans="2:18">
      <c r="B63" s="11"/>
      <c r="E63" s="243"/>
      <c r="P63"/>
    </row>
    <row r="64" spans="2:18">
      <c r="B64" s="11"/>
      <c r="E64" s="243"/>
      <c r="O64"/>
      <c r="P64"/>
    </row>
    <row r="65" spans="2:16">
      <c r="M65" s="243"/>
      <c r="O65"/>
      <c r="P65"/>
    </row>
    <row r="66" spans="2:16">
      <c r="B66" s="212"/>
      <c r="C66" s="212"/>
      <c r="D66" s="726"/>
      <c r="E66" s="726"/>
      <c r="P66"/>
    </row>
    <row r="67" spans="2:16">
      <c r="C67" s="56"/>
      <c r="E67" s="666"/>
      <c r="F67" s="660"/>
      <c r="G67" s="369"/>
      <c r="L67" s="243"/>
      <c r="O67"/>
      <c r="P67"/>
    </row>
    <row r="68" spans="2:16" ht="15.75" customHeight="1">
      <c r="C68" s="56"/>
      <c r="D68" s="634"/>
      <c r="E68" s="666"/>
      <c r="F68"/>
      <c r="L68" s="243"/>
      <c r="M68" s="243"/>
      <c r="O68"/>
      <c r="P68"/>
    </row>
    <row r="69" spans="2:16">
      <c r="C69" s="56"/>
      <c r="E69" s="666"/>
      <c r="G69" s="426"/>
      <c r="M69" s="243"/>
      <c r="O69"/>
      <c r="P69"/>
    </row>
    <row r="70" spans="2:16">
      <c r="C70" s="56"/>
      <c r="E70" s="666"/>
      <c r="G70" s="426"/>
      <c r="O70"/>
      <c r="P70"/>
    </row>
    <row r="71" spans="2:16">
      <c r="C71" s="56"/>
      <c r="E71" s="666"/>
      <c r="G71" s="426"/>
      <c r="O71"/>
      <c r="P71"/>
    </row>
    <row r="72" spans="2:16">
      <c r="C72" s="56"/>
      <c r="E72" s="666"/>
      <c r="G72" s="426"/>
      <c r="O72"/>
      <c r="P72"/>
    </row>
    <row r="73" spans="2:16">
      <c r="C73" s="56"/>
      <c r="G73" s="426"/>
      <c r="N73" s="288"/>
      <c r="O73"/>
      <c r="P73"/>
    </row>
    <row r="74" spans="2:16">
      <c r="C74" s="56"/>
      <c r="G74" s="726"/>
      <c r="H74" s="726"/>
      <c r="L74" s="243"/>
      <c r="O74"/>
      <c r="P74"/>
    </row>
    <row r="75" spans="2:16">
      <c r="C75" s="56"/>
      <c r="I75" s="11"/>
      <c r="O75"/>
      <c r="P75"/>
    </row>
    <row r="76" spans="2:16">
      <c r="B76" s="212"/>
      <c r="C76" s="294"/>
      <c r="O76"/>
      <c r="P76"/>
    </row>
    <row r="77" spans="2:16" ht="15.45" customHeight="1">
      <c r="C77" s="56"/>
      <c r="F77"/>
      <c r="M77" s="243"/>
      <c r="O77"/>
      <c r="P77"/>
    </row>
    <row r="78" spans="2:16">
      <c r="C78" s="56"/>
      <c r="E78" s="625"/>
      <c r="F78" s="625"/>
      <c r="L78" s="459"/>
      <c r="M78" s="461"/>
      <c r="O78"/>
      <c r="P78"/>
    </row>
    <row r="79" spans="2:16">
      <c r="C79" s="56"/>
      <c r="D79" s="634"/>
      <c r="E79" s="533"/>
      <c r="L79" s="459"/>
      <c r="M79" s="461"/>
      <c r="O79"/>
      <c r="P79"/>
    </row>
    <row r="80" spans="2:16" ht="14.4">
      <c r="C80" s="56"/>
      <c r="E80" s="243"/>
      <c r="F80"/>
      <c r="L80" s="459"/>
      <c r="M80" s="461"/>
      <c r="O80"/>
      <c r="P80"/>
    </row>
    <row r="81" spans="3:16">
      <c r="C81" s="56"/>
      <c r="L81" s="188"/>
      <c r="M81" s="230"/>
      <c r="O81"/>
      <c r="P81"/>
    </row>
    <row r="82" spans="3:16">
      <c r="C82" s="56"/>
      <c r="L82" s="188"/>
      <c r="M82" s="230"/>
      <c r="O82"/>
      <c r="P82"/>
    </row>
    <row r="83" spans="3:16">
      <c r="C83" s="56"/>
      <c r="L83" s="188"/>
      <c r="M83" s="230"/>
      <c r="O83"/>
      <c r="P83"/>
    </row>
    <row r="84" spans="3:16">
      <c r="L84" s="188"/>
      <c r="M84" s="230"/>
      <c r="O84"/>
      <c r="P84"/>
    </row>
    <row r="85" spans="3:16">
      <c r="L85" s="532"/>
      <c r="M85" s="230"/>
      <c r="O85"/>
      <c r="P85"/>
    </row>
    <row r="86" spans="3:16">
      <c r="L86" s="405"/>
      <c r="M86" s="230"/>
      <c r="O86"/>
      <c r="P86"/>
    </row>
    <row r="93" spans="3:16">
      <c r="E93" s="533"/>
      <c r="F93" s="212"/>
    </row>
    <row r="94" spans="3:16" ht="14.4">
      <c r="E94"/>
      <c r="F94"/>
    </row>
    <row r="95" spans="3:16">
      <c r="F95" s="56"/>
    </row>
    <row r="96" spans="3:16">
      <c r="F96" s="56"/>
    </row>
    <row r="97" spans="4:16">
      <c r="F97" s="56"/>
      <c r="G97" s="407"/>
    </row>
    <row r="98" spans="4:16" ht="14.4">
      <c r="D98" s="621"/>
      <c r="E98" s="56"/>
      <c r="F98" s="56"/>
      <c r="G98" s="407"/>
    </row>
    <row r="99" spans="4:16" ht="14.4">
      <c r="E99" s="56"/>
      <c r="F99" s="56"/>
      <c r="G99" s="407"/>
    </row>
    <row r="100" spans="4:16" ht="14.4">
      <c r="E100" s="56"/>
      <c r="F100" s="56"/>
      <c r="G100" s="407"/>
    </row>
    <row r="101" spans="4:16">
      <c r="G101" s="407"/>
      <c r="H101" s="11"/>
      <c r="O101"/>
      <c r="P101"/>
    </row>
    <row r="102" spans="4:16">
      <c r="G102" s="407"/>
      <c r="O102"/>
      <c r="P102"/>
    </row>
    <row r="103" spans="4:16">
      <c r="G103" s="407"/>
      <c r="O103"/>
      <c r="P103"/>
    </row>
    <row r="104" spans="4:16">
      <c r="G104" s="407"/>
    </row>
  </sheetData>
  <mergeCells count="26">
    <mergeCell ref="G74:H74"/>
    <mergeCell ref="D53:E53"/>
    <mergeCell ref="B27:E27"/>
    <mergeCell ref="B51:G51"/>
    <mergeCell ref="D60:E60"/>
    <mergeCell ref="D66:E66"/>
    <mergeCell ref="B1:O1"/>
    <mergeCell ref="G3:H3"/>
    <mergeCell ref="I3:J3"/>
    <mergeCell ref="K3:L3"/>
    <mergeCell ref="M3:N3"/>
    <mergeCell ref="B4:E4"/>
    <mergeCell ref="B5:C5"/>
    <mergeCell ref="D5:E5"/>
    <mergeCell ref="B6:B19"/>
    <mergeCell ref="C6:C19"/>
    <mergeCell ref="E9:F9"/>
    <mergeCell ref="I56:I57"/>
    <mergeCell ref="K51:O51"/>
    <mergeCell ref="B52:C52"/>
    <mergeCell ref="B28:C28"/>
    <mergeCell ref="D28:E28"/>
    <mergeCell ref="B42:E42"/>
    <mergeCell ref="B43:C43"/>
    <mergeCell ref="D43:E43"/>
    <mergeCell ref="B49:D49"/>
  </mergeCells>
  <pageMargins left="0.7" right="0.7" top="0.75" bottom="0.75" header="0.3" footer="0.3"/>
  <pageSetup orientation="portrait" r:id="rId1"/>
  <legacyDrawing r:id="rId2"/>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2E051-6E4A-4431-AF8D-1048A3DCF349}">
  <dimension ref="A1:F8"/>
  <sheetViews>
    <sheetView workbookViewId="0">
      <selection activeCell="D11" sqref="D11"/>
    </sheetView>
  </sheetViews>
  <sheetFormatPr defaultColWidth="8.44140625" defaultRowHeight="14.4"/>
  <cols>
    <col min="1" max="1" width="19" bestFit="1" customWidth="1"/>
    <col min="2" max="2" width="11.109375" customWidth="1"/>
    <col min="3" max="3" width="12.33203125" bestFit="1" customWidth="1"/>
    <col min="4" max="4" width="12.109375" bestFit="1" customWidth="1"/>
    <col min="5" max="5" width="10.44140625" bestFit="1" customWidth="1"/>
  </cols>
  <sheetData>
    <row r="1" spans="1:6">
      <c r="A1" t="s">
        <v>3212</v>
      </c>
      <c r="B1" t="s">
        <v>3215</v>
      </c>
      <c r="C1" t="s">
        <v>3213</v>
      </c>
      <c r="D1" t="s">
        <v>3214</v>
      </c>
      <c r="E1" t="s">
        <v>15</v>
      </c>
      <c r="F1" t="s">
        <v>1855</v>
      </c>
    </row>
    <row r="2" spans="1:6">
      <c r="A2" t="s">
        <v>3218</v>
      </c>
      <c r="B2" t="s">
        <v>3217</v>
      </c>
      <c r="D2">
        <f>100*2</f>
        <v>200</v>
      </c>
      <c r="E2" s="42">
        <v>46023</v>
      </c>
      <c r="F2">
        <v>0</v>
      </c>
    </row>
    <row r="3" spans="1:6">
      <c r="A3" t="s">
        <v>3216</v>
      </c>
      <c r="B3" t="s">
        <v>3217</v>
      </c>
      <c r="D3">
        <f>100*2</f>
        <v>200</v>
      </c>
      <c r="E3" s="42">
        <v>46054</v>
      </c>
      <c r="F3">
        <v>0</v>
      </c>
    </row>
    <row r="4" spans="1:6">
      <c r="A4" t="s">
        <v>3219</v>
      </c>
      <c r="B4" t="s">
        <v>3217</v>
      </c>
      <c r="D4">
        <f>240*2</f>
        <v>480</v>
      </c>
      <c r="E4" s="42">
        <v>46054</v>
      </c>
      <c r="F4">
        <f>12.5*2</f>
        <v>25</v>
      </c>
    </row>
    <row r="5" spans="1:6">
      <c r="A5" t="s">
        <v>3220</v>
      </c>
      <c r="B5" t="s">
        <v>3217</v>
      </c>
      <c r="D5">
        <f>200*2</f>
        <v>400</v>
      </c>
      <c r="E5" s="42">
        <v>46054</v>
      </c>
      <c r="F5">
        <v>0</v>
      </c>
    </row>
    <row r="6" spans="1:6">
      <c r="A6" t="s">
        <v>3221</v>
      </c>
      <c r="B6" t="s">
        <v>608</v>
      </c>
      <c r="D6">
        <v>150</v>
      </c>
      <c r="E6" t="s">
        <v>3222</v>
      </c>
      <c r="F6">
        <v>0</v>
      </c>
    </row>
    <row r="7" spans="1:6">
      <c r="A7" t="s">
        <v>3223</v>
      </c>
      <c r="B7" t="s">
        <v>3225</v>
      </c>
      <c r="D7">
        <f>50</f>
        <v>50</v>
      </c>
    </row>
    <row r="8" spans="1:6">
      <c r="A8" t="s">
        <v>3224</v>
      </c>
      <c r="B8" t="s">
        <v>3225</v>
      </c>
      <c r="D8">
        <f>100</f>
        <v>100</v>
      </c>
    </row>
  </sheetData>
  <pageMargins left="0.7" right="0.7" top="0.75" bottom="0.75" header="0.3" footer="0.3"/>
  <legacyDrawing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C22D-B21A-4937-AD39-F1C153B92AEF}">
  <dimension ref="A1:C2"/>
  <sheetViews>
    <sheetView workbookViewId="0"/>
  </sheetViews>
  <sheetFormatPr defaultColWidth="11.44140625" defaultRowHeight="14.4"/>
  <sheetData>
    <row r="1" spans="1:3">
      <c r="A1" t="s">
        <v>3152</v>
      </c>
      <c r="B1" t="s">
        <v>1855</v>
      </c>
      <c r="C1" t="s">
        <v>15</v>
      </c>
    </row>
    <row r="2" spans="1:3">
      <c r="A2" t="s">
        <v>3176</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0299-EAF8-EE45-900E-5C88010D9F59}">
  <dimension ref="A1:E32"/>
  <sheetViews>
    <sheetView workbookViewId="0">
      <selection activeCell="C32" sqref="C32"/>
    </sheetView>
  </sheetViews>
  <sheetFormatPr defaultColWidth="11.44140625" defaultRowHeight="14.4"/>
  <cols>
    <col min="1" max="1" width="20" bestFit="1" customWidth="1"/>
    <col min="5" max="5" width="17.6640625" bestFit="1" customWidth="1"/>
  </cols>
  <sheetData>
    <row r="1" spans="1:5">
      <c r="A1" t="s">
        <v>3152</v>
      </c>
      <c r="B1" t="s">
        <v>1855</v>
      </c>
      <c r="C1" t="s">
        <v>3153</v>
      </c>
      <c r="D1" t="s">
        <v>3158</v>
      </c>
    </row>
    <row r="2" spans="1:5">
      <c r="A2" s="358" t="s">
        <v>1015</v>
      </c>
      <c r="B2" s="358">
        <v>487.35</v>
      </c>
      <c r="C2" s="358">
        <v>1</v>
      </c>
      <c r="D2" s="358" t="s">
        <v>213</v>
      </c>
    </row>
    <row r="3" spans="1:5">
      <c r="A3" s="358" t="s">
        <v>3161</v>
      </c>
      <c r="B3" s="358">
        <v>48.22</v>
      </c>
      <c r="C3" s="358">
        <v>1</v>
      </c>
      <c r="D3" s="358" t="s">
        <v>213</v>
      </c>
    </row>
    <row r="4" spans="1:5">
      <c r="A4" s="478" t="s">
        <v>3151</v>
      </c>
      <c r="B4" s="478">
        <v>14.43</v>
      </c>
      <c r="C4" s="478">
        <v>1</v>
      </c>
      <c r="D4" s="478" t="s">
        <v>213</v>
      </c>
      <c r="E4" s="664"/>
    </row>
    <row r="5" spans="1:5">
      <c r="A5" s="478" t="s">
        <v>3151</v>
      </c>
      <c r="B5" s="478">
        <v>16.62</v>
      </c>
      <c r="C5" s="478">
        <v>1</v>
      </c>
      <c r="D5" s="478" t="s">
        <v>213</v>
      </c>
      <c r="E5" s="664"/>
    </row>
    <row r="6" spans="1:5">
      <c r="A6" s="331" t="s">
        <v>3154</v>
      </c>
      <c r="B6" s="331">
        <v>73.44</v>
      </c>
      <c r="C6" s="331">
        <v>1</v>
      </c>
      <c r="D6" s="331" t="s">
        <v>20</v>
      </c>
      <c r="E6" s="664" t="s">
        <v>3163</v>
      </c>
    </row>
    <row r="7" spans="1:5">
      <c r="A7" s="331" t="s">
        <v>3155</v>
      </c>
      <c r="B7" s="331">
        <v>22.99</v>
      </c>
      <c r="C7" s="331">
        <v>1</v>
      </c>
      <c r="D7" s="331" t="s">
        <v>20</v>
      </c>
      <c r="E7" s="664"/>
    </row>
    <row r="8" spans="1:5">
      <c r="A8" s="331" t="s">
        <v>1608</v>
      </c>
      <c r="B8" s="331">
        <v>31.99</v>
      </c>
      <c r="C8" s="331">
        <v>1</v>
      </c>
      <c r="D8" s="331" t="s">
        <v>20</v>
      </c>
      <c r="E8" s="664"/>
    </row>
    <row r="9" spans="1:5">
      <c r="A9" s="242" t="s">
        <v>996</v>
      </c>
      <c r="B9" s="242">
        <v>72.84</v>
      </c>
      <c r="C9" s="242">
        <v>1</v>
      </c>
      <c r="D9" s="242" t="s">
        <v>20</v>
      </c>
      <c r="E9" s="664"/>
    </row>
    <row r="10" spans="1:5">
      <c r="A10" t="s">
        <v>1599</v>
      </c>
      <c r="B10">
        <v>1.79</v>
      </c>
      <c r="C10">
        <v>3</v>
      </c>
    </row>
    <row r="11" spans="1:5">
      <c r="A11" t="s">
        <v>3156</v>
      </c>
      <c r="B11">
        <v>12</v>
      </c>
      <c r="C11">
        <v>4</v>
      </c>
    </row>
    <row r="12" spans="1:5">
      <c r="A12" s="478" t="s">
        <v>3157</v>
      </c>
      <c r="B12" s="478">
        <v>10.49</v>
      </c>
      <c r="C12" s="478">
        <v>5</v>
      </c>
      <c r="D12" s="478" t="s">
        <v>213</v>
      </c>
    </row>
    <row r="13" spans="1:5">
      <c r="A13" s="478" t="s">
        <v>446</v>
      </c>
      <c r="B13" s="478">
        <v>5.99</v>
      </c>
      <c r="C13" s="478">
        <v>7</v>
      </c>
      <c r="D13" s="478" t="s">
        <v>213</v>
      </c>
    </row>
    <row r="14" spans="1:5">
      <c r="A14" t="s">
        <v>3159</v>
      </c>
      <c r="B14">
        <v>20</v>
      </c>
      <c r="C14">
        <v>10</v>
      </c>
    </row>
    <row r="15" spans="1:5">
      <c r="A15" s="358" t="s">
        <v>3102</v>
      </c>
      <c r="B15" s="358">
        <v>270.97000000000003</v>
      </c>
      <c r="C15" s="358">
        <v>15</v>
      </c>
      <c r="D15" s="358" t="s">
        <v>20</v>
      </c>
      <c r="E15" s="444" t="s">
        <v>3163</v>
      </c>
    </row>
    <row r="16" spans="1:5">
      <c r="A16" s="358" t="s">
        <v>788</v>
      </c>
      <c r="B16" s="358">
        <v>29.1</v>
      </c>
      <c r="C16" s="358">
        <v>19</v>
      </c>
      <c r="D16" s="358" t="s">
        <v>20</v>
      </c>
      <c r="E16" s="775" t="s">
        <v>3175</v>
      </c>
    </row>
    <row r="17" spans="1:5">
      <c r="A17" s="478" t="s">
        <v>1605</v>
      </c>
      <c r="B17" s="478">
        <f>30.8+62.08</f>
        <v>92.88</v>
      </c>
      <c r="C17" s="478">
        <v>20</v>
      </c>
      <c r="D17" s="478" t="s">
        <v>213</v>
      </c>
      <c r="E17" s="775"/>
    </row>
    <row r="18" spans="1:5">
      <c r="E18" s="662"/>
    </row>
    <row r="19" spans="1:5">
      <c r="A19" t="s">
        <v>889</v>
      </c>
      <c r="B19">
        <v>838</v>
      </c>
      <c r="C19">
        <v>25</v>
      </c>
      <c r="D19" t="s">
        <v>20</v>
      </c>
    </row>
    <row r="20" spans="1:5">
      <c r="A20" t="s">
        <v>1585</v>
      </c>
      <c r="B20">
        <v>168</v>
      </c>
      <c r="C20">
        <v>25</v>
      </c>
      <c r="D20" t="s">
        <v>20</v>
      </c>
    </row>
    <row r="21" spans="1:5">
      <c r="A21" t="s">
        <v>3160</v>
      </c>
      <c r="B21">
        <v>47.42</v>
      </c>
      <c r="C21">
        <v>25</v>
      </c>
    </row>
    <row r="22" spans="1:5">
      <c r="A22" t="s">
        <v>1607</v>
      </c>
      <c r="B22">
        <v>107.15</v>
      </c>
      <c r="C22">
        <v>25</v>
      </c>
    </row>
    <row r="23" spans="1:5">
      <c r="A23" t="s">
        <v>597</v>
      </c>
      <c r="B23">
        <v>49</v>
      </c>
      <c r="C23">
        <v>25</v>
      </c>
    </row>
    <row r="24" spans="1:5">
      <c r="A24" t="s">
        <v>1216</v>
      </c>
      <c r="B24">
        <v>37</v>
      </c>
      <c r="C24">
        <v>27</v>
      </c>
    </row>
    <row r="26" spans="1:5">
      <c r="A26" s="358" t="s">
        <v>1576</v>
      </c>
      <c r="B26" s="358">
        <v>137.5</v>
      </c>
      <c r="C26" s="358">
        <v>27</v>
      </c>
      <c r="D26" s="358" t="s">
        <v>20</v>
      </c>
    </row>
    <row r="27" spans="1:5">
      <c r="A27" s="358" t="s">
        <v>2890</v>
      </c>
      <c r="B27" s="358">
        <v>45.79</v>
      </c>
      <c r="C27" s="358">
        <v>28</v>
      </c>
      <c r="D27" s="358" t="s">
        <v>20</v>
      </c>
    </row>
    <row r="28" spans="1:5">
      <c r="A28" s="478" t="s">
        <v>3162</v>
      </c>
      <c r="B28" s="478">
        <v>18</v>
      </c>
      <c r="C28" s="478">
        <v>28</v>
      </c>
      <c r="D28" s="478" t="s">
        <v>213</v>
      </c>
    </row>
    <row r="32" spans="1:5">
      <c r="B32">
        <f>SUM(B2:B28)</f>
        <v>2658.96</v>
      </c>
    </row>
  </sheetData>
  <mergeCells count="1">
    <mergeCell ref="E16:E17"/>
  </mergeCells>
  <pageMargins left="0.7" right="0.7" top="0.75" bottom="0.75" header="0.3" footer="0.3"/>
  <legacyDrawing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2B4D-A993-6B43-9614-E4A9CBE821F2}">
  <dimension ref="A1:C12"/>
  <sheetViews>
    <sheetView workbookViewId="0">
      <selection activeCell="C12" sqref="A1:C12"/>
    </sheetView>
  </sheetViews>
  <sheetFormatPr defaultColWidth="11.44140625" defaultRowHeight="14.4"/>
  <cols>
    <col min="1" max="1" width="12.6640625" bestFit="1" customWidth="1"/>
  </cols>
  <sheetData>
    <row r="1" spans="1:3">
      <c r="B1" t="s">
        <v>3150</v>
      </c>
      <c r="C1" t="s">
        <v>3149</v>
      </c>
    </row>
    <row r="2" spans="1:3">
      <c r="A2" t="s">
        <v>2835</v>
      </c>
      <c r="B2">
        <v>300</v>
      </c>
      <c r="C2">
        <v>422</v>
      </c>
    </row>
    <row r="3" spans="1:3">
      <c r="A3" t="s">
        <v>857</v>
      </c>
      <c r="B3">
        <v>400</v>
      </c>
      <c r="C3">
        <v>450</v>
      </c>
    </row>
    <row r="4" spans="1:3">
      <c r="A4" t="s">
        <v>153</v>
      </c>
      <c r="B4">
        <f>4*33</f>
        <v>132</v>
      </c>
      <c r="C4">
        <f>4*33</f>
        <v>132</v>
      </c>
    </row>
    <row r="5" spans="1:3">
      <c r="A5" t="s">
        <v>3148</v>
      </c>
      <c r="B5">
        <v>60</v>
      </c>
      <c r="C5">
        <v>60</v>
      </c>
    </row>
    <row r="6" spans="1:3">
      <c r="A6" t="s">
        <v>1725</v>
      </c>
      <c r="B6">
        <f>85*4</f>
        <v>340</v>
      </c>
      <c r="C6">
        <f>85*4</f>
        <v>340</v>
      </c>
    </row>
    <row r="7" spans="1:3">
      <c r="A7" t="s">
        <v>131</v>
      </c>
      <c r="B7">
        <f>SUM(B2:B6)</f>
        <v>1232</v>
      </c>
      <c r="C7">
        <f>SUM(C2:C6)</f>
        <v>1404</v>
      </c>
    </row>
    <row r="9" spans="1:3">
      <c r="A9" t="s">
        <v>701</v>
      </c>
      <c r="B9">
        <v>1000</v>
      </c>
      <c r="C9">
        <v>1000</v>
      </c>
    </row>
    <row r="10" spans="1:3">
      <c r="A10" t="s">
        <v>683</v>
      </c>
      <c r="B10">
        <f>100*2</f>
        <v>200</v>
      </c>
      <c r="C10">
        <f>100*2</f>
        <v>200</v>
      </c>
    </row>
    <row r="11" spans="1:3">
      <c r="A11" t="s">
        <v>1102</v>
      </c>
      <c r="B11">
        <v>50</v>
      </c>
      <c r="C11">
        <v>50</v>
      </c>
    </row>
    <row r="12" spans="1:3">
      <c r="A12" t="s">
        <v>2137</v>
      </c>
      <c r="B12">
        <f>B7-SUM(B9:B11)</f>
        <v>-18</v>
      </c>
      <c r="C12">
        <f>C7-SUM(C9:C11)</f>
        <v>154</v>
      </c>
    </row>
  </sheetData>
  <pageMargins left="0.7" right="0.7" top="0.75" bottom="0.75" header="0.3" footer="0.3"/>
  <pageSetup paperSize="9" orientation="portrait" horizontalDpi="0" verticalDpi="0"/>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6912-5A3E-404C-9E3E-6703A8F6AC1E}">
  <sheetPr codeName="Sheet63"/>
  <dimension ref="A1:AH229"/>
  <sheetViews>
    <sheetView topLeftCell="A34" zoomScale="97" zoomScaleNormal="90" workbookViewId="0">
      <selection activeCell="A61" sqref="A61"/>
    </sheetView>
  </sheetViews>
  <sheetFormatPr defaultColWidth="11.33203125" defaultRowHeight="14.4" outlineLevelRow="1"/>
  <cols>
    <col min="1" max="2" width="23" customWidth="1"/>
    <col min="4" max="4" width="19.44140625" customWidth="1"/>
    <col min="5" max="5" width="17.33203125" customWidth="1"/>
    <col min="6" max="6" width="13" customWidth="1"/>
    <col min="7" max="7" width="21.33203125" customWidth="1"/>
    <col min="8" max="8" width="19.44140625" customWidth="1"/>
    <col min="9" max="9" width="12" bestFit="1" customWidth="1"/>
    <col min="11" max="11" width="24.33203125" customWidth="1"/>
    <col min="12" max="12" width="17.33203125" customWidth="1"/>
    <col min="13" max="16" width="21.109375" customWidth="1"/>
    <col min="17" max="17" width="25" customWidth="1"/>
    <col min="18" max="19" width="23.109375" customWidth="1"/>
    <col min="24" max="25" width="15.44140625" customWidth="1"/>
  </cols>
  <sheetData>
    <row r="1" spans="1:34" ht="25.8" hidden="1" outlineLevel="1">
      <c r="A1" s="786" t="s">
        <v>1353</v>
      </c>
      <c r="B1" s="786"/>
      <c r="C1" s="786"/>
      <c r="D1" s="786"/>
      <c r="E1" s="786"/>
      <c r="F1" s="786"/>
      <c r="G1" s="786"/>
      <c r="H1" s="786"/>
      <c r="I1" s="786"/>
      <c r="J1" s="786"/>
      <c r="K1" s="786"/>
      <c r="L1" s="786"/>
      <c r="M1" s="786"/>
      <c r="N1" s="786"/>
      <c r="O1" s="452"/>
      <c r="P1" s="452"/>
      <c r="AG1" s="212"/>
      <c r="AH1" s="212"/>
    </row>
    <row r="2" spans="1:34" hidden="1" outlineLevel="1">
      <c r="A2" s="358"/>
      <c r="B2" s="358"/>
      <c r="C2" s="90" t="s">
        <v>1324</v>
      </c>
      <c r="D2" s="90" t="s">
        <v>1325</v>
      </c>
      <c r="E2" s="90" t="s">
        <v>1326</v>
      </c>
      <c r="F2" s="90" t="s">
        <v>1327</v>
      </c>
      <c r="G2" s="357" t="s">
        <v>1328</v>
      </c>
      <c r="H2" s="90" t="s">
        <v>1329</v>
      </c>
      <c r="I2" s="90" t="s">
        <v>1330</v>
      </c>
      <c r="J2" s="90" t="s">
        <v>1331</v>
      </c>
      <c r="K2" s="357" t="s">
        <v>1332</v>
      </c>
      <c r="L2" s="90" t="s">
        <v>1333</v>
      </c>
      <c r="M2" s="90" t="s">
        <v>1334</v>
      </c>
      <c r="N2" s="357" t="s">
        <v>1335</v>
      </c>
      <c r="O2" s="357"/>
      <c r="P2" s="357"/>
      <c r="AG2" s="212"/>
      <c r="AH2" s="212"/>
    </row>
    <row r="3" spans="1:34" hidden="1" outlineLevel="1">
      <c r="A3" s="358" t="s">
        <v>1289</v>
      </c>
      <c r="B3" s="414" t="s">
        <v>1290</v>
      </c>
      <c r="C3">
        <f>SUM($B$5:$B$11)+1578+40+40+30+25+120+36</f>
        <v>3002.67</v>
      </c>
      <c r="D3">
        <f>SUM($B$5:$B$11)+75+125+20+244.5-30+90+400</f>
        <v>2058.17</v>
      </c>
      <c r="E3">
        <f>SUM($B$5:$B$11)+100+400+200-17</f>
        <v>1816.67</v>
      </c>
      <c r="F3">
        <f>SUM($B$5:$B$11)+200+200</f>
        <v>1533.67</v>
      </c>
      <c r="G3" s="242">
        <f>SUM($B$5:$B$11)</f>
        <v>1133.67</v>
      </c>
      <c r="H3">
        <f>141+350</f>
        <v>491</v>
      </c>
      <c r="I3">
        <f>2331-311</f>
        <v>2020</v>
      </c>
      <c r="J3">
        <f>SUM($B$5:$B$11)+421.33</f>
        <v>1555</v>
      </c>
      <c r="K3" s="242">
        <f>SUM($B$5:$B$11)+90</f>
        <v>1223.67</v>
      </c>
      <c r="L3">
        <f>SUM($B$5:$B$11)+600</f>
        <v>1733.67</v>
      </c>
      <c r="M3">
        <f>SUM($B$5:$B$11)</f>
        <v>1133.67</v>
      </c>
      <c r="N3" s="242">
        <f>SUM($B$5:$B$11)+90</f>
        <v>1223.67</v>
      </c>
      <c r="O3" s="242"/>
      <c r="P3" s="242"/>
    </row>
    <row r="4" spans="1:34" hidden="1" outlineLevel="1">
      <c r="A4" s="453" t="s">
        <v>1287</v>
      </c>
      <c r="B4" s="453"/>
      <c r="C4">
        <f>2834.82+C3-SUM(C5:C16)</f>
        <v>-1433.13</v>
      </c>
      <c r="D4">
        <f>412.55</f>
        <v>412.55</v>
      </c>
      <c r="E4">
        <f>D4+E3-SUM(E5:E16)</f>
        <v>35.570000000000164</v>
      </c>
      <c r="F4">
        <f t="shared" ref="F4:N4" si="0">E4+F3-SUM(F5:F16)</f>
        <v>-2023.1099999999997</v>
      </c>
      <c r="G4">
        <v>1450</v>
      </c>
      <c r="H4">
        <f>G4+H3-SUM(H5:H16)</f>
        <v>311</v>
      </c>
      <c r="I4">
        <f>H4+I3-SUM(I5:I16)</f>
        <v>6</v>
      </c>
      <c r="J4">
        <f t="shared" si="0"/>
        <v>0</v>
      </c>
      <c r="K4">
        <v>509</v>
      </c>
      <c r="L4">
        <f>K4+L3-SUM(L5:L16)</f>
        <v>1981.67</v>
      </c>
      <c r="M4">
        <f t="shared" si="0"/>
        <v>115.34000000000015</v>
      </c>
      <c r="N4">
        <f t="shared" si="0"/>
        <v>1124.0100000000002</v>
      </c>
    </row>
    <row r="5" spans="1:34" hidden="1" outlineLevel="1">
      <c r="A5" s="415" t="s">
        <v>1298</v>
      </c>
      <c r="B5" s="414">
        <f>40</f>
        <v>40</v>
      </c>
      <c r="C5">
        <f>40</f>
        <v>40</v>
      </c>
      <c r="I5">
        <v>240</v>
      </c>
      <c r="L5">
        <f>200</f>
        <v>200</v>
      </c>
    </row>
    <row r="6" spans="1:34" hidden="1" outlineLevel="1">
      <c r="A6" s="415" t="s">
        <v>590</v>
      </c>
      <c r="B6" s="414">
        <v>165</v>
      </c>
      <c r="C6">
        <v>60</v>
      </c>
      <c r="E6">
        <v>280</v>
      </c>
      <c r="G6">
        <v>160</v>
      </c>
    </row>
    <row r="7" spans="1:34" hidden="1" outlineLevel="1">
      <c r="A7" s="415" t="s">
        <v>359</v>
      </c>
      <c r="B7" s="414">
        <v>13.67</v>
      </c>
      <c r="D7">
        <v>41</v>
      </c>
      <c r="F7">
        <v>41</v>
      </c>
      <c r="J7">
        <v>41</v>
      </c>
      <c r="L7">
        <v>41</v>
      </c>
    </row>
    <row r="8" spans="1:34" hidden="1" outlineLevel="1">
      <c r="A8" s="415" t="s">
        <v>1296</v>
      </c>
      <c r="B8" s="414">
        <v>15</v>
      </c>
    </row>
    <row r="9" spans="1:34" hidden="1" outlineLevel="1">
      <c r="A9" s="415" t="s">
        <v>701</v>
      </c>
      <c r="B9" s="414">
        <v>250</v>
      </c>
      <c r="C9">
        <v>105</v>
      </c>
      <c r="D9">
        <v>0</v>
      </c>
      <c r="E9">
        <v>0</v>
      </c>
      <c r="F9" s="242">
        <v>0</v>
      </c>
      <c r="G9">
        <v>40</v>
      </c>
      <c r="H9">
        <v>30</v>
      </c>
      <c r="I9">
        <v>50</v>
      </c>
      <c r="J9" s="242">
        <f>220-50-150</f>
        <v>20</v>
      </c>
      <c r="K9" s="242">
        <v>135</v>
      </c>
      <c r="L9">
        <v>20</v>
      </c>
      <c r="M9" s="242">
        <f>1000</f>
        <v>1000</v>
      </c>
      <c r="N9" s="242">
        <v>215</v>
      </c>
      <c r="O9" s="242"/>
      <c r="P9" s="242"/>
    </row>
    <row r="10" spans="1:34" hidden="1" outlineLevel="1">
      <c r="A10" s="358" t="s">
        <v>797</v>
      </c>
      <c r="B10" s="414">
        <v>425</v>
      </c>
      <c r="C10">
        <v>6088.9</v>
      </c>
      <c r="E10">
        <v>98.65</v>
      </c>
      <c r="F10">
        <f>3650-98.65</f>
        <v>3551.35</v>
      </c>
      <c r="G10" s="242"/>
      <c r="K10" s="242"/>
      <c r="N10" s="242"/>
      <c r="O10" s="242"/>
      <c r="P10" s="242"/>
    </row>
    <row r="11" spans="1:34" hidden="1" outlineLevel="1">
      <c r="A11" s="358" t="s">
        <v>332</v>
      </c>
      <c r="B11" s="414">
        <v>225</v>
      </c>
      <c r="C11">
        <v>75</v>
      </c>
      <c r="E11">
        <f>400+270+645+500</f>
        <v>1815</v>
      </c>
      <c r="G11">
        <v>500</v>
      </c>
      <c r="H11">
        <v>1600</v>
      </c>
      <c r="I11">
        <f>1385+650</f>
        <v>2035</v>
      </c>
      <c r="J11">
        <f>1500</f>
        <v>1500</v>
      </c>
      <c r="K11" s="242"/>
      <c r="M11">
        <v>2000</v>
      </c>
      <c r="N11" s="242"/>
      <c r="O11" s="242"/>
      <c r="P11" s="242"/>
    </row>
    <row r="12" spans="1:34" hidden="1" outlineLevel="1">
      <c r="A12" s="358" t="s">
        <v>1285</v>
      </c>
      <c r="B12" s="358"/>
      <c r="C12">
        <v>98</v>
      </c>
      <c r="D12">
        <f>245+14.54</f>
        <v>259.54000000000002</v>
      </c>
      <c r="G12" s="242"/>
      <c r="K12" s="242"/>
      <c r="N12" s="242"/>
      <c r="O12" s="242"/>
      <c r="P12" s="242"/>
    </row>
    <row r="13" spans="1:34" hidden="1" outlineLevel="1">
      <c r="A13" s="358" t="s">
        <v>1279</v>
      </c>
      <c r="B13" s="358"/>
      <c r="C13">
        <v>400</v>
      </c>
      <c r="G13" s="242"/>
      <c r="K13" s="242"/>
      <c r="N13" s="242"/>
      <c r="O13" s="242"/>
      <c r="P13" s="242"/>
    </row>
    <row r="14" spans="1:34" hidden="1" outlineLevel="1">
      <c r="A14" s="358" t="s">
        <v>1295</v>
      </c>
      <c r="B14" s="358"/>
      <c r="C14">
        <f>75+36</f>
        <v>111</v>
      </c>
      <c r="G14" s="242"/>
      <c r="K14" s="242"/>
      <c r="N14" s="242"/>
      <c r="O14" s="242"/>
      <c r="P14" s="242"/>
    </row>
    <row r="15" spans="1:34" hidden="1" outlineLevel="1">
      <c r="A15" s="358" t="s">
        <v>130</v>
      </c>
      <c r="B15" s="358"/>
      <c r="C15">
        <f>42.97+50+59.75</f>
        <v>152.72</v>
      </c>
      <c r="G15" s="242"/>
      <c r="K15" s="242"/>
      <c r="N15" s="242"/>
      <c r="O15" s="242"/>
      <c r="P15" s="242"/>
    </row>
    <row r="16" spans="1:34" hidden="1" outlineLevel="1">
      <c r="A16" s="358" t="s">
        <v>1286</v>
      </c>
      <c r="B16" s="358"/>
      <c r="C16">
        <v>140</v>
      </c>
      <c r="G16" s="242"/>
      <c r="K16" s="242"/>
      <c r="N16" s="242"/>
      <c r="O16" s="242"/>
      <c r="P16" s="242"/>
    </row>
    <row r="17" spans="1:34" hidden="1" outlineLevel="1">
      <c r="C17" s="118"/>
      <c r="D17" s="118"/>
    </row>
    <row r="18" spans="1:34" ht="25.8" hidden="1" collapsed="1">
      <c r="A18" s="452" t="s">
        <v>1354</v>
      </c>
      <c r="B18" s="452"/>
      <c r="C18" s="604"/>
      <c r="D18" s="452"/>
      <c r="E18" s="452"/>
      <c r="F18" s="452"/>
      <c r="G18" s="452"/>
      <c r="H18" s="452"/>
      <c r="I18" s="604"/>
      <c r="J18" s="452"/>
      <c r="K18" s="452"/>
      <c r="L18" s="604"/>
      <c r="M18" s="452"/>
      <c r="N18" s="452"/>
      <c r="O18" s="452"/>
      <c r="P18" s="452"/>
      <c r="R18">
        <f>4083.34</f>
        <v>4083.34</v>
      </c>
      <c r="S18">
        <f>R18*12</f>
        <v>49000.08</v>
      </c>
    </row>
    <row r="19" spans="1:34" hidden="1">
      <c r="A19" s="358"/>
      <c r="B19" s="358"/>
      <c r="C19" s="90" t="s">
        <v>1324</v>
      </c>
      <c r="D19" s="90" t="s">
        <v>1325</v>
      </c>
      <c r="E19" s="90" t="s">
        <v>1326</v>
      </c>
      <c r="F19" s="90" t="s">
        <v>1327</v>
      </c>
      <c r="G19" s="90" t="s">
        <v>1328</v>
      </c>
      <c r="H19" s="90" t="s">
        <v>1329</v>
      </c>
      <c r="I19" s="90" t="s">
        <v>1330</v>
      </c>
      <c r="J19" s="90" t="s">
        <v>1331</v>
      </c>
      <c r="K19" s="90" t="s">
        <v>1332</v>
      </c>
      <c r="L19" s="90" t="s">
        <v>1333</v>
      </c>
      <c r="M19" s="90" t="s">
        <v>1334</v>
      </c>
      <c r="N19" s="90" t="s">
        <v>1335</v>
      </c>
      <c r="O19" s="90"/>
      <c r="P19" s="90"/>
      <c r="R19">
        <f>R18+500</f>
        <v>4583.34</v>
      </c>
      <c r="S19">
        <f>R19*12</f>
        <v>55000.08</v>
      </c>
    </row>
    <row r="20" spans="1:34" hidden="1">
      <c r="A20" s="358" t="s">
        <v>1289</v>
      </c>
      <c r="B20" s="414" t="s">
        <v>1290</v>
      </c>
      <c r="C20">
        <f>SUM($B$22:$B$29)+3930.26</f>
        <v>4879.43</v>
      </c>
      <c r="D20">
        <f>SUM($B$22:$B$29)+2200</f>
        <v>3149.17</v>
      </c>
      <c r="E20">
        <f>SUM($B$22:$B$29)+90+1900+1250</f>
        <v>4189.17</v>
      </c>
      <c r="F20">
        <f>SUM($B$22:$B$29)</f>
        <v>949.17</v>
      </c>
      <c r="G20">
        <f>SUM($B$22:$B$33)</f>
        <v>999.17</v>
      </c>
      <c r="H20">
        <f>SUM($B$22:$B$33)+443</f>
        <v>1442.17</v>
      </c>
      <c r="I20">
        <f>SUM($B$22:$B$33)+1200+(90)+935+700</f>
        <v>3924.17</v>
      </c>
      <c r="J20">
        <f>SUM($B$22:$B$29)+420</f>
        <v>1369.17</v>
      </c>
      <c r="K20">
        <f>SUM($B$22:$B$29)+100+90</f>
        <v>1139.17</v>
      </c>
      <c r="L20">
        <f>SUM($B$22:$B$29)+700</f>
        <v>1649.17</v>
      </c>
      <c r="M20">
        <f>SUM($B$22:$B$29)</f>
        <v>949.17</v>
      </c>
      <c r="N20">
        <f>SUM($B$22:$B$29)+90</f>
        <v>1039.17</v>
      </c>
      <c r="R20">
        <f>R18+(2000/12)</f>
        <v>4250.0066666666671</v>
      </c>
      <c r="S20">
        <f>R20*12</f>
        <v>51000.08</v>
      </c>
    </row>
    <row r="21" spans="1:34" ht="14.7" hidden="1" customHeight="1">
      <c r="A21" s="453" t="s">
        <v>1287</v>
      </c>
      <c r="B21" s="453">
        <f>SUM(B22:B33)</f>
        <v>999.17</v>
      </c>
      <c r="C21">
        <f>C20-SUM(C22:C29)</f>
        <v>1157.2000000000003</v>
      </c>
      <c r="D21">
        <f>C21+D20-SUM(D22:D29)</f>
        <v>3973.8700000000008</v>
      </c>
      <c r="E21">
        <f>D21+E20-SUM(E22:E29)</f>
        <v>5528.6200000000008</v>
      </c>
      <c r="F21">
        <v>3249.73</v>
      </c>
      <c r="G21">
        <v>266</v>
      </c>
      <c r="H21">
        <f>G21+H20-SUM(H22:H33)</f>
        <v>40</v>
      </c>
      <c r="I21">
        <f>H21+I20-SUM(I22:I33)</f>
        <v>2743.17</v>
      </c>
      <c r="J21">
        <f t="shared" ref="J21:M21" si="1">I21+J20-SUM(J22:J33)</f>
        <v>2194.2600000000002</v>
      </c>
      <c r="K21">
        <f t="shared" si="1"/>
        <v>3198.4300000000003</v>
      </c>
      <c r="L21">
        <f>1984-SUM(L22:L33)</f>
        <v>1923</v>
      </c>
      <c r="M21">
        <f t="shared" si="1"/>
        <v>1462.17</v>
      </c>
      <c r="N21">
        <f>M21+N20-SUM(N22:N33)-1000</f>
        <v>1391.3400000000001</v>
      </c>
      <c r="R21">
        <f>R20+500</f>
        <v>4750.0066666666671</v>
      </c>
      <c r="S21">
        <f>R21*12</f>
        <v>57000.08</v>
      </c>
    </row>
    <row r="22" spans="1:34" hidden="1">
      <c r="A22" s="415" t="s">
        <v>1298</v>
      </c>
      <c r="B22" s="414">
        <f>40</f>
        <v>40</v>
      </c>
      <c r="C22">
        <v>222</v>
      </c>
      <c r="G22">
        <v>40</v>
      </c>
      <c r="R22">
        <f>2572+1286+3865</f>
        <v>7723</v>
      </c>
      <c r="S22">
        <f>S21+R22</f>
        <v>64723.08</v>
      </c>
    </row>
    <row r="23" spans="1:34" hidden="1">
      <c r="A23" s="415" t="s">
        <v>590</v>
      </c>
      <c r="B23" s="414">
        <v>150</v>
      </c>
      <c r="H23">
        <f>1195-800</f>
        <v>395</v>
      </c>
    </row>
    <row r="24" spans="1:34" hidden="1">
      <c r="A24" s="415" t="s">
        <v>359</v>
      </c>
      <c r="B24" s="414">
        <v>13.67</v>
      </c>
      <c r="C24">
        <v>41</v>
      </c>
      <c r="F24">
        <v>41</v>
      </c>
      <c r="I24">
        <v>41</v>
      </c>
      <c r="L24">
        <v>41</v>
      </c>
      <c r="Q24" s="212"/>
      <c r="AD24" s="212"/>
      <c r="AE24" s="212"/>
      <c r="AF24" s="212"/>
      <c r="AG24" s="212"/>
      <c r="AH24" s="212"/>
    </row>
    <row r="25" spans="1:34" hidden="1">
      <c r="A25" s="415" t="s">
        <v>1296</v>
      </c>
      <c r="B25" s="414">
        <f>15</f>
        <v>15</v>
      </c>
      <c r="Q25" s="212"/>
      <c r="AD25" s="212"/>
      <c r="AE25" s="212"/>
      <c r="AF25" s="212"/>
      <c r="AG25" s="212"/>
      <c r="AH25" s="212"/>
    </row>
    <row r="26" spans="1:34" hidden="1">
      <c r="A26" s="415" t="s">
        <v>701</v>
      </c>
      <c r="B26" s="414">
        <v>250</v>
      </c>
      <c r="D26">
        <v>100</v>
      </c>
      <c r="E26">
        <v>100</v>
      </c>
      <c r="F26">
        <v>100</v>
      </c>
      <c r="G26">
        <v>40</v>
      </c>
      <c r="H26">
        <f>1000-433</f>
        <v>567</v>
      </c>
      <c r="I26">
        <v>80</v>
      </c>
      <c r="J26">
        <v>220</v>
      </c>
      <c r="K26">
        <v>135</v>
      </c>
      <c r="L26">
        <v>20</v>
      </c>
      <c r="M26">
        <f>410+1000</f>
        <v>1410</v>
      </c>
      <c r="N26">
        <f>240-130</f>
        <v>110</v>
      </c>
    </row>
    <row r="27" spans="1:34" hidden="1">
      <c r="A27" s="415" t="s">
        <v>1279</v>
      </c>
      <c r="B27" s="414">
        <v>80</v>
      </c>
      <c r="C27">
        <v>232.5</v>
      </c>
      <c r="D27">
        <v>232.5</v>
      </c>
      <c r="E27">
        <v>232.5</v>
      </c>
      <c r="F27">
        <v>232.5</v>
      </c>
      <c r="G27">
        <v>232.5</v>
      </c>
      <c r="H27">
        <v>232.5</v>
      </c>
    </row>
    <row r="28" spans="1:34" hidden="1">
      <c r="A28" s="415" t="s">
        <v>787</v>
      </c>
      <c r="B28" s="414">
        <f>-(482-232.5)</f>
        <v>-249.5</v>
      </c>
    </row>
    <row r="29" spans="1:34" hidden="1">
      <c r="A29" s="358" t="s">
        <v>332</v>
      </c>
      <c r="B29" s="414">
        <v>650</v>
      </c>
      <c r="C29">
        <f>2500-560+800+486.73</f>
        <v>3226.73</v>
      </c>
      <c r="E29">
        <v>2301.92</v>
      </c>
      <c r="G29">
        <f>600+1000</f>
        <v>1600</v>
      </c>
      <c r="H29">
        <v>100</v>
      </c>
      <c r="I29">
        <v>400</v>
      </c>
      <c r="J29">
        <f>4000-2301.92</f>
        <v>1698.08</v>
      </c>
      <c r="R29">
        <v>270</v>
      </c>
    </row>
    <row r="30" spans="1:34" hidden="1">
      <c r="A30" s="358" t="s">
        <v>1297</v>
      </c>
      <c r="B30" s="414">
        <v>50</v>
      </c>
      <c r="H30">
        <f>413.67-40</f>
        <v>373.67</v>
      </c>
      <c r="I30">
        <f>250+150</f>
        <v>400</v>
      </c>
    </row>
    <row r="31" spans="1:34" hidden="1">
      <c r="A31" s="358" t="s">
        <v>1391</v>
      </c>
      <c r="B31" s="414"/>
      <c r="R31">
        <v>18</v>
      </c>
    </row>
    <row r="32" spans="1:34" hidden="1">
      <c r="A32" s="358" t="s">
        <v>1806</v>
      </c>
      <c r="B32" s="414"/>
      <c r="G32">
        <v>95</v>
      </c>
    </row>
    <row r="33" spans="1:26" hidden="1">
      <c r="A33" s="358" t="s">
        <v>1807</v>
      </c>
      <c r="B33" s="414"/>
      <c r="I33">
        <v>300</v>
      </c>
    </row>
    <row r="34" spans="1:26">
      <c r="B34" s="230"/>
      <c r="C34" s="242"/>
      <c r="I34" s="242"/>
      <c r="L34" s="242"/>
      <c r="N34" s="79"/>
      <c r="O34" s="79"/>
      <c r="P34" s="79"/>
      <c r="Q34" s="79"/>
    </row>
    <row r="35" spans="1:26" ht="25.8">
      <c r="A35" s="452" t="s">
        <v>1403</v>
      </c>
      <c r="B35" s="452"/>
      <c r="C35" s="537"/>
      <c r="D35" s="452"/>
      <c r="E35" s="452"/>
      <c r="F35" s="452"/>
      <c r="G35" s="452"/>
      <c r="H35" s="452"/>
      <c r="I35" s="537"/>
      <c r="J35" s="452"/>
      <c r="K35" s="452"/>
      <c r="L35" s="537"/>
      <c r="M35" s="452"/>
      <c r="N35" s="452"/>
      <c r="O35" s="604"/>
      <c r="P35" s="604"/>
      <c r="Q35" s="7"/>
    </row>
    <row r="36" spans="1:26" hidden="1" outlineLevel="1">
      <c r="A36" s="358"/>
      <c r="B36" s="358"/>
      <c r="C36" s="357" t="s">
        <v>1324</v>
      </c>
      <c r="D36" s="90" t="s">
        <v>1325</v>
      </c>
      <c r="E36" s="90" t="s">
        <v>1326</v>
      </c>
      <c r="F36" s="90" t="s">
        <v>1327</v>
      </c>
      <c r="G36" s="90" t="s">
        <v>1328</v>
      </c>
      <c r="H36" s="90" t="s">
        <v>1329</v>
      </c>
      <c r="I36" s="357" t="s">
        <v>1330</v>
      </c>
      <c r="J36" s="90" t="s">
        <v>1331</v>
      </c>
      <c r="K36" s="90" t="s">
        <v>1332</v>
      </c>
      <c r="L36" s="357" t="s">
        <v>1333</v>
      </c>
      <c r="M36" s="90" t="s">
        <v>1334</v>
      </c>
      <c r="N36" s="90" t="s">
        <v>1335</v>
      </c>
      <c r="O36" s="90"/>
      <c r="P36" s="90"/>
      <c r="Q36" s="7"/>
    </row>
    <row r="37" spans="1:26" hidden="1" outlineLevel="1">
      <c r="A37" s="358" t="s">
        <v>1289</v>
      </c>
      <c r="B37" s="414" t="s">
        <v>1290</v>
      </c>
      <c r="C37" s="242">
        <f>SUM($B$39:$B$51)+N21</f>
        <v>2221.34</v>
      </c>
      <c r="D37">
        <f>SUM($B$39:$B$51)+2000+800</f>
        <v>3630</v>
      </c>
      <c r="E37">
        <f>SUM($B$39:$B$51)+90</f>
        <v>920</v>
      </c>
      <c r="F37">
        <f>SUM($B$39:$B$51)</f>
        <v>830</v>
      </c>
      <c r="G37">
        <f>SUM($B$39:$B$51)</f>
        <v>830</v>
      </c>
      <c r="H37">
        <v>2741</v>
      </c>
      <c r="I37" s="242">
        <f>SUM($B$39:$B$51)+1775+160</f>
        <v>2765</v>
      </c>
      <c r="J37">
        <f>SUM($B$39:$B$51)</f>
        <v>830</v>
      </c>
      <c r="K37">
        <f>SUM($B$39:$B$51)</f>
        <v>830</v>
      </c>
      <c r="L37" s="242">
        <f>SUM($B$39:$B$51)+550</f>
        <v>1380</v>
      </c>
      <c r="M37">
        <f>SUM($B$39:$B$51)</f>
        <v>830</v>
      </c>
      <c r="N37">
        <f>SUM($B$39:$B$51)</f>
        <v>830</v>
      </c>
      <c r="S37" s="243"/>
      <c r="Y37" s="79"/>
      <c r="Z37" s="79"/>
    </row>
    <row r="38" spans="1:26" hidden="1" outlineLevel="1">
      <c r="A38" s="453" t="s">
        <v>1287</v>
      </c>
      <c r="B38" s="453">
        <f>SUM(B39:B51)</f>
        <v>830</v>
      </c>
      <c r="C38" s="242">
        <v>0</v>
      </c>
      <c r="D38">
        <v>0</v>
      </c>
      <c r="E38">
        <f>0</f>
        <v>0</v>
      </c>
      <c r="F38">
        <f>-949.17+5143</f>
        <v>4193.83</v>
      </c>
      <c r="G38">
        <f>F38+G37-SUM(G39:G51)-1000</f>
        <v>4023.83</v>
      </c>
      <c r="H38">
        <f>2814.79-SUM(H39:H51)</f>
        <v>-370.21000000000004</v>
      </c>
      <c r="I38" s="242">
        <f>H38+I37-SUM(I39:I51)</f>
        <v>-26.210000000000036</v>
      </c>
      <c r="J38">
        <v>350</v>
      </c>
      <c r="K38">
        <v>2000</v>
      </c>
      <c r="L38" s="242">
        <f t="shared" ref="L38" si="2">K38+L37-SUM(L39:L51)</f>
        <v>-131</v>
      </c>
      <c r="M38">
        <f>L38+M37-SUM(M39:M51)</f>
        <v>-190.93000000000006</v>
      </c>
      <c r="N38">
        <f>M38+N37-SUM(N39:N51)</f>
        <v>249.06999999999994</v>
      </c>
      <c r="S38" s="243"/>
    </row>
    <row r="39" spans="1:26" hidden="1" outlineLevel="1">
      <c r="A39" s="415" t="s">
        <v>1298</v>
      </c>
      <c r="B39" s="414">
        <f>40</f>
        <v>40</v>
      </c>
      <c r="C39" s="242">
        <v>40</v>
      </c>
      <c r="H39">
        <v>280</v>
      </c>
      <c r="I39" s="242"/>
      <c r="L39" s="242"/>
      <c r="N39" s="242">
        <v>230</v>
      </c>
      <c r="S39" s="243"/>
      <c r="V39" s="243"/>
    </row>
    <row r="40" spans="1:26" hidden="1" outlineLevel="1">
      <c r="A40" s="415" t="s">
        <v>590</v>
      </c>
      <c r="B40" s="414">
        <v>150</v>
      </c>
      <c r="C40" s="242"/>
      <c r="I40" s="242"/>
      <c r="L40" s="242"/>
      <c r="S40" s="243"/>
      <c r="V40" s="243"/>
      <c r="Y40" s="243"/>
    </row>
    <row r="41" spans="1:26" hidden="1" outlineLevel="1">
      <c r="A41" s="415" t="s">
        <v>359</v>
      </c>
      <c r="B41" s="414">
        <v>13.67</v>
      </c>
      <c r="C41" s="242"/>
      <c r="D41">
        <v>41</v>
      </c>
      <c r="F41">
        <v>41</v>
      </c>
      <c r="I41">
        <v>41</v>
      </c>
      <c r="L41">
        <v>41</v>
      </c>
      <c r="S41" s="243"/>
      <c r="V41" s="243"/>
      <c r="Y41" s="407"/>
      <c r="Z41" s="407"/>
    </row>
    <row r="42" spans="1:26" hidden="1" outlineLevel="1">
      <c r="A42" s="415" t="s">
        <v>1296</v>
      </c>
      <c r="B42" s="414">
        <f>15</f>
        <v>15</v>
      </c>
      <c r="C42" s="242"/>
      <c r="I42" s="242"/>
      <c r="L42" s="242"/>
      <c r="S42" s="243"/>
    </row>
    <row r="43" spans="1:26" hidden="1" outlineLevel="1">
      <c r="A43" s="415" t="s">
        <v>701</v>
      </c>
      <c r="B43" s="414">
        <v>250</v>
      </c>
      <c r="C43" s="242">
        <v>105</v>
      </c>
      <c r="D43">
        <v>100</v>
      </c>
      <c r="E43">
        <v>100</v>
      </c>
      <c r="F43">
        <v>100</v>
      </c>
      <c r="I43" s="242">
        <v>80</v>
      </c>
      <c r="J43">
        <f>220-150</f>
        <v>70</v>
      </c>
      <c r="K43">
        <v>135</v>
      </c>
      <c r="L43" s="242">
        <v>20</v>
      </c>
      <c r="M43">
        <v>800</v>
      </c>
      <c r="N43">
        <f>240-80</f>
        <v>160</v>
      </c>
    </row>
    <row r="44" spans="1:26" hidden="1" outlineLevel="1">
      <c r="A44" s="415" t="s">
        <v>787</v>
      </c>
      <c r="B44" s="414">
        <f>80-482+232.5</f>
        <v>-169.5</v>
      </c>
      <c r="C44" s="242"/>
      <c r="I44" s="242">
        <v>300</v>
      </c>
      <c r="J44">
        <v>150</v>
      </c>
      <c r="L44" s="242"/>
      <c r="S44" s="243"/>
      <c r="V44" s="243"/>
    </row>
    <row r="45" spans="1:26" hidden="1" outlineLevel="1">
      <c r="A45" s="358" t="s">
        <v>332</v>
      </c>
      <c r="B45" s="414">
        <v>650</v>
      </c>
      <c r="C45" s="242"/>
      <c r="D45">
        <v>2000</v>
      </c>
      <c r="F45">
        <v>250</v>
      </c>
      <c r="H45">
        <v>2600</v>
      </c>
      <c r="I45" s="242">
        <v>1800</v>
      </c>
      <c r="K45">
        <v>1000</v>
      </c>
      <c r="L45" s="242">
        <f>3450</f>
        <v>3450</v>
      </c>
      <c r="S45" s="243"/>
      <c r="V45" s="243"/>
    </row>
    <row r="46" spans="1:26" hidden="1" outlineLevel="1">
      <c r="A46" s="358" t="s">
        <v>1391</v>
      </c>
      <c r="B46" s="414">
        <v>50</v>
      </c>
      <c r="C46" s="242"/>
      <c r="H46">
        <v>305</v>
      </c>
      <c r="I46" s="242">
        <v>200</v>
      </c>
      <c r="L46" s="242"/>
      <c r="V46" s="243"/>
    </row>
    <row r="47" spans="1:26" hidden="1" outlineLevel="1">
      <c r="A47" s="358" t="s">
        <v>1806</v>
      </c>
      <c r="B47" s="414">
        <v>-169.17</v>
      </c>
      <c r="C47" s="242"/>
      <c r="I47" s="242"/>
      <c r="J47" s="242"/>
      <c r="K47" s="242"/>
      <c r="L47" s="242"/>
      <c r="M47" s="242"/>
      <c r="N47" s="242"/>
    </row>
    <row r="48" spans="1:26" hidden="1" outlineLevel="1">
      <c r="A48" s="358" t="s">
        <v>3085</v>
      </c>
      <c r="B48" s="414"/>
      <c r="C48" s="242"/>
      <c r="I48" s="242"/>
      <c r="J48" s="242"/>
      <c r="K48" s="242"/>
      <c r="L48" s="242"/>
      <c r="M48" s="242">
        <v>89.93</v>
      </c>
      <c r="N48" s="242"/>
    </row>
    <row r="49" spans="1:21" hidden="1" outlineLevel="1">
      <c r="A49" s="358" t="s">
        <v>1612</v>
      </c>
      <c r="B49" s="414"/>
      <c r="C49" s="242"/>
      <c r="I49" s="242"/>
      <c r="J49" s="242"/>
      <c r="K49" s="242"/>
      <c r="L49" s="242"/>
      <c r="M49" s="242"/>
      <c r="N49" s="242"/>
    </row>
    <row r="50" spans="1:21" hidden="1" outlineLevel="1">
      <c r="A50" s="358" t="s">
        <v>3084</v>
      </c>
      <c r="B50" s="414"/>
      <c r="C50" s="242"/>
      <c r="I50" s="242"/>
      <c r="J50" s="242"/>
      <c r="K50" s="242"/>
      <c r="L50" s="242"/>
      <c r="M50" s="242"/>
      <c r="N50" s="242"/>
    </row>
    <row r="51" spans="1:21" hidden="1" outlineLevel="1">
      <c r="A51" s="358" t="s">
        <v>1807</v>
      </c>
      <c r="B51" s="414"/>
      <c r="C51" s="242"/>
      <c r="D51">
        <v>300</v>
      </c>
      <c r="I51" s="242"/>
      <c r="L51" s="242"/>
    </row>
    <row r="52" spans="1:21" hidden="1" outlineLevel="1">
      <c r="A52" s="7"/>
      <c r="C52" s="242"/>
      <c r="I52" s="242"/>
      <c r="L52" s="242"/>
    </row>
    <row r="53" spans="1:21" ht="25.8" collapsed="1">
      <c r="A53" s="452" t="s">
        <v>1805</v>
      </c>
      <c r="B53" s="452"/>
      <c r="C53" s="537"/>
      <c r="D53" s="452"/>
      <c r="E53" s="452"/>
      <c r="F53" s="452"/>
      <c r="G53" s="452"/>
      <c r="H53" s="452"/>
      <c r="I53" s="537"/>
      <c r="J53" s="452"/>
      <c r="K53" s="452"/>
      <c r="L53" s="537"/>
      <c r="M53" s="452"/>
      <c r="N53" s="452"/>
      <c r="O53" s="604"/>
      <c r="P53" s="604"/>
    </row>
    <row r="54" spans="1:21" outlineLevel="1">
      <c r="A54" s="358"/>
      <c r="B54" s="358"/>
      <c r="C54" s="357" t="s">
        <v>1324</v>
      </c>
      <c r="D54" s="90" t="s">
        <v>1325</v>
      </c>
      <c r="E54" s="90" t="s">
        <v>1326</v>
      </c>
      <c r="F54" s="90" t="s">
        <v>1327</v>
      </c>
      <c r="G54" s="90" t="s">
        <v>1328</v>
      </c>
      <c r="H54" s="90" t="s">
        <v>1329</v>
      </c>
      <c r="I54" s="357" t="s">
        <v>1330</v>
      </c>
      <c r="J54" s="90" t="s">
        <v>1331</v>
      </c>
      <c r="K54" s="90" t="s">
        <v>1332</v>
      </c>
      <c r="L54" s="357" t="s">
        <v>1333</v>
      </c>
      <c r="M54" s="90" t="s">
        <v>1334</v>
      </c>
      <c r="N54" s="90" t="s">
        <v>1335</v>
      </c>
      <c r="O54" s="90"/>
      <c r="P54" s="90"/>
    </row>
    <row r="55" spans="1:21" outlineLevel="1">
      <c r="A55" s="358" t="s">
        <v>1289</v>
      </c>
      <c r="B55" s="414" t="s">
        <v>1290</v>
      </c>
      <c r="C55" s="242">
        <f>3572.68+201.56</f>
        <v>3774.24</v>
      </c>
      <c r="D55">
        <f>B56+2000+700</f>
        <v>3536.66</v>
      </c>
      <c r="E55">
        <f>B56+200+70</f>
        <v>1106.6599999999999</v>
      </c>
      <c r="F55">
        <f>B56+50</f>
        <v>886.66</v>
      </c>
      <c r="G55">
        <f>B56</f>
        <v>836.66</v>
      </c>
      <c r="H55">
        <f>'JUN-JUL 26'!F35</f>
        <v>1076.6599999999999</v>
      </c>
      <c r="I55" s="242">
        <f>B56+650+50</f>
        <v>1536.6599999999999</v>
      </c>
      <c r="J55">
        <f>B56+100</f>
        <v>936.66</v>
      </c>
      <c r="K55">
        <f>B56+600</f>
        <v>1436.6599999999999</v>
      </c>
      <c r="L55" s="242">
        <f>B56+500+50+350+Q57</f>
        <v>1876.6599999999999</v>
      </c>
      <c r="M55">
        <f>B56+350</f>
        <v>1186.6599999999999</v>
      </c>
      <c r="N55">
        <f>B56+50+350</f>
        <v>1236.6599999999999</v>
      </c>
    </row>
    <row r="56" spans="1:21" outlineLevel="1">
      <c r="A56" s="453" t="s">
        <v>1287</v>
      </c>
      <c r="B56" s="453">
        <f>SUM(B57:B80)</f>
        <v>836.66</v>
      </c>
      <c r="C56" s="242">
        <f>C55-SUM(C57:C80)</f>
        <v>101.92999999999984</v>
      </c>
      <c r="D56">
        <f>C56+D55-SUM(D57:D80)+78.65</f>
        <v>549.61999999999978</v>
      </c>
      <c r="E56">
        <f>D56+E55-SUM(E57:E80)</f>
        <v>545.4699999999998</v>
      </c>
      <c r="F56">
        <f>293-150-60</f>
        <v>83</v>
      </c>
      <c r="G56">
        <f>'MAY-JUN 26'!O38</f>
        <v>-2507.6499999999996</v>
      </c>
      <c r="H56">
        <f>G56+H55-SUM(H57:H80)</f>
        <v>-3670.7599999999998</v>
      </c>
      <c r="I56" s="242">
        <f>-3039.98+Q58</f>
        <v>-2997.98</v>
      </c>
      <c r="J56">
        <f t="shared" ref="J56:M56" si="3">I56+J55-SUM(J57:J80)</f>
        <v>-2176.3200000000002</v>
      </c>
      <c r="K56">
        <f t="shared" si="3"/>
        <v>-2696.6500000000005</v>
      </c>
      <c r="L56" s="242">
        <f t="shared" si="3"/>
        <v>-891.24000000000069</v>
      </c>
      <c r="M56">
        <f t="shared" si="3"/>
        <v>-1124.5800000000008</v>
      </c>
      <c r="N56">
        <f>M56+N55-SUM(N57:N80)</f>
        <v>-47.910000000000991</v>
      </c>
      <c r="P56" s="726" t="s">
        <v>3409</v>
      </c>
      <c r="Q56" s="726"/>
    </row>
    <row r="57" spans="1:21" outlineLevel="1">
      <c r="A57" s="415" t="s">
        <v>1298</v>
      </c>
      <c r="B57" s="414">
        <f>ROUND(280/12,0)</f>
        <v>23</v>
      </c>
      <c r="C57" s="242">
        <f>761.82+54</f>
        <v>815.82</v>
      </c>
      <c r="H57">
        <v>85</v>
      </c>
      <c r="I57" s="242"/>
      <c r="L57" s="242"/>
      <c r="P57" s="242" t="s">
        <v>3327</v>
      </c>
      <c r="Q57" s="242">
        <v>140</v>
      </c>
      <c r="R57" t="s">
        <v>3458</v>
      </c>
    </row>
    <row r="58" spans="1:21" outlineLevel="1">
      <c r="A58" s="415" t="s">
        <v>39</v>
      </c>
      <c r="B58" s="414">
        <f>(45*4)/12</f>
        <v>15</v>
      </c>
      <c r="C58" s="242"/>
      <c r="D58">
        <v>45</v>
      </c>
      <c r="G58">
        <v>45</v>
      </c>
      <c r="I58" s="242"/>
      <c r="J58">
        <v>45</v>
      </c>
      <c r="L58" s="242"/>
      <c r="M58">
        <v>45</v>
      </c>
      <c r="P58" s="358" t="s">
        <v>3533</v>
      </c>
      <c r="Q58" s="358">
        <v>42</v>
      </c>
      <c r="R58" t="s">
        <v>122</v>
      </c>
    </row>
    <row r="59" spans="1:21" outlineLevel="1">
      <c r="A59" s="415" t="s">
        <v>662</v>
      </c>
      <c r="B59" s="414">
        <v>6.66</v>
      </c>
      <c r="C59" s="242"/>
      <c r="E59">
        <v>19.989999999999998</v>
      </c>
      <c r="H59">
        <v>19.989999999999998</v>
      </c>
      <c r="I59" s="242"/>
      <c r="K59">
        <v>19.989999999999998</v>
      </c>
      <c r="L59" s="242"/>
      <c r="N59">
        <v>19.989999999999998</v>
      </c>
      <c r="P59" s="331" t="s">
        <v>3528</v>
      </c>
      <c r="Q59" s="331">
        <v>300</v>
      </c>
      <c r="R59" t="s">
        <v>122</v>
      </c>
    </row>
    <row r="60" spans="1:21" outlineLevel="1">
      <c r="A60" s="415" t="s">
        <v>359</v>
      </c>
      <c r="B60" s="414">
        <f>ROUND((41*4)/12,0)</f>
        <v>14</v>
      </c>
      <c r="C60" s="242">
        <v>41</v>
      </c>
      <c r="F60">
        <v>46.25</v>
      </c>
      <c r="I60" s="242">
        <v>46.25</v>
      </c>
      <c r="L60" s="242">
        <v>46.25</v>
      </c>
      <c r="P60" s="331" t="s">
        <v>3328</v>
      </c>
      <c r="Q60" s="331">
        <v>20</v>
      </c>
      <c r="R60" t="s">
        <v>3339</v>
      </c>
    </row>
    <row r="61" spans="1:21" outlineLevel="1">
      <c r="A61" s="415" t="s">
        <v>701</v>
      </c>
      <c r="B61" s="414">
        <v>250</v>
      </c>
      <c r="C61" s="242">
        <f>Gifts!$K$14+180.96</f>
        <v>260.96000000000004</v>
      </c>
      <c r="D61">
        <f>Gifts!$K$21-180.96</f>
        <v>124.03999999999999</v>
      </c>
      <c r="E61">
        <f>Gifts!$K$32</f>
        <v>100</v>
      </c>
      <c r="F61">
        <f>Gifts!$K$37-100</f>
        <v>25</v>
      </c>
      <c r="G61">
        <f>Gifts!$K$47-50</f>
        <v>110</v>
      </c>
      <c r="H61">
        <f>Gifts!$K$56-50</f>
        <v>70</v>
      </c>
      <c r="I61" s="242">
        <f>Gifts!$K$63</f>
        <v>20</v>
      </c>
      <c r="J61">
        <f>Gifts!$K$70-150</f>
        <v>70</v>
      </c>
      <c r="K61">
        <f>Gifts!$K$79</f>
        <v>150</v>
      </c>
      <c r="L61" s="242">
        <f>Gifts!$K$88</f>
        <v>25</v>
      </c>
      <c r="M61">
        <f>Gifts!$K$92+Gifts!$G$186</f>
        <v>1375</v>
      </c>
      <c r="N61">
        <f>Gifts!$K$3</f>
        <v>140</v>
      </c>
      <c r="P61" s="331" t="s">
        <v>3329</v>
      </c>
      <c r="Q61" s="331">
        <v>150</v>
      </c>
      <c r="R61" t="s">
        <v>122</v>
      </c>
      <c r="S61" s="726"/>
      <c r="T61" s="726"/>
      <c r="U61" s="726"/>
    </row>
    <row r="62" spans="1:21" outlineLevel="1">
      <c r="A62" s="415" t="s">
        <v>3273</v>
      </c>
      <c r="B62" s="742">
        <v>287</v>
      </c>
      <c r="C62" s="242">
        <v>90</v>
      </c>
      <c r="E62">
        <f>425</f>
        <v>425</v>
      </c>
      <c r="I62" s="242"/>
      <c r="L62" s="242"/>
      <c r="P62" s="331" t="s">
        <v>3338</v>
      </c>
      <c r="Q62" s="331">
        <v>40</v>
      </c>
      <c r="S62" s="79"/>
      <c r="T62" s="79"/>
      <c r="U62" s="79"/>
    </row>
    <row r="63" spans="1:21" outlineLevel="1">
      <c r="A63" s="415" t="s">
        <v>3261</v>
      </c>
      <c r="B63" s="742"/>
      <c r="C63" s="242"/>
      <c r="D63">
        <v>2700</v>
      </c>
      <c r="I63" s="242"/>
      <c r="L63" s="242"/>
      <c r="P63" s="331" t="s">
        <v>3416</v>
      </c>
      <c r="Q63" s="331">
        <v>175</v>
      </c>
    </row>
    <row r="64" spans="1:21" outlineLevel="1">
      <c r="A64" s="415" t="s">
        <v>3262</v>
      </c>
      <c r="B64" s="742"/>
      <c r="C64" s="242">
        <v>201.56</v>
      </c>
      <c r="G64">
        <f>'MAY-JUN 26'!O43</f>
        <v>2620.1699999999996</v>
      </c>
      <c r="L64" s="242"/>
      <c r="P64" s="331" t="s">
        <v>3417</v>
      </c>
      <c r="Q64" s="331">
        <v>100</v>
      </c>
    </row>
    <row r="65" spans="1:18" outlineLevel="1">
      <c r="A65" s="415" t="s">
        <v>3428</v>
      </c>
      <c r="B65" s="742"/>
      <c r="C65" s="242"/>
      <c r="I65" s="242"/>
      <c r="K65">
        <f>'HOL - Bali 2026'!B28</f>
        <v>1787</v>
      </c>
      <c r="L65" s="242"/>
      <c r="Q65">
        <f>SUM(Q57)</f>
        <v>140</v>
      </c>
    </row>
    <row r="66" spans="1:18" outlineLevel="1">
      <c r="A66" s="415" t="s">
        <v>3337</v>
      </c>
      <c r="B66" s="742"/>
      <c r="C66" s="242"/>
      <c r="E66">
        <f>245.94</f>
        <v>245.94</v>
      </c>
      <c r="F66">
        <f>'Latvia 2026'!B17</f>
        <v>1245</v>
      </c>
      <c r="I66" s="242"/>
      <c r="L66" s="242"/>
      <c r="P66" t="s">
        <v>3529</v>
      </c>
      <c r="Q66">
        <f>SUM(Q59:Q64)</f>
        <v>785</v>
      </c>
    </row>
    <row r="67" spans="1:18" outlineLevel="1">
      <c r="A67" s="415" t="s">
        <v>3284</v>
      </c>
      <c r="B67" s="742"/>
      <c r="C67" s="242"/>
      <c r="D67">
        <f>180.4+118.18</f>
        <v>298.58000000000004</v>
      </c>
      <c r="I67" s="242"/>
      <c r="L67" s="242"/>
    </row>
    <row r="68" spans="1:18" outlineLevel="1">
      <c r="A68" s="415" t="s">
        <v>3263</v>
      </c>
      <c r="B68" s="742"/>
      <c r="C68" s="242"/>
      <c r="G68">
        <f>'MAY-JUN 26'!O44</f>
        <v>578.30999999999995</v>
      </c>
      <c r="I68" s="242"/>
      <c r="L68" s="242"/>
    </row>
    <row r="69" spans="1:18" outlineLevel="1">
      <c r="A69" s="415" t="s">
        <v>3336</v>
      </c>
      <c r="B69" s="454"/>
      <c r="C69" s="242"/>
      <c r="E69">
        <v>32</v>
      </c>
      <c r="H69">
        <f>'JUN-JUL 26'!O42</f>
        <v>1574.38</v>
      </c>
      <c r="I69" s="242"/>
      <c r="L69" s="242"/>
    </row>
    <row r="70" spans="1:18" outlineLevel="1">
      <c r="A70" s="415" t="s">
        <v>3505</v>
      </c>
      <c r="B70" s="454"/>
      <c r="C70" s="242"/>
      <c r="I70" s="242">
        <f>800+636</f>
        <v>1436</v>
      </c>
      <c r="L70" s="242"/>
    </row>
    <row r="71" spans="1:18" outlineLevel="1">
      <c r="A71" s="415" t="s">
        <v>3265</v>
      </c>
      <c r="B71" s="454"/>
      <c r="C71" s="242">
        <f>1307+246.5+(99.99+36.99)</f>
        <v>1690.48</v>
      </c>
      <c r="I71" s="242"/>
      <c r="L71" s="242"/>
    </row>
    <row r="72" spans="1:18" outlineLevel="1">
      <c r="A72" s="415" t="s">
        <v>3276</v>
      </c>
      <c r="B72" s="454"/>
      <c r="C72" s="242">
        <v>59.5</v>
      </c>
      <c r="I72" s="242"/>
      <c r="L72" s="242"/>
    </row>
    <row r="73" spans="1:18" outlineLevel="1">
      <c r="A73" s="415" t="s">
        <v>604</v>
      </c>
      <c r="B73" s="414">
        <f>750/12</f>
        <v>62.5</v>
      </c>
      <c r="C73" s="242">
        <f>30+268</f>
        <v>298</v>
      </c>
      <c r="I73" s="242"/>
      <c r="L73" s="242"/>
    </row>
    <row r="74" spans="1:18" outlineLevel="1">
      <c r="A74" s="415" t="s">
        <v>3264</v>
      </c>
      <c r="B74" s="414">
        <f>ROUND(1450/12,0)</f>
        <v>121</v>
      </c>
      <c r="C74" s="242"/>
      <c r="G74">
        <f>'MAY-JUN 26'!O39</f>
        <v>262.87</v>
      </c>
      <c r="H74">
        <f>'JUN-JUL 26'!O36</f>
        <v>383.40000000000003</v>
      </c>
      <c r="I74" s="242">
        <v>130</v>
      </c>
      <c r="L74" s="242"/>
      <c r="Q74" s="7"/>
      <c r="R74" s="7"/>
    </row>
    <row r="75" spans="1:18" outlineLevel="1">
      <c r="A75" s="489" t="s">
        <v>1806</v>
      </c>
      <c r="B75" s="414">
        <f>ROUND(95/12,0)</f>
        <v>8</v>
      </c>
      <c r="C75" s="242"/>
      <c r="G75">
        <v>95</v>
      </c>
      <c r="I75" s="242"/>
      <c r="L75" s="242"/>
      <c r="Q75" s="7"/>
      <c r="R75" s="7"/>
    </row>
    <row r="76" spans="1:18" outlineLevel="1">
      <c r="A76" s="489" t="s">
        <v>3085</v>
      </c>
      <c r="B76" s="414">
        <f>90/12</f>
        <v>7.5</v>
      </c>
      <c r="C76" s="242">
        <v>107</v>
      </c>
      <c r="H76">
        <v>107</v>
      </c>
      <c r="I76" s="242"/>
      <c r="L76" s="242"/>
      <c r="Q76" s="7"/>
      <c r="R76" s="7"/>
    </row>
    <row r="77" spans="1:18" outlineLevel="1">
      <c r="A77" s="489" t="s">
        <v>1612</v>
      </c>
      <c r="B77" s="414">
        <f>ROUND(80/12,0)</f>
        <v>7</v>
      </c>
      <c r="C77" s="242"/>
      <c r="I77" s="242"/>
      <c r="L77" s="242"/>
      <c r="Q77" s="7"/>
      <c r="R77" s="7"/>
    </row>
    <row r="78" spans="1:18" outlineLevel="1">
      <c r="A78" s="489" t="s">
        <v>3084</v>
      </c>
      <c r="B78" s="414">
        <f>120/12</f>
        <v>10</v>
      </c>
      <c r="C78" s="242">
        <v>107.99</v>
      </c>
      <c r="I78" s="242"/>
      <c r="L78" s="242"/>
      <c r="Q78" s="7"/>
      <c r="R78" s="7"/>
    </row>
    <row r="79" spans="1:18" outlineLevel="1">
      <c r="A79" s="489" t="s">
        <v>1807</v>
      </c>
      <c r="B79" s="414"/>
      <c r="C79" s="242"/>
      <c r="I79" s="242">
        <v>300</v>
      </c>
      <c r="L79" s="242"/>
      <c r="Q79" s="7"/>
      <c r="R79" s="7"/>
    </row>
    <row r="80" spans="1:18" outlineLevel="1">
      <c r="A80" s="489" t="s">
        <v>3322</v>
      </c>
      <c r="B80" s="490">
        <f>300/12</f>
        <v>25</v>
      </c>
      <c r="C80" s="242"/>
      <c r="E80" s="305">
        <f>13.99+20.25+(144.39-17.1)+17.65+28.7+80</f>
        <v>287.88</v>
      </c>
      <c r="G80">
        <f>'MAY-JUN 26'!O40</f>
        <v>30.93</v>
      </c>
      <c r="I80" s="242"/>
      <c r="L80" s="242"/>
      <c r="Q80" s="7"/>
      <c r="R80" s="7"/>
    </row>
    <row r="81" spans="1:21" outlineLevel="1">
      <c r="A81" s="422"/>
      <c r="C81" s="242"/>
      <c r="I81" s="242"/>
      <c r="K81" s="79"/>
      <c r="L81" s="290"/>
      <c r="M81" s="7"/>
      <c r="Q81" s="7"/>
      <c r="R81" s="7"/>
    </row>
    <row r="82" spans="1:21" ht="25.8">
      <c r="A82" s="452" t="s">
        <v>2259</v>
      </c>
      <c r="B82" s="452"/>
      <c r="C82" s="537"/>
      <c r="D82" s="452"/>
      <c r="E82" s="452"/>
      <c r="F82" s="452"/>
      <c r="G82" s="452"/>
      <c r="H82" s="452"/>
      <c r="I82" s="537"/>
      <c r="J82" s="452"/>
      <c r="K82" s="452"/>
      <c r="L82" s="537"/>
      <c r="M82" s="452"/>
      <c r="N82" s="452"/>
      <c r="O82" s="604"/>
      <c r="P82" s="604"/>
    </row>
    <row r="83" spans="1:21" outlineLevel="1">
      <c r="A83" s="358"/>
      <c r="B83" s="358"/>
      <c r="C83" s="357" t="s">
        <v>1324</v>
      </c>
      <c r="D83" s="90" t="s">
        <v>1325</v>
      </c>
      <c r="E83" s="90" t="s">
        <v>1326</v>
      </c>
      <c r="F83" s="90" t="s">
        <v>1327</v>
      </c>
      <c r="G83" s="90" t="s">
        <v>1328</v>
      </c>
      <c r="H83" s="90" t="s">
        <v>1329</v>
      </c>
      <c r="I83" s="357" t="s">
        <v>1330</v>
      </c>
      <c r="J83" s="90" t="s">
        <v>1331</v>
      </c>
      <c r="K83" s="90" t="s">
        <v>1332</v>
      </c>
      <c r="L83" s="357" t="s">
        <v>1333</v>
      </c>
      <c r="M83" s="90" t="s">
        <v>1334</v>
      </c>
      <c r="N83" s="90" t="s">
        <v>1335</v>
      </c>
      <c r="O83" s="90"/>
      <c r="P83" s="90"/>
    </row>
    <row r="84" spans="1:21" outlineLevel="1">
      <c r="A84" s="358" t="s">
        <v>1289</v>
      </c>
      <c r="B84" s="414" t="s">
        <v>1290</v>
      </c>
      <c r="C84" s="242">
        <f>B85+2000+50</f>
        <v>2886.66</v>
      </c>
      <c r="D84">
        <f>B85</f>
        <v>836.66</v>
      </c>
      <c r="E84">
        <f>B85</f>
        <v>836.66</v>
      </c>
      <c r="F84">
        <f>B85+50</f>
        <v>886.66</v>
      </c>
      <c r="G84">
        <f>B85</f>
        <v>836.66</v>
      </c>
      <c r="H84">
        <f>B85</f>
        <v>836.66</v>
      </c>
      <c r="I84" s="242">
        <f>B85+950+50</f>
        <v>1836.6599999999999</v>
      </c>
      <c r="J84">
        <f>B85</f>
        <v>836.66</v>
      </c>
      <c r="K84">
        <f>B85</f>
        <v>836.66</v>
      </c>
      <c r="L84" s="242">
        <f>B85+500+50</f>
        <v>1386.6599999999999</v>
      </c>
      <c r="M84">
        <f>B85</f>
        <v>836.66</v>
      </c>
      <c r="N84">
        <f>B85+50</f>
        <v>886.66</v>
      </c>
    </row>
    <row r="85" spans="1:21" outlineLevel="1">
      <c r="A85" s="453" t="s">
        <v>1287</v>
      </c>
      <c r="B85" s="665">
        <f>SUM(B86:B102)</f>
        <v>836.66</v>
      </c>
      <c r="C85" s="242">
        <f>C84-SUM(C86:C102)</f>
        <v>2479.16</v>
      </c>
      <c r="D85">
        <f t="shared" ref="D85:N85" si="4">C85+D84-SUM(D86:D102)</f>
        <v>358.81999999999971</v>
      </c>
      <c r="E85">
        <f t="shared" si="4"/>
        <v>55.489999999999554</v>
      </c>
      <c r="F85">
        <f t="shared" si="4"/>
        <v>817.14999999999952</v>
      </c>
      <c r="G85">
        <f t="shared" si="4"/>
        <v>-2272.1900000000005</v>
      </c>
      <c r="H85">
        <f t="shared" si="4"/>
        <v>-2362.5200000000004</v>
      </c>
      <c r="I85" s="242">
        <f t="shared" si="4"/>
        <v>-845.86000000000058</v>
      </c>
      <c r="J85">
        <f t="shared" si="4"/>
        <v>-315.20000000000061</v>
      </c>
      <c r="K85">
        <f t="shared" si="4"/>
        <v>-2648.5300000000007</v>
      </c>
      <c r="L85" s="242">
        <f t="shared" si="4"/>
        <v>-1286.8700000000008</v>
      </c>
      <c r="M85">
        <f t="shared" si="4"/>
        <v>-1991.2100000000009</v>
      </c>
      <c r="N85">
        <f t="shared" si="4"/>
        <v>-1264.5400000000011</v>
      </c>
    </row>
    <row r="86" spans="1:21" outlineLevel="1">
      <c r="A86" s="415" t="s">
        <v>1298</v>
      </c>
      <c r="B86" s="414">
        <f>ROUND(280/12,0)</f>
        <v>23</v>
      </c>
      <c r="C86" s="242"/>
      <c r="H86">
        <v>280</v>
      </c>
      <c r="I86" s="242"/>
      <c r="L86" s="242"/>
      <c r="Q86" s="258"/>
    </row>
    <row r="87" spans="1:21" outlineLevel="1">
      <c r="A87" s="415" t="s">
        <v>39</v>
      </c>
      <c r="B87" s="414">
        <f>(45*4)/12</f>
        <v>15</v>
      </c>
      <c r="C87" s="242"/>
      <c r="D87">
        <v>45</v>
      </c>
      <c r="G87">
        <v>45</v>
      </c>
      <c r="I87" s="242"/>
      <c r="J87">
        <v>45</v>
      </c>
      <c r="L87" s="242"/>
      <c r="M87">
        <v>45</v>
      </c>
    </row>
    <row r="88" spans="1:21" outlineLevel="1">
      <c r="A88" s="415" t="s">
        <v>662</v>
      </c>
      <c r="B88" s="414">
        <v>6.66</v>
      </c>
      <c r="C88" s="242"/>
      <c r="E88">
        <v>19.989999999999998</v>
      </c>
      <c r="H88">
        <v>19.989999999999998</v>
      </c>
      <c r="I88" s="242"/>
      <c r="K88">
        <v>19.989999999999998</v>
      </c>
      <c r="L88" s="242"/>
      <c r="N88">
        <v>19.989999999999998</v>
      </c>
    </row>
    <row r="89" spans="1:21" outlineLevel="1">
      <c r="A89" s="415" t="s">
        <v>359</v>
      </c>
      <c r="B89" s="414">
        <f>ROUND((41*4)/12,0)</f>
        <v>14</v>
      </c>
      <c r="C89" s="242"/>
      <c r="D89">
        <v>41</v>
      </c>
      <c r="G89">
        <v>41</v>
      </c>
      <c r="I89" s="242"/>
      <c r="J89">
        <v>41</v>
      </c>
      <c r="L89" s="242"/>
      <c r="M89">
        <v>41</v>
      </c>
    </row>
    <row r="90" spans="1:21" outlineLevel="1">
      <c r="A90" s="415" t="s">
        <v>701</v>
      </c>
      <c r="B90" s="414">
        <v>250</v>
      </c>
      <c r="C90" s="242">
        <f>Gifts!$K$14</f>
        <v>80</v>
      </c>
      <c r="D90">
        <f>Gifts!$K$21</f>
        <v>305</v>
      </c>
      <c r="E90">
        <f>Gifts!$K$32</f>
        <v>100</v>
      </c>
      <c r="F90">
        <f>Gifts!$K$37</f>
        <v>125</v>
      </c>
      <c r="G90">
        <f>Gifts!$K$47</f>
        <v>160</v>
      </c>
      <c r="H90">
        <f>Gifts!$K$56</f>
        <v>120</v>
      </c>
      <c r="I90" s="242">
        <f>Gifts!$K$63</f>
        <v>20</v>
      </c>
      <c r="J90">
        <f>Gifts!$K$70</f>
        <v>220</v>
      </c>
      <c r="K90">
        <f>Gifts!$K$79</f>
        <v>150</v>
      </c>
      <c r="L90" s="242">
        <f>Gifts!$K$88</f>
        <v>25</v>
      </c>
      <c r="M90">
        <f>Gifts!$K$92+Gifts!$G$186</f>
        <v>1375</v>
      </c>
      <c r="N90">
        <f>Gifts!$K$3</f>
        <v>140</v>
      </c>
      <c r="S90" s="726"/>
      <c r="T90" s="726"/>
      <c r="U90" s="726"/>
    </row>
    <row r="91" spans="1:21" outlineLevel="1">
      <c r="A91" s="489" t="s">
        <v>3269</v>
      </c>
      <c r="B91" s="787">
        <f>287+10</f>
        <v>297</v>
      </c>
      <c r="C91" s="242"/>
      <c r="K91">
        <v>3000</v>
      </c>
      <c r="L91" s="242"/>
      <c r="Q91" s="7"/>
      <c r="R91" s="7"/>
    </row>
    <row r="92" spans="1:21" outlineLevel="1">
      <c r="A92" s="489" t="s">
        <v>3524</v>
      </c>
      <c r="B92" s="787"/>
      <c r="C92" s="242"/>
      <c r="E92">
        <f>'HOL - Scotland 2027'!B15</f>
        <v>1020</v>
      </c>
      <c r="L92" s="242"/>
      <c r="Q92" s="7"/>
      <c r="R92" s="7"/>
    </row>
    <row r="93" spans="1:21" outlineLevel="1">
      <c r="A93" s="489" t="s">
        <v>3505</v>
      </c>
      <c r="B93" s="787"/>
      <c r="C93" s="242"/>
      <c r="D93">
        <f>'HOL - Barbados 2027'!B21</f>
        <v>2566</v>
      </c>
      <c r="L93" s="242"/>
      <c r="Q93" s="7"/>
      <c r="R93" s="7"/>
    </row>
    <row r="94" spans="1:21" outlineLevel="1">
      <c r="A94" s="489" t="s">
        <v>3525</v>
      </c>
      <c r="B94" s="787"/>
      <c r="C94" s="242"/>
      <c r="G94">
        <f>'HOL - Scarborough 2027'!B15</f>
        <v>595</v>
      </c>
      <c r="L94" s="242"/>
      <c r="Q94" s="7"/>
      <c r="R94" s="7"/>
    </row>
    <row r="95" spans="1:21" outlineLevel="1">
      <c r="A95" s="489" t="s">
        <v>3268</v>
      </c>
      <c r="B95" s="787"/>
      <c r="C95" s="242"/>
      <c r="G95">
        <f>'HOL - Greece 2027'!B20</f>
        <v>2990</v>
      </c>
      <c r="L95" s="242"/>
      <c r="Q95" s="7"/>
      <c r="R95" s="7"/>
    </row>
    <row r="96" spans="1:21" outlineLevel="1">
      <c r="A96" s="489" t="s">
        <v>3276</v>
      </c>
      <c r="B96" s="667"/>
      <c r="C96" s="242">
        <v>59.5</v>
      </c>
      <c r="L96" s="242"/>
      <c r="Q96" s="7"/>
      <c r="R96" s="7"/>
    </row>
    <row r="97" spans="1:21" outlineLevel="1">
      <c r="A97" s="489" t="s">
        <v>604</v>
      </c>
      <c r="B97" s="490">
        <f>750/12</f>
        <v>62.5</v>
      </c>
      <c r="C97" s="242">
        <f>268</f>
        <v>268</v>
      </c>
      <c r="H97">
        <v>400</v>
      </c>
      <c r="L97" s="242"/>
      <c r="Q97" s="7"/>
      <c r="R97" s="7"/>
    </row>
    <row r="98" spans="1:21" outlineLevel="1">
      <c r="A98" s="489" t="s">
        <v>3270</v>
      </c>
      <c r="B98" s="414">
        <f>ROUND(1450/12,0)</f>
        <v>121</v>
      </c>
      <c r="C98" s="242"/>
      <c r="L98" s="242"/>
      <c r="Q98" s="118"/>
    </row>
    <row r="99" spans="1:21" outlineLevel="1">
      <c r="A99" s="489" t="s">
        <v>1806</v>
      </c>
      <c r="B99" s="414">
        <f>ROUND(95/12,0)</f>
        <v>8</v>
      </c>
      <c r="C99" s="242"/>
      <c r="G99">
        <v>95</v>
      </c>
      <c r="I99" s="242"/>
      <c r="L99" s="242"/>
      <c r="Q99" s="7"/>
      <c r="R99" s="7"/>
    </row>
    <row r="100" spans="1:21" outlineLevel="1">
      <c r="A100" s="489" t="s">
        <v>3085</v>
      </c>
      <c r="B100" s="414">
        <f>90/12</f>
        <v>7.5</v>
      </c>
      <c r="C100" s="242"/>
      <c r="H100">
        <v>107</v>
      </c>
      <c r="I100" s="242"/>
      <c r="L100" s="242"/>
      <c r="Q100" s="7"/>
      <c r="R100" s="7"/>
    </row>
    <row r="101" spans="1:21" outlineLevel="1">
      <c r="A101" s="489" t="s">
        <v>1612</v>
      </c>
      <c r="B101" s="414">
        <f>ROUND(80/12,0)</f>
        <v>7</v>
      </c>
      <c r="C101" s="242"/>
      <c r="I101" s="242"/>
      <c r="L101" s="242"/>
      <c r="M101">
        <v>80</v>
      </c>
      <c r="Q101" s="7"/>
      <c r="R101" s="7"/>
    </row>
    <row r="102" spans="1:21" outlineLevel="1">
      <c r="A102" s="489" t="s">
        <v>1807</v>
      </c>
      <c r="B102" s="490">
        <f>300/12</f>
        <v>25</v>
      </c>
      <c r="C102" s="242"/>
      <c r="I102" s="242">
        <v>300</v>
      </c>
      <c r="L102" s="242"/>
      <c r="Q102" s="7"/>
      <c r="R102" s="7"/>
    </row>
    <row r="103" spans="1:21" outlineLevel="1">
      <c r="A103" s="422"/>
      <c r="C103" s="242"/>
      <c r="I103" s="242"/>
      <c r="K103" s="79"/>
      <c r="L103" s="290"/>
      <c r="M103" s="7"/>
      <c r="Q103" s="7"/>
      <c r="R103" s="7"/>
    </row>
    <row r="104" spans="1:21" ht="25.8">
      <c r="A104" s="452" t="s">
        <v>2260</v>
      </c>
      <c r="B104" s="452"/>
      <c r="C104" s="537"/>
      <c r="D104" s="452"/>
      <c r="E104" s="452"/>
      <c r="F104" s="452"/>
      <c r="G104" s="452"/>
      <c r="H104" s="452"/>
      <c r="I104" s="537"/>
      <c r="J104" s="452"/>
      <c r="K104" s="452"/>
      <c r="L104" s="537"/>
      <c r="M104" s="452"/>
      <c r="N104" s="452"/>
      <c r="O104" s="604"/>
      <c r="P104" s="604"/>
    </row>
    <row r="105" spans="1:21" outlineLevel="1">
      <c r="A105" s="358"/>
      <c r="B105" s="358"/>
      <c r="C105" s="357" t="s">
        <v>1324</v>
      </c>
      <c r="D105" s="90" t="s">
        <v>1325</v>
      </c>
      <c r="E105" s="90" t="s">
        <v>1326</v>
      </c>
      <c r="F105" s="90" t="s">
        <v>1327</v>
      </c>
      <c r="G105" s="90" t="s">
        <v>1328</v>
      </c>
      <c r="H105" s="522" t="s">
        <v>1329</v>
      </c>
      <c r="I105" s="357" t="s">
        <v>1330</v>
      </c>
      <c r="J105" s="90" t="s">
        <v>1331</v>
      </c>
      <c r="K105" s="90" t="s">
        <v>1332</v>
      </c>
      <c r="L105" s="357" t="s">
        <v>1333</v>
      </c>
      <c r="M105" s="90" t="s">
        <v>1334</v>
      </c>
      <c r="N105" s="90" t="s">
        <v>1335</v>
      </c>
      <c r="O105" s="90"/>
      <c r="P105" s="90"/>
    </row>
    <row r="106" spans="1:21" outlineLevel="1">
      <c r="A106" s="358" t="s">
        <v>1289</v>
      </c>
      <c r="B106" s="414" t="s">
        <v>1290</v>
      </c>
      <c r="C106" s="242">
        <f>B107+2000</f>
        <v>2870</v>
      </c>
      <c r="D106">
        <f>B107</f>
        <v>870</v>
      </c>
      <c r="E106">
        <f>B107+50</f>
        <v>920</v>
      </c>
      <c r="F106">
        <f>B107</f>
        <v>870</v>
      </c>
      <c r="G106">
        <f>B107</f>
        <v>870</v>
      </c>
      <c r="H106" s="331">
        <f>B107+50</f>
        <v>920</v>
      </c>
      <c r="I106" s="242">
        <f>B107+950</f>
        <v>1820</v>
      </c>
      <c r="J106">
        <f>B107</f>
        <v>870</v>
      </c>
      <c r="K106">
        <f>B107+50</f>
        <v>920</v>
      </c>
      <c r="L106" s="242">
        <f>B107+500</f>
        <v>1370</v>
      </c>
      <c r="M106">
        <f>B107</f>
        <v>870</v>
      </c>
      <c r="N106">
        <f>B107+50</f>
        <v>920</v>
      </c>
    </row>
    <row r="107" spans="1:21" outlineLevel="1">
      <c r="A107" s="453" t="s">
        <v>1287</v>
      </c>
      <c r="B107" s="453">
        <f>SUM(B108:B120)</f>
        <v>870</v>
      </c>
      <c r="C107" s="242">
        <f>C106-SUM(C108:C120)</f>
        <v>2462.5</v>
      </c>
      <c r="D107">
        <f t="shared" ref="D107:N107" si="5">C107+D106-SUM(D108:D120)</f>
        <v>-558.5</v>
      </c>
      <c r="E107">
        <f t="shared" si="5"/>
        <v>261.5</v>
      </c>
      <c r="F107">
        <f t="shared" si="5"/>
        <v>1006.5</v>
      </c>
      <c r="G107">
        <f t="shared" si="5"/>
        <v>1535.5</v>
      </c>
      <c r="H107" s="331">
        <f t="shared" si="5"/>
        <v>1548.5</v>
      </c>
      <c r="I107" s="242">
        <f t="shared" si="5"/>
        <v>3048.5</v>
      </c>
      <c r="J107">
        <f t="shared" si="5"/>
        <v>3612.5</v>
      </c>
      <c r="K107">
        <f t="shared" si="5"/>
        <v>-2917.5</v>
      </c>
      <c r="L107" s="242">
        <f t="shared" si="5"/>
        <v>-1572.5</v>
      </c>
      <c r="M107">
        <f t="shared" si="5"/>
        <v>-2243.5</v>
      </c>
      <c r="N107">
        <f t="shared" si="5"/>
        <v>-1463.5</v>
      </c>
    </row>
    <row r="108" spans="1:21" outlineLevel="1">
      <c r="A108" s="415" t="s">
        <v>1298</v>
      </c>
      <c r="B108" s="414">
        <f>ROUND(280/12,0)</f>
        <v>23</v>
      </c>
      <c r="C108" s="242"/>
      <c r="H108" s="331">
        <v>280</v>
      </c>
      <c r="I108" s="242"/>
      <c r="L108" s="242"/>
      <c r="Q108" s="258"/>
    </row>
    <row r="109" spans="1:21" outlineLevel="1">
      <c r="A109" s="415" t="s">
        <v>39</v>
      </c>
      <c r="B109" s="414">
        <f>(45*4)/12</f>
        <v>15</v>
      </c>
      <c r="C109" s="242"/>
      <c r="D109">
        <v>45</v>
      </c>
      <c r="G109">
        <v>45</v>
      </c>
      <c r="I109" s="242"/>
      <c r="J109">
        <v>45</v>
      </c>
      <c r="L109" s="242"/>
      <c r="M109">
        <v>45</v>
      </c>
      <c r="Q109" s="258"/>
    </row>
    <row r="110" spans="1:21" outlineLevel="1">
      <c r="A110" s="415" t="s">
        <v>359</v>
      </c>
      <c r="B110" s="414">
        <f>ROUND((41*4)/12,0)</f>
        <v>14</v>
      </c>
      <c r="C110" s="242"/>
      <c r="D110">
        <v>41</v>
      </c>
      <c r="G110">
        <v>41</v>
      </c>
      <c r="H110" s="331"/>
      <c r="I110" s="242"/>
      <c r="J110">
        <v>41</v>
      </c>
      <c r="L110" s="242"/>
      <c r="M110">
        <v>41</v>
      </c>
    </row>
    <row r="111" spans="1:21" outlineLevel="1">
      <c r="A111" s="415" t="s">
        <v>701</v>
      </c>
      <c r="B111" s="414">
        <v>250</v>
      </c>
      <c r="C111" s="242">
        <f>Gifts!$K$14</f>
        <v>80</v>
      </c>
      <c r="D111">
        <f>Gifts!$K$21</f>
        <v>305</v>
      </c>
      <c r="E111">
        <f>Gifts!$K$32</f>
        <v>100</v>
      </c>
      <c r="F111">
        <f>Gifts!$K$37</f>
        <v>125</v>
      </c>
      <c r="G111">
        <f>Gifts!$K$47</f>
        <v>160</v>
      </c>
      <c r="H111">
        <f>Gifts!$K$56</f>
        <v>120</v>
      </c>
      <c r="I111" s="242">
        <f>Gifts!$K$63</f>
        <v>20</v>
      </c>
      <c r="J111">
        <f>Gifts!$K$70</f>
        <v>220</v>
      </c>
      <c r="K111">
        <f>Gifts!$K$79</f>
        <v>150</v>
      </c>
      <c r="L111" s="242">
        <f>Gifts!$K$88</f>
        <v>25</v>
      </c>
      <c r="M111">
        <f>Gifts!$K$92+Gifts!$G$186</f>
        <v>1375</v>
      </c>
      <c r="N111">
        <f>Gifts!$K$3</f>
        <v>140</v>
      </c>
      <c r="S111" s="726"/>
      <c r="T111" s="726"/>
      <c r="U111" s="726"/>
    </row>
    <row r="112" spans="1:21" outlineLevel="1">
      <c r="A112" s="415" t="s">
        <v>3271</v>
      </c>
      <c r="B112" s="788">
        <f>327+10</f>
        <v>337</v>
      </c>
      <c r="C112" s="242"/>
      <c r="D112">
        <v>3500</v>
      </c>
      <c r="H112" s="331"/>
      <c r="I112" s="242"/>
      <c r="K112">
        <v>7300</v>
      </c>
      <c r="L112" s="242"/>
      <c r="Q112" s="7"/>
      <c r="R112" s="7"/>
    </row>
    <row r="113" spans="1:18" outlineLevel="1">
      <c r="A113" s="489" t="s">
        <v>3272</v>
      </c>
      <c r="B113" s="788"/>
      <c r="C113" s="242"/>
      <c r="L113" s="242"/>
      <c r="Q113" s="7"/>
      <c r="R113" s="7"/>
    </row>
    <row r="114" spans="1:18" outlineLevel="1">
      <c r="A114" s="489" t="s">
        <v>3276</v>
      </c>
      <c r="B114" s="668"/>
      <c r="C114" s="242">
        <v>59.5</v>
      </c>
      <c r="L114" s="242"/>
      <c r="Q114" s="7"/>
      <c r="R114" s="7"/>
    </row>
    <row r="115" spans="1:18" outlineLevel="1">
      <c r="A115" s="489" t="s">
        <v>604</v>
      </c>
      <c r="B115" s="490">
        <f>750/12</f>
        <v>62.5</v>
      </c>
      <c r="C115" s="242">
        <f>268</f>
        <v>268</v>
      </c>
      <c r="H115">
        <v>400</v>
      </c>
      <c r="I115" s="242"/>
      <c r="L115" s="242"/>
      <c r="Q115" s="7"/>
      <c r="R115" s="7"/>
    </row>
    <row r="116" spans="1:18" outlineLevel="1">
      <c r="A116" s="489" t="s">
        <v>3270</v>
      </c>
      <c r="B116" s="414">
        <f>ROUND(1450/12,0)</f>
        <v>121</v>
      </c>
      <c r="C116" s="242"/>
      <c r="H116" s="331"/>
      <c r="I116" s="242"/>
      <c r="L116" s="242"/>
      <c r="Q116" s="7"/>
      <c r="R116" s="7"/>
    </row>
    <row r="117" spans="1:18" outlineLevel="1">
      <c r="A117" s="489" t="s">
        <v>1806</v>
      </c>
      <c r="B117" s="414">
        <f>ROUND(95/12,0)</f>
        <v>8</v>
      </c>
      <c r="C117" s="242"/>
      <c r="G117">
        <v>95</v>
      </c>
      <c r="H117" s="331"/>
      <c r="I117" s="242"/>
      <c r="L117" s="242"/>
      <c r="Q117" s="7"/>
      <c r="R117" s="7"/>
    </row>
    <row r="118" spans="1:18" outlineLevel="1">
      <c r="A118" s="489" t="s">
        <v>3085</v>
      </c>
      <c r="B118" s="414">
        <f>90/12</f>
        <v>7.5</v>
      </c>
      <c r="C118" s="242"/>
      <c r="H118" s="331">
        <v>107</v>
      </c>
      <c r="I118" s="242"/>
      <c r="L118" s="242"/>
      <c r="Q118" s="7"/>
      <c r="R118" s="7"/>
    </row>
    <row r="119" spans="1:18" outlineLevel="1">
      <c r="A119" s="489" t="s">
        <v>1612</v>
      </c>
      <c r="B119" s="414">
        <f>ROUND(80/12,0)</f>
        <v>7</v>
      </c>
      <c r="C119" s="242"/>
      <c r="H119" s="331"/>
      <c r="I119" s="242"/>
      <c r="L119" s="242"/>
      <c r="M119">
        <v>80</v>
      </c>
      <c r="Q119" s="7"/>
      <c r="R119" s="7"/>
    </row>
    <row r="120" spans="1:18" outlineLevel="1">
      <c r="A120" s="489" t="s">
        <v>1807</v>
      </c>
      <c r="B120" s="490">
        <f>300/12</f>
        <v>25</v>
      </c>
      <c r="C120" s="242"/>
      <c r="H120" s="331"/>
      <c r="I120" s="242">
        <v>300</v>
      </c>
      <c r="L120" s="242"/>
      <c r="Q120" s="7"/>
      <c r="R120" s="7"/>
    </row>
    <row r="121" spans="1:18">
      <c r="A121" s="422"/>
      <c r="K121" s="79"/>
      <c r="L121" s="7"/>
      <c r="M121" s="7"/>
      <c r="Q121" s="7"/>
      <c r="R121" s="7"/>
    </row>
    <row r="122" spans="1:18">
      <c r="A122" s="422"/>
      <c r="K122" s="79"/>
      <c r="L122" s="7"/>
      <c r="M122" s="7"/>
      <c r="Q122" s="7"/>
      <c r="R122" s="7"/>
    </row>
    <row r="124" spans="1:18">
      <c r="A124" s="514"/>
      <c r="F124" s="417"/>
      <c r="G124" s="417"/>
      <c r="H124" s="418"/>
      <c r="I124" s="419"/>
    </row>
    <row r="125" spans="1:18" ht="18" customHeight="1">
      <c r="A125" s="514"/>
      <c r="F125" s="420"/>
      <c r="G125" s="420"/>
      <c r="H125" s="420"/>
      <c r="I125" s="420"/>
    </row>
    <row r="126" spans="1:18">
      <c r="A126" s="514"/>
      <c r="E126" s="390"/>
    </row>
    <row r="127" spans="1:18">
      <c r="A127" s="514"/>
      <c r="E127" s="79"/>
      <c r="F127" s="212"/>
      <c r="G127" s="212"/>
      <c r="H127" s="212"/>
      <c r="I127" s="212"/>
    </row>
    <row r="128" spans="1:18">
      <c r="A128" s="514"/>
      <c r="E128" s="79"/>
      <c r="F128" s="118"/>
      <c r="J128" s="212"/>
      <c r="K128" s="310"/>
      <c r="M128" s="243"/>
      <c r="N128" s="243"/>
      <c r="O128" s="243"/>
      <c r="P128" s="243"/>
    </row>
    <row r="129" spans="1:19">
      <c r="A129" s="514"/>
      <c r="E129" s="79"/>
      <c r="F129" s="118"/>
      <c r="J129" s="726"/>
      <c r="K129" s="726"/>
      <c r="L129" s="726"/>
      <c r="M129" s="726"/>
      <c r="N129" s="726"/>
      <c r="O129" s="726"/>
      <c r="P129" s="726"/>
      <c r="Q129" s="726"/>
      <c r="R129" s="726"/>
      <c r="S129" s="726"/>
    </row>
    <row r="130" spans="1:19">
      <c r="A130" s="514"/>
      <c r="E130" s="7"/>
      <c r="F130" s="118"/>
      <c r="M130" s="7"/>
      <c r="N130" s="442"/>
      <c r="O130" s="442"/>
      <c r="P130" s="442"/>
      <c r="Q130" s="7"/>
      <c r="R130" s="7"/>
    </row>
    <row r="131" spans="1:19">
      <c r="A131" s="514"/>
      <c r="M131" s="42"/>
    </row>
    <row r="132" spans="1:19">
      <c r="A132" s="514"/>
      <c r="M132" s="42"/>
    </row>
    <row r="133" spans="1:19">
      <c r="A133" s="514"/>
      <c r="F133" s="118"/>
      <c r="I133" s="42"/>
      <c r="J133" s="212"/>
      <c r="K133" s="295"/>
      <c r="M133" s="42"/>
    </row>
    <row r="134" spans="1:19">
      <c r="A134" s="514"/>
      <c r="I134" s="42"/>
    </row>
    <row r="135" spans="1:19">
      <c r="A135" s="514"/>
      <c r="C135" s="359"/>
      <c r="E135" s="79"/>
      <c r="F135" s="118"/>
    </row>
    <row r="136" spans="1:19">
      <c r="A136" s="514"/>
      <c r="C136" s="359"/>
      <c r="E136" s="79"/>
      <c r="F136" s="118"/>
    </row>
    <row r="137" spans="1:19">
      <c r="A137" s="514"/>
      <c r="C137" s="334"/>
      <c r="D137" s="334"/>
    </row>
    <row r="138" spans="1:19">
      <c r="A138" s="514"/>
      <c r="D138" s="258"/>
    </row>
    <row r="139" spans="1:19">
      <c r="A139" s="514"/>
      <c r="D139" s="288"/>
      <c r="K139" s="494"/>
    </row>
    <row r="140" spans="1:19">
      <c r="A140" s="514"/>
      <c r="C140" s="334"/>
      <c r="D140" s="428"/>
    </row>
    <row r="141" spans="1:19">
      <c r="A141" s="514"/>
      <c r="C141" s="359"/>
      <c r="D141" s="359"/>
      <c r="G141" s="494"/>
    </row>
    <row r="142" spans="1:19">
      <c r="A142" s="514"/>
      <c r="C142" s="334"/>
      <c r="D142" s="334"/>
      <c r="G142" s="494"/>
      <c r="L142" s="56"/>
    </row>
    <row r="143" spans="1:19">
      <c r="D143" s="258"/>
      <c r="G143" s="494"/>
    </row>
    <row r="144" spans="1:19">
      <c r="D144" s="288"/>
    </row>
    <row r="145" spans="1:17">
      <c r="A145" s="514"/>
      <c r="C145" s="334"/>
      <c r="D145" s="428"/>
    </row>
    <row r="147" spans="1:17">
      <c r="C147" s="334"/>
      <c r="D147" s="334"/>
    </row>
    <row r="148" spans="1:17">
      <c r="C148" s="359"/>
      <c r="D148" s="359"/>
    </row>
    <row r="149" spans="1:17">
      <c r="C149" s="359"/>
      <c r="D149" s="359"/>
      <c r="Q149" s="231"/>
    </row>
    <row r="150" spans="1:17">
      <c r="C150" s="334"/>
      <c r="D150" s="334"/>
    </row>
    <row r="153" spans="1:17">
      <c r="C153" s="359"/>
      <c r="D153" s="359"/>
      <c r="E153" s="726"/>
      <c r="F153" s="726"/>
      <c r="H153" s="726"/>
      <c r="I153" s="726"/>
    </row>
    <row r="154" spans="1:17">
      <c r="C154" s="359"/>
      <c r="D154" s="359"/>
      <c r="J154" s="335"/>
    </row>
    <row r="155" spans="1:17">
      <c r="C155" s="334"/>
      <c r="D155" s="334"/>
      <c r="J155" s="335"/>
    </row>
    <row r="156" spans="1:17">
      <c r="G156" s="248"/>
      <c r="J156" s="258"/>
    </row>
    <row r="157" spans="1:17">
      <c r="A157" s="726"/>
      <c r="B157" s="726"/>
      <c r="C157" s="726"/>
      <c r="D157" s="726"/>
      <c r="E157" s="726"/>
      <c r="G157" s="248"/>
    </row>
    <row r="159" spans="1:17">
      <c r="C159" s="335"/>
      <c r="D159" s="335"/>
      <c r="L159" s="243"/>
    </row>
    <row r="160" spans="1:17">
      <c r="C160" s="335"/>
      <c r="D160" s="335"/>
      <c r="L160" s="243"/>
    </row>
    <row r="161" spans="3:16">
      <c r="C161" s="334"/>
      <c r="D161" s="334"/>
      <c r="E161" s="337"/>
    </row>
    <row r="162" spans="3:16">
      <c r="K162" s="726"/>
      <c r="L162" s="726"/>
    </row>
    <row r="163" spans="3:16">
      <c r="C163" s="334"/>
      <c r="D163" s="334"/>
    </row>
    <row r="164" spans="3:16">
      <c r="C164" s="335"/>
      <c r="D164" s="335"/>
    </row>
    <row r="165" spans="3:16">
      <c r="C165" s="335"/>
      <c r="D165" s="335"/>
    </row>
    <row r="166" spans="3:16">
      <c r="C166" s="334"/>
      <c r="D166" s="334"/>
    </row>
    <row r="168" spans="3:16">
      <c r="N168" s="258"/>
      <c r="O168" s="258"/>
      <c r="P168" s="258"/>
    </row>
    <row r="169" spans="3:16">
      <c r="C169" s="334"/>
      <c r="D169" s="334"/>
      <c r="N169" s="258"/>
      <c r="O169" s="258"/>
      <c r="P169" s="258"/>
    </row>
    <row r="170" spans="3:16">
      <c r="C170" s="335"/>
      <c r="D170" s="335"/>
      <c r="N170" s="258"/>
      <c r="O170" s="258"/>
      <c r="P170" s="258"/>
    </row>
    <row r="171" spans="3:16">
      <c r="C171" s="335"/>
      <c r="D171" s="335"/>
      <c r="N171" s="258"/>
      <c r="O171" s="258"/>
      <c r="P171" s="258"/>
    </row>
    <row r="172" spans="3:16">
      <c r="C172" s="334"/>
      <c r="D172" s="334"/>
    </row>
    <row r="175" spans="3:16">
      <c r="C175" s="335"/>
      <c r="D175" s="335"/>
      <c r="E175" s="335"/>
    </row>
    <row r="176" spans="3:16">
      <c r="C176" s="335"/>
      <c r="D176" s="335"/>
      <c r="E176" s="335"/>
    </row>
    <row r="177" spans="3:7">
      <c r="C177" s="334"/>
      <c r="D177" s="334"/>
      <c r="E177" s="334"/>
      <c r="G177" s="188"/>
    </row>
    <row r="179" spans="3:7">
      <c r="F179" s="516"/>
      <c r="G179" s="516"/>
    </row>
    <row r="180" spans="3:7">
      <c r="F180" s="516"/>
    </row>
    <row r="182" spans="3:7">
      <c r="F182" s="516"/>
    </row>
    <row r="183" spans="3:7">
      <c r="E183" s="77"/>
      <c r="F183" s="516"/>
    </row>
    <row r="185" spans="3:7">
      <c r="F185" s="516"/>
    </row>
    <row r="186" spans="3:7">
      <c r="F186" s="516"/>
    </row>
    <row r="199" spans="9:9"/>
    <row r="217" spans="2:4">
      <c r="B217" s="232"/>
      <c r="C217" s="232"/>
    </row>
    <row r="218" spans="2:4">
      <c r="B218" s="232"/>
      <c r="C218" s="232"/>
    </row>
    <row r="221" spans="2:4">
      <c r="D221" s="231"/>
    </row>
    <row r="229" spans="5:6">
      <c r="E229" s="726"/>
      <c r="F229" s="726"/>
    </row>
  </sheetData>
  <mergeCells count="14">
    <mergeCell ref="E229:F229"/>
    <mergeCell ref="A1:N1"/>
    <mergeCell ref="K162:L162"/>
    <mergeCell ref="A157:E157"/>
    <mergeCell ref="S61:U61"/>
    <mergeCell ref="H153:I153"/>
    <mergeCell ref="J129:S129"/>
    <mergeCell ref="E153:F153"/>
    <mergeCell ref="S90:U90"/>
    <mergeCell ref="S111:U111"/>
    <mergeCell ref="B91:B95"/>
    <mergeCell ref="B112:B113"/>
    <mergeCell ref="B62:B68"/>
    <mergeCell ref="P56:Q56"/>
  </mergeCells>
  <phoneticPr fontId="33" type="noConversion"/>
  <conditionalFormatting sqref="C56:O56">
    <cfRule type="cellIs" dxfId="20" priority="14" operator="greaterThan">
      <formula>0</formula>
    </cfRule>
    <cfRule type="cellIs" dxfId="19" priority="15" operator="lessThan">
      <formula>0</formula>
    </cfRule>
  </conditionalFormatting>
  <conditionalFormatting sqref="C2:P2">
    <cfRule type="timePeriod" dxfId="18" priority="22" timePeriod="thisMonth">
      <formula>AND(MONTH(C2)=MONTH(TODAY()),YEAR(C2)=YEAR(TODAY()))</formula>
    </cfRule>
  </conditionalFormatting>
  <conditionalFormatting sqref="C4:P4">
    <cfRule type="cellIs" dxfId="17" priority="23" operator="greaterThan">
      <formula>0</formula>
    </cfRule>
    <cfRule type="cellIs" dxfId="16" priority="24" operator="lessThan">
      <formula>0</formula>
    </cfRule>
  </conditionalFormatting>
  <conditionalFormatting sqref="C19:P19">
    <cfRule type="timePeriod" dxfId="15" priority="19" timePeriod="thisMonth">
      <formula>AND(MONTH(C19)=MONTH(TODAY()),YEAR(C19)=YEAR(TODAY()))</formula>
    </cfRule>
  </conditionalFormatting>
  <conditionalFormatting sqref="C21:P21">
    <cfRule type="cellIs" dxfId="14" priority="20" operator="greaterThan">
      <formula>0</formula>
    </cfRule>
    <cfRule type="cellIs" dxfId="13" priority="21" operator="lessThan">
      <formula>0</formula>
    </cfRule>
  </conditionalFormatting>
  <conditionalFormatting sqref="C36:P36">
    <cfRule type="timePeriod" dxfId="12" priority="16" timePeriod="thisMonth">
      <formula>AND(MONTH(C36)=MONTH(TODAY()),YEAR(C36)=YEAR(TODAY()))</formula>
    </cfRule>
  </conditionalFormatting>
  <conditionalFormatting sqref="C38:P38">
    <cfRule type="cellIs" dxfId="11" priority="17" operator="greaterThan">
      <formula>0</formula>
    </cfRule>
    <cfRule type="cellIs" dxfId="10" priority="18" operator="lessThan">
      <formula>0</formula>
    </cfRule>
  </conditionalFormatting>
  <conditionalFormatting sqref="C54:P54">
    <cfRule type="timePeriod" dxfId="9" priority="13" timePeriod="thisMonth">
      <formula>AND(MONTH(C54)=MONTH(TODAY()),YEAR(C54)=YEAR(TODAY()))</formula>
    </cfRule>
  </conditionalFormatting>
  <conditionalFormatting sqref="C83:P83">
    <cfRule type="timePeriod" dxfId="8" priority="7" timePeriod="thisMonth">
      <formula>AND(MONTH(C83)=MONTH(TODAY()),YEAR(C83)=YEAR(TODAY()))</formula>
    </cfRule>
  </conditionalFormatting>
  <conditionalFormatting sqref="C85:P85">
    <cfRule type="cellIs" dxfId="7" priority="8" operator="greaterThan">
      <formula>0</formula>
    </cfRule>
    <cfRule type="cellIs" dxfId="6" priority="9" operator="lessThan">
      <formula>0</formula>
    </cfRule>
  </conditionalFormatting>
  <conditionalFormatting sqref="C105:P105">
    <cfRule type="timePeriod" dxfId="5" priority="1" timePeriod="thisMonth">
      <formula>AND(MONTH(C105)=MONTH(TODAY()),YEAR(C105)=YEAR(TODAY()))</formula>
    </cfRule>
  </conditionalFormatting>
  <conditionalFormatting sqref="C107:P107">
    <cfRule type="cellIs" dxfId="4" priority="2" operator="greaterThan">
      <formula>0</formula>
    </cfRule>
    <cfRule type="cellIs" dxfId="3" priority="3" operator="lessThan">
      <formula>0</formula>
    </cfRule>
  </conditionalFormatting>
  <pageMargins left="0.7" right="0.7" top="0.75" bottom="0.75" header="0.3" footer="0.3"/>
  <pageSetup orientation="portrait" r:id="rId1"/>
  <legacyDrawing r:id="rId2"/>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8A756-C802-4E09-B449-44CA8D4A5233}">
  <dimension ref="A1:P45"/>
  <sheetViews>
    <sheetView topLeftCell="A6" workbookViewId="0">
      <selection activeCell="K6" sqref="K6"/>
    </sheetView>
  </sheetViews>
  <sheetFormatPr defaultColWidth="8.44140625" defaultRowHeight="14.4"/>
  <cols>
    <col min="1" max="1" width="33.33203125" customWidth="1"/>
    <col min="2" max="2" width="25.77734375" customWidth="1"/>
    <col min="3" max="3" width="18.44140625" customWidth="1"/>
    <col min="4" max="4" width="25.77734375" customWidth="1"/>
    <col min="5" max="5" width="18.44140625" customWidth="1"/>
    <col min="6" max="6" width="25.77734375" customWidth="1"/>
    <col min="7" max="7" width="18.44140625" customWidth="1"/>
    <col min="8" max="8" width="10.44140625" bestFit="1" customWidth="1"/>
    <col min="9" max="9" width="11.109375" customWidth="1"/>
    <col min="10" max="10" width="24.44140625" bestFit="1" customWidth="1"/>
    <col min="11" max="11" width="16.109375" customWidth="1"/>
    <col min="12" max="12" width="12.77734375" bestFit="1" customWidth="1"/>
    <col min="13" max="13" width="10.44140625" customWidth="1"/>
    <col min="22" max="22" width="18.109375" customWidth="1"/>
  </cols>
  <sheetData>
    <row r="1" spans="1:15" ht="28.8">
      <c r="A1" t="s">
        <v>1811</v>
      </c>
      <c r="B1" t="s">
        <v>1812</v>
      </c>
      <c r="C1" t="s">
        <v>1816</v>
      </c>
      <c r="D1" s="7" t="s">
        <v>1813</v>
      </c>
      <c r="E1" s="7" t="s">
        <v>3104</v>
      </c>
      <c r="F1" s="7" t="s">
        <v>3145</v>
      </c>
      <c r="G1" s="442" t="s">
        <v>1814</v>
      </c>
      <c r="H1" s="442" t="s">
        <v>2158</v>
      </c>
      <c r="I1" s="442" t="s">
        <v>3312</v>
      </c>
      <c r="J1" s="7" t="s">
        <v>3313</v>
      </c>
      <c r="K1" s="7" t="s">
        <v>1815</v>
      </c>
      <c r="L1" s="7"/>
      <c r="M1" s="7" t="s">
        <v>1426</v>
      </c>
    </row>
    <row r="2" spans="1:15">
      <c r="A2" t="s">
        <v>1015</v>
      </c>
      <c r="B2">
        <v>487.35</v>
      </c>
      <c r="C2">
        <v>5.9</v>
      </c>
      <c r="D2" s="42">
        <v>45444</v>
      </c>
      <c r="E2" s="42"/>
      <c r="F2">
        <v>1</v>
      </c>
      <c r="G2">
        <v>64</v>
      </c>
      <c r="H2" s="42">
        <f>EDATE(D2,G2)</f>
        <v>47392</v>
      </c>
      <c r="I2">
        <f ca="1">DATEDIF(D2, TODAY(), "m")</f>
        <v>26</v>
      </c>
      <c r="J2">
        <f ca="1">G2-I2</f>
        <v>38</v>
      </c>
      <c r="K2">
        <f ca="1">J2*B2</f>
        <v>18519.3</v>
      </c>
      <c r="M2">
        <v>19500</v>
      </c>
    </row>
    <row r="3" spans="1:15">
      <c r="A3" s="212" t="s">
        <v>1593</v>
      </c>
      <c r="B3" s="295">
        <v>270.97000000000003</v>
      </c>
      <c r="C3">
        <v>5.4</v>
      </c>
      <c r="D3" s="42">
        <v>45062</v>
      </c>
      <c r="E3" s="42"/>
      <c r="F3">
        <v>17</v>
      </c>
      <c r="G3">
        <f>7*12</f>
        <v>84</v>
      </c>
      <c r="H3" s="42">
        <f t="shared" ref="H3:H6" si="0">EDATE(D3,G3)</f>
        <v>47619</v>
      </c>
      <c r="I3">
        <f ca="1">DATEDIF(D3, TODAY(), "m")</f>
        <v>39</v>
      </c>
      <c r="J3">
        <f ca="1">G3-I3</f>
        <v>45</v>
      </c>
      <c r="K3">
        <f ca="1">J3*B3</f>
        <v>12193.650000000001</v>
      </c>
      <c r="L3">
        <v>12377.94</v>
      </c>
      <c r="M3">
        <v>12500</v>
      </c>
    </row>
    <row r="4" spans="1:15">
      <c r="A4" t="s">
        <v>1576</v>
      </c>
      <c r="B4">
        <v>137.5</v>
      </c>
      <c r="C4">
        <v>0</v>
      </c>
      <c r="D4" s="42">
        <v>45809</v>
      </c>
      <c r="E4" s="42"/>
      <c r="F4">
        <v>28</v>
      </c>
      <c r="G4">
        <v>24</v>
      </c>
      <c r="H4" s="42">
        <f>EDATE(D4,G4)</f>
        <v>46539</v>
      </c>
      <c r="I4">
        <f ca="1">DATEDIF(D4, TODAY(), "m")</f>
        <v>14</v>
      </c>
      <c r="J4">
        <f ca="1">G4-I4</f>
        <v>10</v>
      </c>
      <c r="K4">
        <f ca="1">J4*B4</f>
        <v>1375</v>
      </c>
    </row>
    <row r="5" spans="1:15">
      <c r="A5" t="s">
        <v>2778</v>
      </c>
      <c r="B5">
        <f>25+28.22+137.5</f>
        <v>190.72</v>
      </c>
      <c r="C5">
        <v>0</v>
      </c>
      <c r="D5" s="42">
        <v>45840</v>
      </c>
      <c r="E5" s="42"/>
      <c r="G5">
        <v>20</v>
      </c>
      <c r="H5" s="42">
        <f>EDATE(D5,G5)</f>
        <v>46448</v>
      </c>
      <c r="I5">
        <f ca="1">DATEDIF(D5, TODAY(), "m")</f>
        <v>13</v>
      </c>
      <c r="J5">
        <f ca="1">G5-I5</f>
        <v>7</v>
      </c>
      <c r="K5">
        <f>H15</f>
        <v>2289.2199999999998</v>
      </c>
    </row>
    <row r="6" spans="1:15">
      <c r="A6" t="s">
        <v>2890</v>
      </c>
      <c r="B6">
        <v>45.79</v>
      </c>
      <c r="C6">
        <v>0</v>
      </c>
      <c r="D6" s="42">
        <v>45962</v>
      </c>
      <c r="E6" s="42"/>
      <c r="G6">
        <v>24</v>
      </c>
      <c r="H6" s="42">
        <f t="shared" si="0"/>
        <v>46692</v>
      </c>
      <c r="I6">
        <f ca="1">DATEDIF(D6, TODAY(), "m")</f>
        <v>9</v>
      </c>
      <c r="J6">
        <f ca="1">DATEDIF(TODAY(), EDATE(D6,G6), "m")</f>
        <v>14</v>
      </c>
      <c r="K6">
        <f ca="1">J6*B6</f>
        <v>641.05999999999995</v>
      </c>
    </row>
    <row r="7" spans="1:15">
      <c r="K7">
        <f ca="1">SUM(K2:K6)</f>
        <v>35018.229999999996</v>
      </c>
    </row>
    <row r="8" spans="1:15">
      <c r="A8" t="s">
        <v>3513</v>
      </c>
      <c r="B8">
        <v>350</v>
      </c>
      <c r="H8" s="42"/>
    </row>
    <row r="9" spans="1:15">
      <c r="A9" t="s">
        <v>3514</v>
      </c>
      <c r="B9">
        <v>400</v>
      </c>
    </row>
    <row r="10" spans="1:15">
      <c r="B10" s="726">
        <v>2026</v>
      </c>
      <c r="C10" s="726"/>
      <c r="D10" s="726"/>
      <c r="E10" s="726"/>
      <c r="F10" s="726"/>
      <c r="G10" s="726"/>
      <c r="H10" s="726"/>
      <c r="I10" s="726"/>
      <c r="J10" s="726"/>
      <c r="K10" s="726"/>
      <c r="L10" s="726"/>
      <c r="M10" s="726"/>
    </row>
    <row r="11" spans="1:15">
      <c r="A11" t="s">
        <v>1811</v>
      </c>
      <c r="B11" t="s">
        <v>17</v>
      </c>
      <c r="C11" t="s">
        <v>29</v>
      </c>
      <c r="D11" t="s">
        <v>37</v>
      </c>
      <c r="E11" t="s">
        <v>53</v>
      </c>
      <c r="F11" t="s">
        <v>59</v>
      </c>
      <c r="G11" t="s">
        <v>69</v>
      </c>
      <c r="H11" t="s">
        <v>81</v>
      </c>
      <c r="I11" t="s">
        <v>89</v>
      </c>
      <c r="J11" t="s">
        <v>93</v>
      </c>
      <c r="K11" t="s">
        <v>101</v>
      </c>
      <c r="L11" t="s">
        <v>111</v>
      </c>
      <c r="M11" t="s">
        <v>118</v>
      </c>
    </row>
    <row r="12" spans="1:15">
      <c r="A12" t="s">
        <v>1015</v>
      </c>
      <c r="C12">
        <f>20956.05</f>
        <v>20956.05</v>
      </c>
      <c r="D12">
        <f>C12-$B$2</f>
        <v>20468.7</v>
      </c>
      <c r="E12">
        <f t="shared" ref="E12:M12" si="1">D12-$B$2</f>
        <v>19981.350000000002</v>
      </c>
      <c r="F12">
        <f t="shared" si="1"/>
        <v>19494.000000000004</v>
      </c>
      <c r="G12">
        <f t="shared" si="1"/>
        <v>19006.650000000005</v>
      </c>
      <c r="H12">
        <f t="shared" si="1"/>
        <v>18519.300000000007</v>
      </c>
      <c r="I12">
        <f t="shared" si="1"/>
        <v>18031.950000000008</v>
      </c>
      <c r="J12">
        <f t="shared" si="1"/>
        <v>17544.600000000009</v>
      </c>
      <c r="K12">
        <f t="shared" si="1"/>
        <v>17057.250000000011</v>
      </c>
      <c r="L12">
        <f t="shared" si="1"/>
        <v>16569.900000000012</v>
      </c>
      <c r="M12">
        <f t="shared" si="1"/>
        <v>16082.550000000012</v>
      </c>
    </row>
    <row r="13" spans="1:15">
      <c r="A13" s="212" t="s">
        <v>1593</v>
      </c>
      <c r="C13">
        <f>12377.94</f>
        <v>12377.94</v>
      </c>
      <c r="D13">
        <f>C13-($B$3-(C13*(0.059/12)))</f>
        <v>12167.828205</v>
      </c>
      <c r="E13">
        <f t="shared" ref="E13:J13" si="2">D13-($B$3-(D13*(0.059/12)))</f>
        <v>11956.683360341251</v>
      </c>
      <c r="F13">
        <f t="shared" si="2"/>
        <v>11744.500386862928</v>
      </c>
      <c r="G13">
        <f t="shared" si="2"/>
        <v>11531.27418043167</v>
      </c>
      <c r="H13">
        <f t="shared" si="2"/>
        <v>11316.999611818792</v>
      </c>
      <c r="I13">
        <f t="shared" si="2"/>
        <v>11101.671526576902</v>
      </c>
      <c r="J13">
        <f t="shared" si="2"/>
        <v>10885.284744915905</v>
      </c>
      <c r="K13">
        <f>J13-($B$3-(J13*(0.059/12)))</f>
        <v>10667.834061578409</v>
      </c>
      <c r="L13">
        <f>K13-($B$3-(K13*(0.059/12)))</f>
        <v>10449.314245714502</v>
      </c>
      <c r="M13">
        <f>L13-($B$3-(L13*(0.059/12)))</f>
        <v>10229.720040755932</v>
      </c>
    </row>
    <row r="14" spans="1:15">
      <c r="A14" t="s">
        <v>1576</v>
      </c>
      <c r="F14">
        <v>1650</v>
      </c>
      <c r="G14">
        <f>F14-$B$4</f>
        <v>1512.5</v>
      </c>
      <c r="H14">
        <f>G14-$B$4</f>
        <v>1375</v>
      </c>
      <c r="I14">
        <f>H14-$B$4</f>
        <v>1237.5</v>
      </c>
    </row>
    <row r="15" spans="1:15">
      <c r="A15" t="s">
        <v>2778</v>
      </c>
      <c r="C15">
        <v>2704.04</v>
      </c>
      <c r="D15">
        <f>C15-$B$5</f>
        <v>2513.3200000000002</v>
      </c>
      <c r="E15">
        <f>2482.04</f>
        <v>2482.04</v>
      </c>
      <c r="F15">
        <f>E15-24.82</f>
        <v>2457.2199999999998</v>
      </c>
      <c r="G15">
        <v>2432.2199999999998</v>
      </c>
      <c r="H15">
        <f>G15-25-118</f>
        <v>2289.2199999999998</v>
      </c>
      <c r="I15">
        <f t="shared" ref="I15:M15" si="3">H15-$B$5</f>
        <v>2098.5</v>
      </c>
      <c r="J15">
        <f t="shared" si="3"/>
        <v>1907.78</v>
      </c>
      <c r="K15">
        <f t="shared" si="3"/>
        <v>1717.06</v>
      </c>
      <c r="L15">
        <f>K15-$B$5</f>
        <v>1526.34</v>
      </c>
      <c r="M15">
        <f t="shared" si="3"/>
        <v>1335.62</v>
      </c>
    </row>
    <row r="17" spans="1:16">
      <c r="B17" s="726">
        <v>2027</v>
      </c>
      <c r="C17" s="726"/>
      <c r="D17" s="726"/>
      <c r="E17" s="726"/>
      <c r="F17" s="726"/>
      <c r="G17" s="726"/>
      <c r="H17" s="726"/>
      <c r="I17" s="726"/>
      <c r="J17" s="726"/>
      <c r="K17" s="726"/>
      <c r="L17" s="726"/>
      <c r="M17" s="726"/>
    </row>
    <row r="18" spans="1:16">
      <c r="A18" t="s">
        <v>1811</v>
      </c>
      <c r="B18" t="s">
        <v>17</v>
      </c>
      <c r="C18" t="s">
        <v>29</v>
      </c>
      <c r="D18" t="s">
        <v>37</v>
      </c>
      <c r="E18" t="s">
        <v>53</v>
      </c>
      <c r="F18" t="s">
        <v>59</v>
      </c>
      <c r="G18" t="s">
        <v>69</v>
      </c>
      <c r="H18" t="s">
        <v>81</v>
      </c>
      <c r="I18" t="s">
        <v>89</v>
      </c>
      <c r="J18" t="s">
        <v>93</v>
      </c>
      <c r="K18" t="s">
        <v>101</v>
      </c>
      <c r="L18" t="s">
        <v>111</v>
      </c>
      <c r="M18" t="s">
        <v>118</v>
      </c>
    </row>
    <row r="19" spans="1:16">
      <c r="A19" t="s">
        <v>1015</v>
      </c>
      <c r="B19">
        <f>M12-B2</f>
        <v>15595.200000000012</v>
      </c>
      <c r="C19">
        <f>B19-$B$2</f>
        <v>15107.850000000011</v>
      </c>
      <c r="D19">
        <f t="shared" ref="D19:M19" si="4">C19-$B$2</f>
        <v>14620.500000000011</v>
      </c>
      <c r="E19">
        <f t="shared" si="4"/>
        <v>14133.150000000011</v>
      </c>
      <c r="F19">
        <f t="shared" si="4"/>
        <v>13645.80000000001</v>
      </c>
      <c r="G19">
        <f t="shared" si="4"/>
        <v>13158.45000000001</v>
      </c>
      <c r="H19">
        <f t="shared" si="4"/>
        <v>12671.100000000009</v>
      </c>
      <c r="I19">
        <f t="shared" si="4"/>
        <v>12183.750000000009</v>
      </c>
      <c r="J19">
        <f t="shared" si="4"/>
        <v>11696.400000000009</v>
      </c>
      <c r="K19">
        <f t="shared" si="4"/>
        <v>11209.050000000008</v>
      </c>
      <c r="L19">
        <f t="shared" si="4"/>
        <v>10721.700000000008</v>
      </c>
      <c r="M19">
        <f t="shared" si="4"/>
        <v>10234.350000000008</v>
      </c>
    </row>
    <row r="20" spans="1:16">
      <c r="A20" s="212" t="s">
        <v>1593</v>
      </c>
      <c r="B20" s="242">
        <f>M13-($B$9+$B$3-(M13*(0.059/12)))</f>
        <v>9609.046164289648</v>
      </c>
      <c r="C20" s="242">
        <f t="shared" ref="C20:M20" si="5">B20-(($B$9+$B$5+$B$3)-(B20*(0.059/12)))</f>
        <v>8794.6006412640727</v>
      </c>
      <c r="D20">
        <f t="shared" si="5"/>
        <v>7976.1507610836206</v>
      </c>
      <c r="E20">
        <f t="shared" si="5"/>
        <v>7153.6768356589482</v>
      </c>
      <c r="F20">
        <f t="shared" si="5"/>
        <v>6327.1590801009379</v>
      </c>
      <c r="G20">
        <f t="shared" si="5"/>
        <v>5496.5776122447678</v>
      </c>
      <c r="H20">
        <f t="shared" si="5"/>
        <v>4661.9124521716376</v>
      </c>
      <c r="I20">
        <f t="shared" si="5"/>
        <v>3823.1435217281482</v>
      </c>
      <c r="J20">
        <f t="shared" si="5"/>
        <v>2980.2506440433117</v>
      </c>
      <c r="K20">
        <f t="shared" si="5"/>
        <v>2133.2135430431913</v>
      </c>
      <c r="L20">
        <f t="shared" si="5"/>
        <v>1282.0118429631536</v>
      </c>
      <c r="M20">
        <f t="shared" si="5"/>
        <v>426.62506785772246</v>
      </c>
    </row>
    <row r="21" spans="1:16">
      <c r="A21" s="212" t="s">
        <v>1576</v>
      </c>
    </row>
    <row r="22" spans="1:16">
      <c r="A22" t="s">
        <v>2767</v>
      </c>
      <c r="B22" s="358">
        <v>0</v>
      </c>
    </row>
    <row r="23" spans="1:16">
      <c r="A23" t="s">
        <v>2778</v>
      </c>
      <c r="B23">
        <f>M15-B5</f>
        <v>1144.8999999999999</v>
      </c>
      <c r="C23" s="358">
        <f>B23-B5</f>
        <v>954.17999999999984</v>
      </c>
    </row>
    <row r="24" spans="1:16">
      <c r="L24" s="243"/>
    </row>
    <row r="25" spans="1:16">
      <c r="A25" t="s">
        <v>3452</v>
      </c>
      <c r="B25">
        <v>1787.5</v>
      </c>
      <c r="C25" t="s">
        <v>3470</v>
      </c>
      <c r="D25" t="s">
        <v>3471</v>
      </c>
      <c r="J25" s="243"/>
      <c r="L25" s="243"/>
    </row>
    <row r="26" spans="1:16">
      <c r="A26" t="s">
        <v>3503</v>
      </c>
      <c r="J26" s="243"/>
      <c r="L26" s="243"/>
    </row>
    <row r="27" spans="1:16">
      <c r="C27" s="554"/>
      <c r="J27" s="243"/>
      <c r="L27" s="243"/>
    </row>
    <row r="28" spans="1:16">
      <c r="J28" s="243"/>
    </row>
    <row r="30" spans="1:16">
      <c r="A30" s="717"/>
      <c r="B30" s="789"/>
      <c r="C30" s="789"/>
      <c r="D30" s="789"/>
      <c r="E30" s="789"/>
      <c r="F30" s="724"/>
      <c r="G30" s="717"/>
      <c r="J30" s="243"/>
    </row>
    <row r="31" spans="1:16">
      <c r="A31" s="212"/>
      <c r="B31" s="212"/>
      <c r="C31" s="212"/>
      <c r="D31" s="212"/>
      <c r="E31" s="212"/>
      <c r="F31" s="212"/>
      <c r="G31" s="212"/>
      <c r="I31" s="711"/>
      <c r="J31" s="243"/>
    </row>
    <row r="32" spans="1:16">
      <c r="C32" s="718"/>
      <c r="E32" s="718"/>
      <c r="G32" s="718"/>
      <c r="J32" s="243"/>
    </row>
    <row r="33" spans="1:7">
      <c r="C33" s="718"/>
      <c r="E33" s="718"/>
      <c r="G33" s="718"/>
    </row>
    <row r="34" spans="1:7">
      <c r="C34" s="718"/>
      <c r="E34" s="718"/>
      <c r="G34" s="718"/>
    </row>
    <row r="35" spans="1:7">
      <c r="C35" s="718"/>
      <c r="E35" s="718"/>
      <c r="G35" s="718"/>
    </row>
    <row r="36" spans="1:7">
      <c r="C36" s="718"/>
      <c r="E36" s="718"/>
      <c r="G36" s="718"/>
    </row>
    <row r="37" spans="1:7">
      <c r="C37" s="718"/>
      <c r="E37" s="718"/>
      <c r="G37" s="718"/>
    </row>
    <row r="38" spans="1:7">
      <c r="C38" s="718"/>
      <c r="E38" s="718"/>
      <c r="G38" s="718"/>
    </row>
    <row r="40" spans="1:7" ht="15.6">
      <c r="A40" s="719"/>
    </row>
    <row r="41" spans="1:7">
      <c r="C41" s="720"/>
    </row>
    <row r="42" spans="1:7">
      <c r="C42" s="721"/>
    </row>
    <row r="45" spans="1:7">
      <c r="A45" s="212"/>
      <c r="B45" s="771"/>
      <c r="C45" s="771"/>
      <c r="D45" s="771"/>
      <c r="E45" s="771"/>
      <c r="F45" s="771"/>
    </row>
  </sheetData>
  <mergeCells count="5">
    <mergeCell ref="B10:M10"/>
    <mergeCell ref="B17:M17"/>
    <mergeCell ref="B45:F45"/>
    <mergeCell ref="B30:C30"/>
    <mergeCell ref="D30:E30"/>
  </mergeCells>
  <phoneticPr fontId="33" type="noConversion"/>
  <conditionalFormatting sqref="C38">
    <cfRule type="cellIs" dxfId="2" priority="2" operator="equal">
      <formula>MAX($C$38,$E$38,$G$38)</formula>
    </cfRule>
  </conditionalFormatting>
  <conditionalFormatting sqref="E37">
    <cfRule type="cellIs" dxfId="1" priority="1" operator="equal">
      <formula>MAX($C$37,$E$37,$G$37)</formula>
    </cfRule>
  </conditionalFormatting>
  <conditionalFormatting sqref="G38">
    <cfRule type="cellIs" dxfId="0" priority="3" operator="equal">
      <formula>MAX($C$38,$E$38,$G$38)</formula>
    </cfRule>
  </conditionalFormatting>
  <pageMargins left="0.7" right="0.7" top="0.75" bottom="0.75" header="0.3" footer="0.3"/>
  <legacyDrawing r:id="rId1"/>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3A6D9-991E-4F23-B6EE-65D2CD4A6029}">
  <dimension ref="A1:X91"/>
  <sheetViews>
    <sheetView topLeftCell="D28" zoomScale="90" zoomScaleNormal="90" workbookViewId="0">
      <selection activeCell="H49" sqref="H49"/>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e">
        <f ca="1">UPPER(TEXT((1&amp;LEFT(B$1,3))-1,"MMM"))&amp;"-"&amp;UPPER(TEXT((1&amp;RIGHT(LEFT(B$1,7),3))-1,"MMM"))&amp;" "&amp;RIGHT(B$1,4)</f>
        <v>#VALUE!</v>
      </c>
      <c r="B1" s="730" t="str">
        <f ca="1">MID(CELL("filename",B1),FIND("]",CELL("filename",B1))+1,255)</f>
        <v>LONG TERM</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1424</v>
      </c>
      <c r="K2" s="79" t="s">
        <v>800</v>
      </c>
      <c r="L2" s="307" t="s">
        <v>1449</v>
      </c>
      <c r="M2" s="79" t="s">
        <v>801</v>
      </c>
      <c r="N2" s="307" t="s">
        <v>1450</v>
      </c>
      <c r="O2" s="273" t="s">
        <v>10</v>
      </c>
      <c r="P2" s="273"/>
      <c r="Q2" s="283" t="s">
        <v>803</v>
      </c>
    </row>
    <row r="3" spans="1:24">
      <c r="B3" s="118"/>
      <c r="C3" s="118"/>
      <c r="D3" s="290" t="e">
        <f>"£" &amp; ROUND(O5+O28+O24+IF(O29&lt;0,0,O29)+O31+O4,2) &amp; " / " &amp; "£" &amp; E33</f>
        <v>#REF!</v>
      </c>
      <c r="G3" s="732">
        <v>45772</v>
      </c>
      <c r="H3" s="732"/>
      <c r="I3" s="732">
        <f>G3+7</f>
        <v>45779</v>
      </c>
      <c r="J3" s="732"/>
      <c r="K3" s="732">
        <f>I3+7</f>
        <v>45786</v>
      </c>
      <c r="L3" s="732"/>
      <c r="M3" s="732">
        <f>K3+7</f>
        <v>45793</v>
      </c>
      <c r="N3" s="732"/>
      <c r="O3" s="308">
        <v>0</v>
      </c>
      <c r="P3" s="325" t="s">
        <v>1224</v>
      </c>
      <c r="Q3" s="282"/>
    </row>
    <row r="4" spans="1:24" ht="15" customHeight="1">
      <c r="B4" s="727" t="str">
        <f>_xlfn.CONCAT("Expenses - 50 - ",E33*0.5," / Actual = ",ROUND(D5,2)," (",ROUND((D5/E33)*100,2),")")</f>
        <v>Expenses - 50 - 2267.92 / Actual = 2478.72 (54.65)</v>
      </c>
      <c r="C4" s="727"/>
      <c r="D4" s="727"/>
      <c r="E4" s="727"/>
      <c r="F4" s="318"/>
      <c r="G4" s="243"/>
      <c r="H4" s="304">
        <f>SUM(H5:H31)-I4</f>
        <v>0</v>
      </c>
      <c r="I4" s="243"/>
      <c r="J4" s="304">
        <f>SUM(J5:J31)</f>
        <v>0</v>
      </c>
      <c r="K4" s="243"/>
      <c r="L4" s="304">
        <f>SUM(L5:L31)</f>
        <v>76.489999999999995</v>
      </c>
      <c r="M4" s="243"/>
      <c r="N4" s="304" t="e">
        <f>SUM(N5:N31)-SUM(#REF!)</f>
        <v>#REF!</v>
      </c>
      <c r="O4" s="308" t="e">
        <f>IF(H32&lt;&gt;"PAID",H4,0)+IF(J32&lt;&gt;"PAID",J4,0)+IF(L32&lt;&gt;"PAID",L4,0)+IF(N32&lt;&gt;"PAID",N4,0)</f>
        <v>#REF!</v>
      </c>
      <c r="P4" s="309" t="s">
        <v>973</v>
      </c>
      <c r="Q4" s="408"/>
      <c r="R4" s="243"/>
      <c r="S4" s="607"/>
      <c r="T4" s="306"/>
      <c r="U4" s="390"/>
      <c r="V4" s="306"/>
      <c r="W4" s="390"/>
      <c r="X4" s="306"/>
    </row>
    <row r="5" spans="1:24" ht="15" customHeight="1">
      <c r="B5" s="733" t="str">
        <f>IF(D5&gt;E$33*0.5,ROUND(D5-E$33*0.5,2) &amp; " Over",ROUND(E$33*0.5-D5,2) &amp; " Under")</f>
        <v>210.8 Over</v>
      </c>
      <c r="C5" s="733"/>
      <c r="D5" s="761">
        <f>ROUND(SUM(F6:F21),2)</f>
        <v>2478.7199999999998</v>
      </c>
      <c r="E5" s="761"/>
      <c r="F5" s="321"/>
      <c r="G5" s="284"/>
      <c r="H5" s="306"/>
      <c r="I5" s="390"/>
      <c r="J5" s="306"/>
      <c r="K5" s="390"/>
      <c r="L5" s="306"/>
      <c r="M5" s="79"/>
      <c r="N5" s="305"/>
      <c r="O5" s="285">
        <f>SUMIF(O6:O21,"&gt;0")</f>
        <v>2433.35</v>
      </c>
      <c r="P5" s="285" t="s">
        <v>892</v>
      </c>
      <c r="Q5" s="282">
        <f>SUM(Q6:Q21)</f>
        <v>0</v>
      </c>
      <c r="R5" s="243"/>
      <c r="T5" s="304"/>
      <c r="V5" s="305"/>
      <c r="X5" s="305">
        <f>31.27</f>
        <v>31.27</v>
      </c>
    </row>
    <row r="6" spans="1:24" ht="15" customHeight="1">
      <c r="B6" s="734" t="str">
        <f>"50%: " &amp; E$33*0.5</f>
        <v>50%: 2267.92</v>
      </c>
      <c r="C6" s="734" t="str">
        <f>ROUND((D5/E$33)*100,2) &amp; "%: " &amp;D5</f>
        <v>54.65%: 2478.72</v>
      </c>
      <c r="D6" s="13" t="s">
        <v>805</v>
      </c>
      <c r="E6" s="523">
        <v>0</v>
      </c>
      <c r="F6" s="528">
        <v>50</v>
      </c>
      <c r="H6" s="304"/>
      <c r="J6" s="305"/>
      <c r="L6" s="305"/>
      <c r="N6" s="305"/>
      <c r="O6" s="274">
        <f>SUM(E6:F6)-SUM(G6:N6)</f>
        <v>50</v>
      </c>
      <c r="P6" s="274" t="str">
        <f t="shared" ref="P6:P21" si="0">D6</f>
        <v>Car Petrol / commuting</v>
      </c>
      <c r="Q6" s="282">
        <f>IF(O6&lt;0,O6*-1,0)</f>
        <v>0</v>
      </c>
      <c r="R6" s="243"/>
      <c r="T6" s="304"/>
      <c r="V6" s="305"/>
      <c r="X6" s="305">
        <f>86.93+1+0.59</f>
        <v>88.52000000000001</v>
      </c>
    </row>
    <row r="7" spans="1:24" ht="15" customHeight="1">
      <c r="B7" s="734"/>
      <c r="C7" s="734"/>
      <c r="D7" s="13" t="s">
        <v>169</v>
      </c>
      <c r="E7" s="523">
        <v>0</v>
      </c>
      <c r="F7" s="523">
        <f>400</f>
        <v>400</v>
      </c>
      <c r="H7" s="304"/>
      <c r="J7" s="305"/>
      <c r="L7" s="305"/>
      <c r="N7" s="305"/>
      <c r="O7" s="274">
        <f>SUM(E7:F7)-SUM(G7:N7)</f>
        <v>400</v>
      </c>
      <c r="P7" s="274" t="str">
        <f t="shared" si="0"/>
        <v>Food</v>
      </c>
      <c r="Q7" s="282">
        <f>IF(O7&lt;0,O7*-1,0)</f>
        <v>0</v>
      </c>
      <c r="R7" s="243"/>
      <c r="T7" s="305"/>
      <c r="V7" s="305"/>
      <c r="X7" s="305">
        <f>69.37</f>
        <v>69.37</v>
      </c>
    </row>
    <row r="8" spans="1:24" ht="15" customHeight="1">
      <c r="B8" s="734"/>
      <c r="C8" s="734"/>
      <c r="D8" s="13" t="s">
        <v>153</v>
      </c>
      <c r="E8" s="523">
        <v>0</v>
      </c>
      <c r="F8" s="523">
        <v>120</v>
      </c>
      <c r="H8" s="78"/>
      <c r="J8" s="305"/>
      <c r="L8" s="305">
        <f>23.54+21.83</f>
        <v>45.37</v>
      </c>
      <c r="N8" s="305"/>
      <c r="O8" s="274">
        <f>SUM(E8:F8)-SUM(G8:N8)</f>
        <v>74.63</v>
      </c>
      <c r="P8" s="274" t="str">
        <f t="shared" si="0"/>
        <v>Luna</v>
      </c>
      <c r="Q8" s="282">
        <f>IF(O8&lt;0,O8*-1,0)</f>
        <v>0</v>
      </c>
      <c r="T8" s="305"/>
      <c r="V8" s="305"/>
      <c r="X8" s="305">
        <f>4.99+6.74</f>
        <v>11.73</v>
      </c>
    </row>
    <row r="9" spans="1:24" ht="15" customHeight="1">
      <c r="B9" s="734"/>
      <c r="C9" s="734"/>
      <c r="D9" s="13" t="s">
        <v>189</v>
      </c>
      <c r="E9" s="735">
        <f>SUM(F10:F21)</f>
        <v>1908.7200000000003</v>
      </c>
      <c r="F9" s="735"/>
      <c r="G9" s="243"/>
      <c r="H9" s="78"/>
      <c r="J9" s="305"/>
      <c r="L9" s="305"/>
      <c r="N9" s="305"/>
      <c r="O9" s="274"/>
      <c r="P9" s="274" t="str">
        <f t="shared" si="0"/>
        <v>Direct debits</v>
      </c>
      <c r="Q9" s="282"/>
      <c r="R9" s="243"/>
      <c r="S9">
        <v>838</v>
      </c>
      <c r="T9" s="304"/>
      <c r="V9" s="305"/>
      <c r="X9" s="305"/>
    </row>
    <row r="10" spans="1:24" ht="15" customHeight="1" outlineLevel="1">
      <c r="B10" s="734"/>
      <c r="C10" s="734"/>
      <c r="D10" s="201" t="s">
        <v>595</v>
      </c>
      <c r="E10" s="523">
        <v>0</v>
      </c>
      <c r="F10" s="523">
        <v>838</v>
      </c>
      <c r="H10" s="78"/>
      <c r="J10" s="305"/>
      <c r="L10" s="304"/>
      <c r="N10" s="305"/>
      <c r="O10" s="274">
        <f t="shared" ref="O10:O20" si="1">SUM(E10:F10)-SUM(G10:N10)</f>
        <v>838</v>
      </c>
      <c r="P10" s="274" t="str">
        <f t="shared" si="0"/>
        <v>Mortgage</v>
      </c>
      <c r="Q10" s="282">
        <f t="shared" ref="Q10:Q21" si="2">IF(O10&lt;0,O10*-1,0)</f>
        <v>0</v>
      </c>
      <c r="R10" s="243"/>
      <c r="S10">
        <v>168</v>
      </c>
      <c r="T10" s="305"/>
      <c r="V10" s="305"/>
      <c r="X10" s="305"/>
    </row>
    <row r="11" spans="1:24" ht="15" customHeight="1" outlineLevel="1">
      <c r="B11" s="734"/>
      <c r="C11" s="734"/>
      <c r="D11" s="201" t="s">
        <v>596</v>
      </c>
      <c r="E11" s="523">
        <v>0</v>
      </c>
      <c r="F11" s="523">
        <v>168</v>
      </c>
      <c r="H11" s="78"/>
      <c r="J11" s="305"/>
      <c r="L11" s="305"/>
      <c r="N11" s="305"/>
      <c r="O11" s="274">
        <f t="shared" si="1"/>
        <v>168</v>
      </c>
      <c r="P11" s="274" t="str">
        <f t="shared" si="0"/>
        <v>Council tax</v>
      </c>
      <c r="Q11" s="282">
        <f t="shared" si="2"/>
        <v>0</v>
      </c>
      <c r="S11">
        <f>107.15+49</f>
        <v>156.15</v>
      </c>
      <c r="T11" s="305"/>
      <c r="V11" s="305"/>
      <c r="X11" s="305"/>
    </row>
    <row r="12" spans="1:24" ht="15" customHeight="1" outlineLevel="1">
      <c r="B12" s="734"/>
      <c r="C12" s="734"/>
      <c r="D12" s="201" t="s">
        <v>1002</v>
      </c>
      <c r="E12" s="523">
        <v>0</v>
      </c>
      <c r="F12" s="523">
        <f>49+107.15</f>
        <v>156.15</v>
      </c>
      <c r="H12" s="78"/>
      <c r="J12" s="305"/>
      <c r="L12" s="305"/>
      <c r="N12" s="305"/>
      <c r="O12" s="274">
        <f t="shared" si="1"/>
        <v>156.15</v>
      </c>
      <c r="P12" s="274" t="str">
        <f t="shared" si="0"/>
        <v>Utilities (G,W,E,HTB)</v>
      </c>
      <c r="Q12" s="282">
        <f t="shared" si="2"/>
        <v>0</v>
      </c>
      <c r="T12" s="305"/>
      <c r="V12" s="305"/>
      <c r="X12" s="305"/>
    </row>
    <row r="13" spans="1:24" ht="15" customHeight="1" outlineLevel="1">
      <c r="B13" s="734"/>
      <c r="C13" s="734"/>
      <c r="D13" s="201" t="s">
        <v>996</v>
      </c>
      <c r="E13" s="523">
        <v>0</v>
      </c>
      <c r="F13" s="523">
        <v>25</v>
      </c>
      <c r="H13" s="78"/>
      <c r="J13" s="305"/>
      <c r="L13" s="305"/>
      <c r="N13" s="305"/>
      <c r="O13" s="274">
        <f t="shared" si="1"/>
        <v>25</v>
      </c>
      <c r="P13" s="274" t="str">
        <f t="shared" si="0"/>
        <v>Home Insurance</v>
      </c>
      <c r="Q13" s="282">
        <f t="shared" si="2"/>
        <v>0</v>
      </c>
      <c r="T13" s="305"/>
      <c r="V13" s="305"/>
      <c r="X13" s="305"/>
    </row>
    <row r="14" spans="1:24" ht="15" customHeight="1" outlineLevel="1">
      <c r="B14" s="734"/>
      <c r="C14" s="734"/>
      <c r="D14" s="201" t="s">
        <v>1056</v>
      </c>
      <c r="E14" s="523">
        <v>0</v>
      </c>
      <c r="F14" s="523">
        <f>31.99+20.99</f>
        <v>52.98</v>
      </c>
      <c r="H14" s="78"/>
      <c r="J14" s="305"/>
      <c r="L14" s="305"/>
      <c r="N14" s="305"/>
      <c r="O14" s="274">
        <f t="shared" si="1"/>
        <v>52.98</v>
      </c>
      <c r="P14" s="274" t="str">
        <f t="shared" si="0"/>
        <v>Pet Health / Insurance</v>
      </c>
      <c r="Q14" s="282">
        <f t="shared" si="2"/>
        <v>0</v>
      </c>
      <c r="S14">
        <v>92.88</v>
      </c>
      <c r="T14" s="305"/>
      <c r="U14" s="11"/>
      <c r="V14" s="305"/>
      <c r="X14" s="305"/>
    </row>
    <row r="15" spans="1:24" ht="15" customHeight="1" outlineLevel="1">
      <c r="B15" s="734"/>
      <c r="C15" s="734"/>
      <c r="D15" s="201" t="s">
        <v>1057</v>
      </c>
      <c r="E15" s="523">
        <v>0</v>
      </c>
      <c r="F15" s="523">
        <f>30.8+62.08</f>
        <v>92.88</v>
      </c>
      <c r="H15" s="78"/>
      <c r="I15" s="11"/>
      <c r="J15" s="305"/>
      <c r="L15" s="305"/>
      <c r="N15" s="305"/>
      <c r="O15" s="274">
        <f t="shared" si="1"/>
        <v>92.88</v>
      </c>
      <c r="P15" s="274" t="str">
        <f t="shared" si="0"/>
        <v>Life / Income Insurance</v>
      </c>
      <c r="Q15" s="282">
        <f t="shared" si="2"/>
        <v>0</v>
      </c>
      <c r="S15">
        <v>37</v>
      </c>
      <c r="T15" s="305"/>
      <c r="V15" s="305"/>
      <c r="X15" s="305"/>
    </row>
    <row r="16" spans="1:24" ht="15" customHeight="1" outlineLevel="1">
      <c r="B16" s="734"/>
      <c r="C16" s="734"/>
      <c r="D16" s="201" t="s">
        <v>602</v>
      </c>
      <c r="E16" s="523">
        <v>0</v>
      </c>
      <c r="F16" s="523">
        <v>37</v>
      </c>
      <c r="H16" s="78"/>
      <c r="J16" s="305"/>
      <c r="L16" s="305"/>
      <c r="N16" s="305"/>
      <c r="O16" s="274">
        <f t="shared" si="1"/>
        <v>37</v>
      </c>
      <c r="P16" s="274" t="str">
        <f t="shared" si="0"/>
        <v>Broadband / TV</v>
      </c>
      <c r="Q16" s="282">
        <f t="shared" si="2"/>
        <v>0</v>
      </c>
      <c r="T16" s="305"/>
      <c r="V16" s="305"/>
      <c r="X16" s="305"/>
    </row>
    <row r="17" spans="2:24" ht="15" customHeight="1" outlineLevel="1">
      <c r="B17" s="734"/>
      <c r="C17" s="734"/>
      <c r="D17" s="201" t="s">
        <v>788</v>
      </c>
      <c r="E17" s="523">
        <v>0</v>
      </c>
      <c r="F17" s="523">
        <v>29.1</v>
      </c>
      <c r="H17" s="78"/>
      <c r="J17" s="305"/>
      <c r="L17" s="305"/>
      <c r="N17" s="305"/>
      <c r="O17" s="274">
        <f t="shared" si="1"/>
        <v>29.1</v>
      </c>
      <c r="P17" s="274" t="str">
        <f t="shared" si="0"/>
        <v>Matt Phone</v>
      </c>
      <c r="Q17" s="282">
        <f t="shared" si="2"/>
        <v>0</v>
      </c>
      <c r="S17">
        <f>48.17</f>
        <v>48.17</v>
      </c>
      <c r="T17" s="305"/>
      <c r="V17" s="305"/>
      <c r="X17" s="305"/>
    </row>
    <row r="18" spans="2:24" ht="15" customHeight="1" outlineLevel="1">
      <c r="B18" s="734"/>
      <c r="C18" s="734"/>
      <c r="D18" s="201" t="s">
        <v>690</v>
      </c>
      <c r="E18" s="523">
        <v>0</v>
      </c>
      <c r="F18" s="523">
        <f>14+48.17+270.97</f>
        <v>333.14000000000004</v>
      </c>
      <c r="H18" s="78"/>
      <c r="J18" s="305"/>
      <c r="L18" s="305"/>
      <c r="N18" s="305"/>
      <c r="O18" s="274">
        <f t="shared" si="1"/>
        <v>333.14000000000004</v>
      </c>
      <c r="P18" s="274" t="str">
        <f t="shared" si="0"/>
        <v>Cars</v>
      </c>
      <c r="Q18" s="282">
        <f t="shared" si="2"/>
        <v>0</v>
      </c>
      <c r="T18" s="305"/>
      <c r="V18" s="305"/>
      <c r="X18" s="305"/>
    </row>
    <row r="19" spans="2:24" ht="15" customHeight="1" outlineLevel="1">
      <c r="B19" s="734"/>
      <c r="C19" s="734"/>
      <c r="D19" s="201" t="s">
        <v>944</v>
      </c>
      <c r="E19" s="523">
        <v>0</v>
      </c>
      <c r="F19" s="523">
        <v>15</v>
      </c>
      <c r="H19" s="78"/>
      <c r="J19" s="305"/>
      <c r="L19" s="305"/>
      <c r="N19" s="305"/>
      <c r="O19" s="274">
        <f t="shared" si="1"/>
        <v>15</v>
      </c>
      <c r="P19" s="274" t="str">
        <f t="shared" si="0"/>
        <v>Windows</v>
      </c>
      <c r="Q19" s="282">
        <f t="shared" si="2"/>
        <v>0</v>
      </c>
      <c r="R19" s="243"/>
      <c r="T19" s="305"/>
      <c r="V19" s="305"/>
      <c r="X19" s="305"/>
    </row>
    <row r="20" spans="2:24" ht="15" customHeight="1" outlineLevel="1">
      <c r="B20" s="7"/>
      <c r="C20" s="7"/>
      <c r="D20" s="201" t="s">
        <v>1297</v>
      </c>
      <c r="E20" s="523">
        <v>0</v>
      </c>
      <c r="F20" s="523">
        <v>100</v>
      </c>
      <c r="H20" s="78"/>
      <c r="J20" s="305"/>
      <c r="L20" s="305"/>
      <c r="N20" s="305"/>
      <c r="O20" s="274">
        <f t="shared" si="1"/>
        <v>100</v>
      </c>
      <c r="P20" s="274" t="str">
        <f t="shared" si="0"/>
        <v>Skin</v>
      </c>
      <c r="Q20" s="282"/>
      <c r="R20" s="243"/>
      <c r="S20" s="11">
        <v>12</v>
      </c>
      <c r="T20" s="305"/>
      <c r="V20" s="305"/>
      <c r="X20" s="305"/>
    </row>
    <row r="21" spans="2:24" ht="15" customHeight="1" outlineLevel="1">
      <c r="B21" s="7"/>
      <c r="C21" s="7"/>
      <c r="D21" s="201" t="s">
        <v>781</v>
      </c>
      <c r="E21" s="523">
        <v>0</v>
      </c>
      <c r="F21" s="523">
        <f>10.49+18+4.99+0.99+12+15</f>
        <v>61.470000000000006</v>
      </c>
      <c r="G21" s="11"/>
      <c r="H21" s="78"/>
      <c r="J21" s="305"/>
      <c r="L21" s="305"/>
      <c r="N21" s="305"/>
      <c r="O21" s="274">
        <f>SUM(E21:F21)-SUM(G21:N21)</f>
        <v>61.470000000000006</v>
      </c>
      <c r="P21" s="274" t="str">
        <f t="shared" si="0"/>
        <v>Subscriptions</v>
      </c>
      <c r="Q21" s="282">
        <f t="shared" si="2"/>
        <v>0</v>
      </c>
      <c r="R21" s="243"/>
      <c r="T21" s="305"/>
      <c r="V21" s="305"/>
      <c r="X21" s="305"/>
    </row>
    <row r="22" spans="2:24" ht="15" customHeight="1">
      <c r="B22" s="118"/>
      <c r="C22" s="118"/>
      <c r="D22" s="188"/>
      <c r="H22" s="78"/>
      <c r="J22" s="305"/>
      <c r="L22" s="305"/>
      <c r="N22" s="305"/>
      <c r="O22" s="273"/>
      <c r="P22" s="273"/>
      <c r="Q22" s="282"/>
      <c r="T22" s="305"/>
      <c r="V22" s="305"/>
      <c r="X22" s="305"/>
    </row>
    <row r="23" spans="2:24" ht="15" customHeight="1">
      <c r="B23" s="736" t="str">
        <f>_xlfn.CONCAT("Savings - 20 - ",E33*0.2," / Actual = ",D24," (",ROUND((D24/E33)*100,2),")")</f>
        <v>Savings - 20 - 907.168 / Actual = 750 (16.53)</v>
      </c>
      <c r="C23" s="736"/>
      <c r="D23" s="736"/>
      <c r="E23" s="736"/>
      <c r="F23" s="320"/>
      <c r="H23" s="78"/>
      <c r="J23" s="305"/>
      <c r="L23" s="305"/>
      <c r="N23" s="305"/>
      <c r="O23" s="274"/>
      <c r="P23" s="274"/>
      <c r="Q23" s="282"/>
      <c r="T23" s="305"/>
      <c r="V23" s="305"/>
      <c r="X23" s="305"/>
    </row>
    <row r="24" spans="2:24" ht="15" customHeight="1">
      <c r="B24" s="727" t="str">
        <f>IF(ISNUMBER((SEARCH("Over",C$5))),"Operating under budget","Operating over budget")</f>
        <v>Operating over budget</v>
      </c>
      <c r="C24" s="727"/>
      <c r="D24" s="759">
        <f>F25</f>
        <v>750</v>
      </c>
      <c r="E24" s="759"/>
      <c r="F24" s="319"/>
      <c r="H24" s="78"/>
      <c r="J24" s="305"/>
      <c r="L24" s="305"/>
      <c r="N24" s="305"/>
      <c r="O24" s="285">
        <f>O25</f>
        <v>750</v>
      </c>
      <c r="P24" s="285" t="s">
        <v>895</v>
      </c>
      <c r="Q24" s="282">
        <f>SUM(Q25:Q25)</f>
        <v>0</v>
      </c>
      <c r="S24" s="243"/>
      <c r="T24" s="305"/>
      <c r="V24" s="305"/>
      <c r="X24" s="305"/>
    </row>
    <row r="25" spans="2:24" ht="15" customHeight="1" outlineLevel="1">
      <c r="B25" s="7" t="str">
        <f>"20% : " &amp; E$33*0.2</f>
        <v>20% : 907.168</v>
      </c>
      <c r="C25" s="7" t="str">
        <f>"20% : " &amp; E$33*0.2</f>
        <v>20% : 907.168</v>
      </c>
      <c r="D25" s="300" t="s">
        <v>183</v>
      </c>
      <c r="E25" s="523">
        <v>0</v>
      </c>
      <c r="F25" s="523">
        <v>750</v>
      </c>
      <c r="G25" s="243"/>
      <c r="H25" s="78"/>
      <c r="J25" s="305"/>
      <c r="L25" s="305"/>
      <c r="N25" s="305"/>
      <c r="O25" s="274">
        <f>SUM(E25:F25)-SUM(G25:N25)</f>
        <v>750</v>
      </c>
      <c r="P25" s="274" t="str">
        <f t="shared" ref="P25" si="3">D25</f>
        <v>Savings</v>
      </c>
      <c r="Q25" s="282">
        <v>0</v>
      </c>
      <c r="R25" s="495"/>
      <c r="T25" s="305"/>
      <c r="V25" s="305"/>
      <c r="X25" s="362"/>
    </row>
    <row r="26" spans="2:24" ht="15" customHeight="1">
      <c r="B26" s="118"/>
      <c r="C26" s="118"/>
      <c r="H26" s="78"/>
      <c r="J26" s="305"/>
      <c r="L26" s="305"/>
      <c r="N26" s="305"/>
      <c r="O26" s="273"/>
      <c r="P26" s="273"/>
      <c r="Q26" s="282"/>
      <c r="R26" s="243"/>
      <c r="T26" s="305"/>
      <c r="V26" s="305"/>
      <c r="X26" s="305"/>
    </row>
    <row r="27" spans="2:24" ht="15" customHeight="1">
      <c r="B27" s="727" t="str">
        <f>_xlfn.CONCAT("Wants - 30 - ",E33*0.3," / Actual = ",D28," (",ROUND((D28/E33)*100,2),")")</f>
        <v>Wants - 30 - 1360.752 / Actual = 1307.12 (28.82)</v>
      </c>
      <c r="C27" s="727"/>
      <c r="D27" s="727"/>
      <c r="E27" s="727"/>
      <c r="F27" s="318"/>
      <c r="H27" s="78"/>
      <c r="J27" s="305"/>
      <c r="L27" s="305"/>
      <c r="N27" s="305"/>
      <c r="O27" s="273"/>
      <c r="P27" s="273"/>
      <c r="Q27" s="282"/>
      <c r="T27" s="305"/>
      <c r="V27" s="305"/>
      <c r="X27" s="305"/>
    </row>
    <row r="28" spans="2:24" ht="15" customHeight="1">
      <c r="B28" s="727" t="str">
        <f>IF(ISNUMBER((SEARCH("Over",B$5))),"Operating under budget","Operating over budget")</f>
        <v>Operating under budget</v>
      </c>
      <c r="C28" s="727"/>
      <c r="D28" s="759">
        <f>(E$33-D5-D24-E32)</f>
        <v>1307.1200000000003</v>
      </c>
      <c r="E28" s="727"/>
      <c r="F28" s="319"/>
      <c r="H28" s="78"/>
      <c r="J28" s="305"/>
      <c r="L28" s="305"/>
      <c r="N28" s="305"/>
      <c r="O28" s="285">
        <f>0</f>
        <v>0</v>
      </c>
      <c r="P28" s="285" t="s">
        <v>899</v>
      </c>
      <c r="Q28" s="282">
        <f>SUM(Q29:Q29)</f>
        <v>0</v>
      </c>
      <c r="S28" s="11"/>
      <c r="X28">
        <f>1.16</f>
        <v>1.1599999999999999</v>
      </c>
    </row>
    <row r="29" spans="2:24" ht="18" outlineLevel="1">
      <c r="B29" s="7"/>
      <c r="C29" s="284"/>
      <c r="D29" s="13" t="s">
        <v>2779</v>
      </c>
      <c r="E29" s="523">
        <v>0</v>
      </c>
      <c r="F29" s="523">
        <v>830</v>
      </c>
      <c r="G29" s="11"/>
      <c r="H29" s="78"/>
      <c r="L29">
        <f>17+7+7.12</f>
        <v>31.12</v>
      </c>
      <c r="N29" s="305"/>
      <c r="O29" s="274">
        <f>SUM(E30:F30)-SUM(G29:N29)</f>
        <v>446.00000000000034</v>
      </c>
      <c r="P29" s="274" t="str">
        <f>D30</f>
        <v>Matt Fun</v>
      </c>
      <c r="Q29" s="282">
        <f>IF(SUM(E30:F30)-SUM(G29:N29)&lt;=0,(SUM(E30:F30)-SUM(G29:N29))*-1,0)</f>
        <v>0</v>
      </c>
      <c r="S29" s="11">
        <v>35.94</v>
      </c>
    </row>
    <row r="30" spans="2:24" ht="18" outlineLevel="1">
      <c r="B30" s="7"/>
      <c r="C30" s="284"/>
      <c r="D30" s="13" t="s">
        <v>922</v>
      </c>
      <c r="E30" s="523">
        <v>0</v>
      </c>
      <c r="F30" s="523">
        <f>D28-F31-F29</f>
        <v>477.12000000000035</v>
      </c>
      <c r="G30" s="11"/>
      <c r="H30" s="78"/>
      <c r="N30" s="305"/>
      <c r="O30" s="274"/>
      <c r="P30" s="274"/>
      <c r="Q30" s="282"/>
      <c r="S30" s="11"/>
    </row>
    <row r="31" spans="2:24" ht="18" outlineLevel="1">
      <c r="B31" s="7"/>
      <c r="C31" s="284"/>
      <c r="D31" s="13" t="s">
        <v>152</v>
      </c>
      <c r="E31" s="523">
        <v>0</v>
      </c>
      <c r="F31" s="523">
        <v>0</v>
      </c>
      <c r="G31" s="11"/>
      <c r="H31" s="326"/>
      <c r="J31" s="305"/>
      <c r="L31" s="305"/>
      <c r="N31" s="305"/>
      <c r="O31" s="274">
        <f>SUM(E31:F31)-SUM(G31:N31)</f>
        <v>0</v>
      </c>
      <c r="P31" s="274" t="str">
        <f>D31</f>
        <v>Kris</v>
      </c>
      <c r="Q31" s="271">
        <f>IF(F31-SUM(G31:N31)&lt;=0,(F31-SUM(G31:N31))*-1,0)</f>
        <v>0</v>
      </c>
    </row>
    <row r="32" spans="2:24">
      <c r="B32" s="118"/>
      <c r="C32" s="118"/>
      <c r="G32" s="349"/>
      <c r="J32" s="7"/>
      <c r="L32" s="7"/>
      <c r="N32" s="7"/>
      <c r="O32" s="273"/>
      <c r="P32" s="273"/>
      <c r="Q32" s="282"/>
    </row>
    <row r="33" spans="2:18" ht="18">
      <c r="B33" s="728" t="s">
        <v>2768</v>
      </c>
      <c r="C33" s="728"/>
      <c r="D33" s="728"/>
      <c r="E33" s="529">
        <f>3575.84+910+50</f>
        <v>4535.84</v>
      </c>
      <c r="F33" s="530"/>
      <c r="G33" s="271"/>
      <c r="H33" s="282"/>
      <c r="I33" s="271"/>
      <c r="J33" s="271"/>
      <c r="K33" s="271"/>
      <c r="L33" s="271"/>
      <c r="M33" s="271"/>
      <c r="N33" s="271"/>
      <c r="O33" s="314" t="e">
        <f>ROUND(O5+O28+O24+IF(O29&lt;0,0,O29)+O31+O4,2)</f>
        <v>#REF!</v>
      </c>
      <c r="P33" s="274"/>
      <c r="Q33" s="282">
        <f>SUM(Q28,Q24,Q5)</f>
        <v>0</v>
      </c>
    </row>
    <row r="34" spans="2:18" ht="18">
      <c r="B34" s="118"/>
      <c r="C34" s="7"/>
      <c r="D34" s="13" t="s">
        <v>1451</v>
      </c>
      <c r="G34" s="523"/>
      <c r="H34" s="243"/>
      <c r="L34" s="243"/>
      <c r="O34" s="610" t="e">
        <f>O33-SUM(O4:O5)</f>
        <v>#REF!</v>
      </c>
      <c r="P34" s="7" t="e">
        <f>IF(O34&lt;0, "DEFICIT", "")</f>
        <v>#REF!</v>
      </c>
    </row>
    <row r="35" spans="2:18" ht="14.4">
      <c r="B35" s="729"/>
      <c r="C35" s="729"/>
      <c r="D35" s="729"/>
      <c r="E35" s="729"/>
      <c r="F35" s="729"/>
      <c r="G35" s="729"/>
      <c r="H35" s="297"/>
      <c r="K35" s="729"/>
      <c r="L35" s="729"/>
      <c r="M35" s="729"/>
      <c r="N35" s="729"/>
      <c r="O35" s="729"/>
      <c r="P35" s="297"/>
    </row>
    <row r="36" spans="2:18" ht="15" customHeight="1">
      <c r="B36" s="726" t="s">
        <v>955</v>
      </c>
      <c r="C36" s="726"/>
      <c r="E36"/>
      <c r="F36" s="348"/>
      <c r="H36" s="243"/>
      <c r="K36" s="212"/>
      <c r="L36" s="212"/>
      <c r="M36" s="243"/>
      <c r="N36" s="118" t="s">
        <v>2382</v>
      </c>
      <c r="O36" s="316">
        <v>45872</v>
      </c>
      <c r="P36" s="7">
        <f ca="1">DATEDIF(O36,NOW(),"d")</f>
        <v>379</v>
      </c>
      <c r="Q36">
        <v>1.79</v>
      </c>
      <c r="R36" t="s">
        <v>2383</v>
      </c>
    </row>
    <row r="37" spans="2:18">
      <c r="B37" s="523"/>
      <c r="C37" s="38"/>
      <c r="D37" t="s">
        <v>2769</v>
      </c>
      <c r="E37"/>
      <c r="F37" s="767"/>
      <c r="G37" s="767"/>
      <c r="I37" s="243"/>
      <c r="J37" s="243"/>
      <c r="K37" s="11"/>
      <c r="L37" s="243"/>
      <c r="N37" s="483" t="s">
        <v>2376</v>
      </c>
      <c r="O37" s="42">
        <v>45872</v>
      </c>
      <c r="P37" s="7">
        <f ca="1">DATEDIF(O37,NOW(),"d")</f>
        <v>379</v>
      </c>
      <c r="Q37">
        <v>0.99</v>
      </c>
      <c r="R37" t="s">
        <v>1317</v>
      </c>
    </row>
    <row r="38" spans="2:18">
      <c r="D38" t="s">
        <v>2770</v>
      </c>
      <c r="E38" s="534"/>
      <c r="F38" s="545"/>
      <c r="G38" s="458"/>
      <c r="H38" s="445"/>
      <c r="I38" s="11"/>
      <c r="J38" s="243"/>
      <c r="L38" s="243"/>
      <c r="N38" s="358" t="s">
        <v>2371</v>
      </c>
      <c r="O38" s="316">
        <v>45872</v>
      </c>
      <c r="P38" s="7">
        <f ca="1">DATEDIF(O38,NOW(),"d")</f>
        <v>379</v>
      </c>
    </row>
    <row r="39" spans="2:18" ht="16.2" customHeight="1">
      <c r="D39" t="s">
        <v>2771</v>
      </c>
      <c r="E39" s="609"/>
      <c r="F39" s="611"/>
      <c r="G39" s="243"/>
      <c r="H39" s="243"/>
      <c r="I39" s="243"/>
      <c r="J39" s="349"/>
      <c r="L39" s="243"/>
      <c r="N39" t="s">
        <v>2384</v>
      </c>
      <c r="O39" s="316">
        <v>45872</v>
      </c>
      <c r="P39" s="7">
        <v>0</v>
      </c>
      <c r="Q39">
        <v>93.95</v>
      </c>
      <c r="R39" t="s">
        <v>2385</v>
      </c>
    </row>
    <row r="40" spans="2:18">
      <c r="B40" s="532"/>
      <c r="E40" s="608">
        <v>90</v>
      </c>
      <c r="F40" t="s">
        <v>2772</v>
      </c>
      <c r="G40" s="539"/>
      <c r="H40" s="243"/>
      <c r="I40" s="349"/>
      <c r="J40" s="213"/>
      <c r="M40" s="243"/>
      <c r="P40"/>
    </row>
    <row r="41" spans="2:18">
      <c r="E41" s="284">
        <v>100</v>
      </c>
      <c r="F41" s="613" t="s">
        <v>2773</v>
      </c>
      <c r="G41" s="539"/>
      <c r="M41" s="243"/>
      <c r="P41"/>
      <c r="Q41" s="243"/>
    </row>
    <row r="42" spans="2:18">
      <c r="E42" s="284">
        <v>48</v>
      </c>
      <c r="F42" s="613" t="s">
        <v>2221</v>
      </c>
      <c r="G42" s="515"/>
      <c r="L42" s="725"/>
      <c r="M42" s="725"/>
      <c r="P42" s="292"/>
      <c r="Q42" s="212"/>
    </row>
    <row r="43" spans="2:18" ht="15" customHeight="1">
      <c r="E43" s="534">
        <v>137</v>
      </c>
      <c r="F43" s="613" t="s">
        <v>2774</v>
      </c>
      <c r="G43" s="243"/>
      <c r="H43" s="243"/>
      <c r="M43" s="243"/>
      <c r="N43" s="243"/>
      <c r="P43" s="56"/>
      <c r="Q43" s="38"/>
    </row>
    <row r="44" spans="2:18">
      <c r="E44" s="545">
        <v>170</v>
      </c>
      <c r="F44" s="613" t="s">
        <v>2775</v>
      </c>
      <c r="G44" s="243"/>
      <c r="H44" s="243"/>
      <c r="K44" s="243"/>
      <c r="M44" s="243"/>
      <c r="O44"/>
      <c r="P44"/>
    </row>
    <row r="45" spans="2:18" ht="15" customHeight="1">
      <c r="E45" s="523">
        <v>50</v>
      </c>
      <c r="F45" s="613" t="s">
        <v>2776</v>
      </c>
      <c r="H45" s="243"/>
      <c r="J45" s="353"/>
      <c r="K45" s="243"/>
      <c r="M45" s="243"/>
    </row>
    <row r="46" spans="2:18" ht="16.2" customHeight="1">
      <c r="E46" s="523">
        <v>487</v>
      </c>
      <c r="F46" s="613" t="s">
        <v>2780</v>
      </c>
      <c r="G46" s="458"/>
      <c r="M46" s="243"/>
    </row>
    <row r="47" spans="2:18" ht="14.7" customHeight="1">
      <c r="B47" s="11"/>
      <c r="F47" s="243" t="s">
        <v>2777</v>
      </c>
      <c r="H47" s="515"/>
      <c r="J47" s="243"/>
      <c r="M47" s="243"/>
      <c r="O47"/>
      <c r="P47"/>
    </row>
    <row r="48" spans="2:18">
      <c r="B48" s="11"/>
      <c r="O48"/>
      <c r="P48"/>
    </row>
    <row r="49" spans="2:16">
      <c r="B49" s="11"/>
      <c r="J49" s="243"/>
      <c r="O49"/>
      <c r="P49"/>
    </row>
    <row r="50" spans="2:16">
      <c r="G50" s="243"/>
      <c r="H50" s="523"/>
      <c r="K50" s="248"/>
      <c r="L50" s="243"/>
      <c r="M50" s="243"/>
      <c r="O50"/>
      <c r="P50"/>
    </row>
    <row r="51" spans="2:16">
      <c r="B51" s="212"/>
      <c r="C51" s="212"/>
      <c r="H51" s="523"/>
      <c r="L51" s="243"/>
      <c r="O51"/>
      <c r="P51"/>
    </row>
    <row r="52" spans="2:16">
      <c r="C52" s="56"/>
      <c r="H52" s="523"/>
      <c r="L52" s="243"/>
      <c r="O52"/>
      <c r="P52"/>
    </row>
    <row r="53" spans="2:16" ht="15.75" customHeight="1">
      <c r="C53" s="56"/>
      <c r="I53" s="243"/>
      <c r="L53" s="243"/>
      <c r="M53" s="243"/>
      <c r="O53"/>
      <c r="P53"/>
    </row>
    <row r="54" spans="2:16">
      <c r="C54" s="56"/>
      <c r="E54"/>
      <c r="H54" s="523"/>
      <c r="I54" s="243"/>
      <c r="K54" s="516"/>
      <c r="M54" s="243"/>
      <c r="O54"/>
      <c r="P54"/>
    </row>
    <row r="55" spans="2:16">
      <c r="C55" s="56"/>
      <c r="D55" s="188"/>
      <c r="E55"/>
      <c r="H55" s="79"/>
      <c r="O55"/>
      <c r="P55"/>
    </row>
    <row r="56" spans="2:16">
      <c r="C56" s="56"/>
      <c r="E56"/>
      <c r="H56" s="545"/>
      <c r="O56"/>
      <c r="P56"/>
    </row>
    <row r="57" spans="2:16">
      <c r="C57" s="56"/>
      <c r="E57" s="407"/>
      <c r="H57" s="55"/>
      <c r="O57"/>
      <c r="P57"/>
    </row>
    <row r="58" spans="2:16">
      <c r="C58" s="56"/>
      <c r="E58"/>
      <c r="H58" s="523"/>
      <c r="K58" s="407"/>
      <c r="N58" s="288"/>
      <c r="O58"/>
      <c r="P58"/>
    </row>
    <row r="59" spans="2:16">
      <c r="C59" s="56"/>
      <c r="E59" s="347"/>
      <c r="H59" s="523"/>
      <c r="O59"/>
      <c r="P59"/>
    </row>
    <row r="60" spans="2:16">
      <c r="C60" s="56"/>
      <c r="E60"/>
      <c r="H60" s="545"/>
      <c r="L60" s="243"/>
      <c r="O60"/>
      <c r="P60"/>
    </row>
    <row r="61" spans="2:16">
      <c r="C61" s="56"/>
      <c r="E61" s="407"/>
      <c r="O61"/>
      <c r="P61"/>
    </row>
    <row r="62" spans="2:16" ht="15.45" customHeight="1">
      <c r="C62" s="56"/>
      <c r="E62" s="407"/>
      <c r="F62" s="11"/>
      <c r="I62" s="407"/>
      <c r="J62" s="407"/>
      <c r="K62" s="407"/>
      <c r="L62" s="407"/>
      <c r="M62" s="407"/>
      <c r="O62"/>
      <c r="P62"/>
    </row>
    <row r="63" spans="2:16" ht="14.4">
      <c r="D63" s="459"/>
      <c r="E63" s="243"/>
      <c r="F63" s="459"/>
      <c r="O63"/>
      <c r="P63"/>
    </row>
    <row r="64" spans="2:16" ht="14.4">
      <c r="B64" s="212"/>
      <c r="C64" s="294"/>
      <c r="D64" s="188"/>
      <c r="E64"/>
      <c r="F64" s="188"/>
      <c r="O64"/>
      <c r="P64"/>
    </row>
    <row r="65" spans="3:16" ht="15.45" customHeight="1">
      <c r="C65" s="56"/>
      <c r="E65" s="243"/>
      <c r="F65"/>
      <c r="M65" s="243"/>
      <c r="O65"/>
      <c r="P65"/>
    </row>
    <row r="66" spans="3:16">
      <c r="C66" s="56"/>
      <c r="E66" s="532"/>
      <c r="F66"/>
      <c r="O66"/>
      <c r="P66"/>
    </row>
    <row r="67" spans="3:16">
      <c r="C67" s="56"/>
      <c r="L67" s="459"/>
      <c r="M67" s="461"/>
      <c r="O67"/>
      <c r="P67"/>
    </row>
    <row r="68" spans="3:16">
      <c r="C68" s="56"/>
      <c r="D68" s="426"/>
      <c r="E68" s="533"/>
      <c r="L68" s="188"/>
      <c r="M68" s="230"/>
      <c r="O68"/>
      <c r="P68"/>
    </row>
    <row r="69" spans="3:16">
      <c r="C69" s="56"/>
      <c r="D69" s="405"/>
      <c r="E69" s="407"/>
      <c r="L69" s="188"/>
      <c r="M69" s="230"/>
      <c r="O69"/>
      <c r="P69"/>
    </row>
    <row r="70" spans="3:16">
      <c r="C70" s="56"/>
      <c r="D70" s="532"/>
      <c r="E70"/>
      <c r="L70" s="188"/>
      <c r="M70" s="230"/>
      <c r="O70"/>
      <c r="P70"/>
    </row>
    <row r="71" spans="3:16">
      <c r="E71" s="533"/>
      <c r="L71" s="188"/>
      <c r="M71" s="230"/>
      <c r="O71"/>
      <c r="P71"/>
    </row>
    <row r="72" spans="3:16">
      <c r="E72" s="533"/>
      <c r="L72" s="532"/>
      <c r="M72" s="230"/>
      <c r="O72"/>
      <c r="P72"/>
    </row>
    <row r="73" spans="3:16">
      <c r="E73" s="533"/>
      <c r="F73" s="212"/>
      <c r="L73" s="405"/>
      <c r="M73" s="230"/>
      <c r="O73"/>
      <c r="P73"/>
    </row>
    <row r="74" spans="3:16" ht="14.4">
      <c r="E74"/>
      <c r="F74"/>
      <c r="L74" s="405"/>
      <c r="M74" s="462"/>
      <c r="O74"/>
      <c r="P74"/>
    </row>
    <row r="75" spans="3:16" ht="14.4">
      <c r="E75"/>
      <c r="F75"/>
      <c r="O75"/>
      <c r="P75"/>
    </row>
    <row r="76" spans="3:16" ht="14.4">
      <c r="E76"/>
      <c r="F76"/>
      <c r="O76"/>
      <c r="P76"/>
    </row>
    <row r="77" spans="3:16" ht="14.4">
      <c r="E77" s="292"/>
      <c r="F77" s="56"/>
      <c r="O77"/>
      <c r="P77"/>
    </row>
    <row r="78" spans="3:16" ht="14.4">
      <c r="E78" s="42"/>
      <c r="F78" s="56"/>
      <c r="O78"/>
      <c r="P78"/>
    </row>
    <row r="79" spans="3:16" ht="14.4">
      <c r="E79" s="56"/>
      <c r="F79" s="56"/>
      <c r="O79"/>
      <c r="P79"/>
    </row>
    <row r="80" spans="3:16">
      <c r="O80"/>
      <c r="P80"/>
    </row>
    <row r="81" spans="5:16" ht="14.4">
      <c r="E81" s="212"/>
      <c r="F81" s="212"/>
      <c r="O81"/>
      <c r="P81"/>
    </row>
    <row r="82" spans="5:16" ht="14.4">
      <c r="E82"/>
      <c r="F82" s="56"/>
      <c r="O82"/>
      <c r="P82"/>
    </row>
    <row r="83" spans="5:16" ht="14.4">
      <c r="E83" s="56"/>
      <c r="F83" s="56"/>
      <c r="O83"/>
      <c r="P83"/>
    </row>
    <row r="84" spans="5:16" ht="14.4">
      <c r="E84" s="56"/>
      <c r="F84" s="56"/>
      <c r="G84" s="407"/>
      <c r="O84"/>
      <c r="P84"/>
    </row>
    <row r="85" spans="5:16" ht="14.4">
      <c r="E85" s="56"/>
      <c r="F85" s="56"/>
      <c r="G85" s="407"/>
      <c r="O85"/>
      <c r="P85"/>
    </row>
    <row r="86" spans="5:16" ht="14.4">
      <c r="E86" s="56"/>
      <c r="F86" s="56"/>
      <c r="G86" s="407"/>
      <c r="O86"/>
      <c r="P86"/>
    </row>
    <row r="87" spans="5:16" ht="14.4">
      <c r="E87" s="56"/>
      <c r="F87" s="56"/>
      <c r="G87" s="407"/>
      <c r="O87"/>
      <c r="P87"/>
    </row>
    <row r="88" spans="5:16">
      <c r="G88" s="407"/>
      <c r="O88"/>
      <c r="P88"/>
    </row>
    <row r="89" spans="5:16">
      <c r="G89" s="407"/>
      <c r="O89"/>
      <c r="P89"/>
    </row>
    <row r="90" spans="5:16">
      <c r="G90" s="407"/>
      <c r="O90"/>
      <c r="P90"/>
    </row>
    <row r="91" spans="5:16">
      <c r="G91" s="407"/>
    </row>
  </sheetData>
  <mergeCells count="23">
    <mergeCell ref="B35:G35"/>
    <mergeCell ref="K35:O35"/>
    <mergeCell ref="B36:C36"/>
    <mergeCell ref="F37:G37"/>
    <mergeCell ref="L42:M42"/>
    <mergeCell ref="B33:D33"/>
    <mergeCell ref="B5:C5"/>
    <mergeCell ref="D5:E5"/>
    <mergeCell ref="B6:B19"/>
    <mergeCell ref="C6:C19"/>
    <mergeCell ref="E9:F9"/>
    <mergeCell ref="B23:E23"/>
    <mergeCell ref="B24:C24"/>
    <mergeCell ref="D24:E24"/>
    <mergeCell ref="B27:E27"/>
    <mergeCell ref="B28:C28"/>
    <mergeCell ref="D28:E28"/>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6255D-D56B-41A0-B5BC-F0938B76A46B}">
  <dimension ref="A1:K30"/>
  <sheetViews>
    <sheetView workbookViewId="0">
      <selection activeCell="H23" sqref="H23"/>
    </sheetView>
  </sheetViews>
  <sheetFormatPr defaultColWidth="8.44140625" defaultRowHeight="14.4"/>
  <cols>
    <col min="1" max="2" width="13.6640625" customWidth="1"/>
    <col min="3" max="3" width="14" customWidth="1"/>
    <col min="4" max="6" width="14.77734375" customWidth="1"/>
    <col min="7" max="7" width="16.109375" customWidth="1"/>
    <col min="8" max="8" width="16" customWidth="1"/>
    <col min="9" max="9" width="13.6640625" customWidth="1"/>
    <col min="10" max="11" width="14.77734375" customWidth="1"/>
  </cols>
  <sheetData>
    <row r="1" spans="1:11" ht="18">
      <c r="A1" s="597" t="s">
        <v>2338</v>
      </c>
      <c r="B1" s="552"/>
      <c r="C1" s="598"/>
      <c r="D1" s="598"/>
      <c r="E1" s="598"/>
      <c r="F1" s="598"/>
      <c r="G1" s="598"/>
      <c r="H1" s="598"/>
      <c r="I1" s="598"/>
      <c r="J1" s="598"/>
      <c r="K1" s="599"/>
    </row>
    <row r="2" spans="1:11" ht="15.6">
      <c r="A2" s="571"/>
      <c r="B2" s="572" t="s">
        <v>2317</v>
      </c>
      <c r="C2" s="572" t="s">
        <v>2318</v>
      </c>
      <c r="D2" s="572" t="s">
        <v>2319</v>
      </c>
      <c r="E2" s="572" t="s">
        <v>2320</v>
      </c>
      <c r="F2" s="572" t="s">
        <v>2321</v>
      </c>
      <c r="G2" s="572" t="s">
        <v>2322</v>
      </c>
      <c r="H2" s="572" t="s">
        <v>2323</v>
      </c>
      <c r="I2" s="572" t="s">
        <v>2324</v>
      </c>
      <c r="J2" s="572" t="s">
        <v>2325</v>
      </c>
      <c r="K2" s="573" t="s">
        <v>2326</v>
      </c>
    </row>
    <row r="3" spans="1:11" ht="28.95" customHeight="1">
      <c r="A3" s="574" t="s">
        <v>2327</v>
      </c>
      <c r="B3" s="575">
        <v>90080000</v>
      </c>
      <c r="C3" s="575">
        <v>90560000</v>
      </c>
      <c r="D3" s="575">
        <v>91040000</v>
      </c>
      <c r="E3" s="575">
        <v>91520000</v>
      </c>
      <c r="F3" s="575">
        <v>92000000</v>
      </c>
      <c r="G3" s="575">
        <v>92480000</v>
      </c>
      <c r="H3" s="575">
        <v>92960000</v>
      </c>
      <c r="I3" s="575">
        <v>93440000</v>
      </c>
      <c r="J3" s="575">
        <v>93920000</v>
      </c>
      <c r="K3" s="575">
        <v>94400000</v>
      </c>
    </row>
    <row r="4" spans="1:11" ht="15.6">
      <c r="A4" s="576" t="s">
        <v>2339</v>
      </c>
      <c r="B4" s="577">
        <v>5.5000000000000007E-2</v>
      </c>
      <c r="C4" s="577">
        <v>7.0000000000000007E-2</v>
      </c>
      <c r="D4" s="577">
        <v>8.5000000000000006E-2</v>
      </c>
      <c r="E4" s="577">
        <v>0.1</v>
      </c>
      <c r="F4" s="577">
        <v>0.115</v>
      </c>
      <c r="G4" s="577">
        <v>0.13</v>
      </c>
      <c r="H4" s="577">
        <v>0.14500000000000002</v>
      </c>
      <c r="I4" s="577">
        <v>0.16000000000000003</v>
      </c>
      <c r="J4" s="577">
        <v>0.18000000000000002</v>
      </c>
      <c r="K4" s="578">
        <v>0.20500000000000002</v>
      </c>
    </row>
    <row r="5" spans="1:11">
      <c r="B5" s="288"/>
      <c r="C5" s="288"/>
      <c r="D5" s="288"/>
      <c r="E5" s="288"/>
      <c r="F5" s="288"/>
      <c r="G5" s="288"/>
      <c r="H5" s="288"/>
      <c r="I5" s="288"/>
      <c r="J5" s="288"/>
      <c r="K5" s="288"/>
    </row>
    <row r="6" spans="1:11" ht="18">
      <c r="A6" s="794" t="s">
        <v>2340</v>
      </c>
      <c r="B6" s="795"/>
    </row>
    <row r="7" spans="1:11" ht="15.6">
      <c r="A7" s="571"/>
      <c r="B7" s="572" t="s">
        <v>2317</v>
      </c>
      <c r="C7" s="572" t="s">
        <v>2318</v>
      </c>
      <c r="D7" s="572" t="s">
        <v>2319</v>
      </c>
      <c r="E7" s="572" t="s">
        <v>2320</v>
      </c>
      <c r="F7" s="572" t="s">
        <v>2321</v>
      </c>
      <c r="G7" s="572" t="s">
        <v>2322</v>
      </c>
      <c r="H7" s="572" t="s">
        <v>2323</v>
      </c>
      <c r="I7" s="572" t="s">
        <v>2324</v>
      </c>
      <c r="J7" s="572" t="s">
        <v>2325</v>
      </c>
      <c r="K7" s="573" t="s">
        <v>2326</v>
      </c>
    </row>
    <row r="8" spans="1:11" ht="15.6">
      <c r="A8" s="574" t="s">
        <v>2327</v>
      </c>
      <c r="B8" s="575">
        <v>43840000</v>
      </c>
      <c r="C8" s="575">
        <v>43920000</v>
      </c>
      <c r="D8" s="575">
        <v>44010000</v>
      </c>
      <c r="E8" s="575">
        <v>44090000</v>
      </c>
      <c r="F8" s="575">
        <v>44170000</v>
      </c>
      <c r="G8" s="575">
        <v>44260000</v>
      </c>
      <c r="H8" s="575">
        <v>44340000</v>
      </c>
      <c r="I8" s="575">
        <v>44430000</v>
      </c>
      <c r="J8" s="575">
        <v>44510000</v>
      </c>
      <c r="K8" s="575">
        <v>44600000</v>
      </c>
    </row>
    <row r="9" spans="1:11" ht="15.6">
      <c r="A9" s="576" t="s">
        <v>2328</v>
      </c>
      <c r="B9" s="577">
        <v>0</v>
      </c>
      <c r="C9" s="577">
        <v>0</v>
      </c>
      <c r="D9" s="577">
        <v>4.2500000000000003E-2</v>
      </c>
      <c r="E9" s="577">
        <v>0.05</v>
      </c>
      <c r="F9" s="577">
        <v>0.06</v>
      </c>
      <c r="G9" s="577">
        <v>7.0000000000000007E-2</v>
      </c>
      <c r="H9" s="577">
        <v>8.5000000000000006E-2</v>
      </c>
      <c r="I9" s="577">
        <v>0.105</v>
      </c>
      <c r="J9" s="577">
        <v>0.12</v>
      </c>
      <c r="K9" s="578">
        <v>0.13500000000000001</v>
      </c>
    </row>
    <row r="10" spans="1:11">
      <c r="B10" s="579"/>
      <c r="C10" s="579"/>
      <c r="D10" s="579"/>
      <c r="E10" s="579"/>
      <c r="F10" s="579"/>
      <c r="G10" s="579"/>
      <c r="H10" s="579"/>
      <c r="I10" s="579"/>
      <c r="J10" s="579"/>
      <c r="K10" s="579"/>
    </row>
    <row r="11" spans="1:11" ht="18">
      <c r="A11" s="794" t="s">
        <v>2329</v>
      </c>
      <c r="B11" s="795"/>
    </row>
    <row r="12" spans="1:11" ht="15.6">
      <c r="A12" s="571"/>
      <c r="B12" s="572" t="s">
        <v>2317</v>
      </c>
      <c r="C12" s="572" t="s">
        <v>2318</v>
      </c>
      <c r="D12" s="572" t="s">
        <v>2319</v>
      </c>
      <c r="E12" s="572" t="s">
        <v>2320</v>
      </c>
      <c r="F12" s="572" t="s">
        <v>2321</v>
      </c>
      <c r="G12" s="572" t="s">
        <v>2322</v>
      </c>
      <c r="H12" s="572" t="s">
        <v>2323</v>
      </c>
      <c r="I12" s="572" t="s">
        <v>2324</v>
      </c>
      <c r="J12" s="572" t="s">
        <v>2325</v>
      </c>
      <c r="K12" s="573" t="s">
        <v>2326</v>
      </c>
    </row>
    <row r="13" spans="1:11" ht="15.6">
      <c r="A13" s="574" t="s">
        <v>2327</v>
      </c>
      <c r="B13" s="575">
        <v>66720000</v>
      </c>
      <c r="C13" s="575">
        <v>66970000</v>
      </c>
      <c r="D13" s="575">
        <v>67210000</v>
      </c>
      <c r="E13" s="575">
        <v>67460000</v>
      </c>
      <c r="F13" s="575">
        <v>67700000</v>
      </c>
      <c r="G13" s="575">
        <v>67950000</v>
      </c>
      <c r="H13" s="575">
        <v>68190000</v>
      </c>
      <c r="I13" s="575">
        <v>68440000</v>
      </c>
      <c r="J13" s="575">
        <v>68680000</v>
      </c>
      <c r="K13" s="575">
        <v>68930000</v>
      </c>
    </row>
    <row r="14" spans="1:11" ht="15.6">
      <c r="A14" s="576" t="s">
        <v>2330</v>
      </c>
      <c r="B14" s="577">
        <v>0</v>
      </c>
      <c r="C14" s="577">
        <v>0</v>
      </c>
      <c r="D14" s="577">
        <v>4.2500000000000003E-2</v>
      </c>
      <c r="E14" s="577">
        <v>0.05</v>
      </c>
      <c r="F14" s="577">
        <v>0.06</v>
      </c>
      <c r="G14" s="577">
        <v>7.0000000000000007E-2</v>
      </c>
      <c r="H14" s="577">
        <v>8.5000000000000006E-2</v>
      </c>
      <c r="I14" s="577">
        <v>0.105</v>
      </c>
      <c r="J14" s="577">
        <v>0.12</v>
      </c>
      <c r="K14" s="578">
        <v>0.13500000000000001</v>
      </c>
    </row>
    <row r="15" spans="1:11">
      <c r="C15" s="288"/>
      <c r="D15" s="288"/>
      <c r="E15" s="288"/>
      <c r="F15" s="288"/>
      <c r="G15" s="288"/>
      <c r="H15" s="288"/>
      <c r="I15" s="288"/>
      <c r="J15" s="288"/>
      <c r="K15" s="288"/>
    </row>
    <row r="16" spans="1:11" ht="28.95" customHeight="1">
      <c r="A16" s="580" t="s">
        <v>2331</v>
      </c>
      <c r="B16" s="581"/>
      <c r="C16" s="582"/>
      <c r="D16" s="288"/>
      <c r="E16" s="288"/>
      <c r="F16" s="288"/>
      <c r="G16" s="288"/>
      <c r="H16" s="288"/>
      <c r="I16" s="288"/>
      <c r="J16" s="288"/>
      <c r="K16" s="288"/>
    </row>
    <row r="17" spans="1:11">
      <c r="A17" s="583" t="s">
        <v>2332</v>
      </c>
      <c r="C17" s="584"/>
      <c r="D17" s="288"/>
      <c r="E17" s="288"/>
      <c r="F17" s="288"/>
      <c r="G17" s="288"/>
      <c r="H17" s="288"/>
      <c r="I17" s="288"/>
      <c r="J17" s="288"/>
      <c r="K17" s="288"/>
    </row>
    <row r="18" spans="1:11">
      <c r="A18" s="585" t="s">
        <v>2333</v>
      </c>
      <c r="B18" s="586"/>
      <c r="C18" s="587"/>
    </row>
    <row r="20" spans="1:11">
      <c r="A20" s="552" t="s">
        <v>2302</v>
      </c>
      <c r="B20" s="553">
        <v>55000</v>
      </c>
      <c r="C20" s="554" t="s">
        <v>2303</v>
      </c>
    </row>
    <row r="21" spans="1:11" ht="15" thickBot="1">
      <c r="C21" t="s">
        <v>2304</v>
      </c>
    </row>
    <row r="22" spans="1:11">
      <c r="A22" s="555"/>
      <c r="B22" s="556" t="s">
        <v>2305</v>
      </c>
      <c r="C22" s="796" t="s">
        <v>2306</v>
      </c>
      <c r="D22" s="796"/>
      <c r="E22" s="557" t="s">
        <v>2307</v>
      </c>
      <c r="F22" s="556" t="s">
        <v>2308</v>
      </c>
      <c r="G22" s="558" t="s">
        <v>2309</v>
      </c>
      <c r="H22" s="588" t="s">
        <v>2341</v>
      </c>
      <c r="I22" s="79"/>
      <c r="J22" s="588"/>
    </row>
    <row r="23" spans="1:11">
      <c r="A23" s="559" t="s">
        <v>2310</v>
      </c>
      <c r="B23" s="560">
        <f>(B20/24)*12</f>
        <v>27500</v>
      </c>
      <c r="C23" s="797" t="s">
        <v>2311</v>
      </c>
      <c r="D23" s="797"/>
      <c r="E23" s="561">
        <v>10</v>
      </c>
      <c r="F23" s="562">
        <f>IF(E23=10,K9,IF(E23=9,J9,IF(E23=8,I9,IF(E23=7,H9,IF(E23=6,G9,IF(E23=5,F9,IF(E23=4,E9,IF(E23=3,D9,IF(E23=2,C9,IF(E23=1,B9,0))))))))))</f>
        <v>0.13500000000000001</v>
      </c>
      <c r="G23" s="563">
        <f>B23*F23</f>
        <v>3712.5000000000005</v>
      </c>
      <c r="H23" s="600">
        <f>G23*0.45</f>
        <v>1670.6250000000002</v>
      </c>
    </row>
    <row r="24" spans="1:11">
      <c r="A24" s="559" t="s">
        <v>2312</v>
      </c>
      <c r="B24" s="560">
        <f>(B20/24)*6</f>
        <v>13750</v>
      </c>
      <c r="C24" s="797" t="s">
        <v>2313</v>
      </c>
      <c r="D24" s="797"/>
      <c r="E24" s="561">
        <v>10</v>
      </c>
      <c r="F24" s="562">
        <f>IF(E24=10,K14,IF(E24=9,J14,IF(E24=8,I14,IF(E24=7,H14,IF(E24=6,G14,IF(E24=5,F14,IF(E24=4,E14,IF(E24=3,D14,IF(E24=2,C14,IF(E24=1,B14,0))))))))))</f>
        <v>0.13500000000000001</v>
      </c>
      <c r="G24" s="563">
        <f>B24*F24</f>
        <v>1856.2500000000002</v>
      </c>
      <c r="H24" s="600">
        <f t="shared" ref="H24:H26" si="0">G24*0.45</f>
        <v>835.31250000000011</v>
      </c>
    </row>
    <row r="25" spans="1:11" ht="15" thickBot="1">
      <c r="A25" s="564" t="s">
        <v>2314</v>
      </c>
      <c r="B25" s="565">
        <f>B20</f>
        <v>55000</v>
      </c>
      <c r="C25" s="790" t="s">
        <v>2315</v>
      </c>
      <c r="D25" s="790"/>
      <c r="E25" s="566">
        <v>10</v>
      </c>
      <c r="F25" s="567">
        <f>IF(E25=10,K4,IF(E25=9,J4,IF(E25=8,I4,IF(E25=7,H4,IF(E25=6,G4,IF(E25=5,F4,IF(E25=4,E4,IF(E25=3,D4,IF(E25=2,C4,IF(E25=1,B4,0))))))))))</f>
        <v>0.20500000000000002</v>
      </c>
      <c r="G25" s="568">
        <f>(B25*F25)-SUM(G23:G24)</f>
        <v>5706.2499999999991</v>
      </c>
      <c r="H25" s="600">
        <f t="shared" si="0"/>
        <v>2567.8124999999995</v>
      </c>
    </row>
    <row r="26" spans="1:11" ht="15" thickBot="1">
      <c r="B26" s="569"/>
      <c r="C26" s="569"/>
      <c r="D26" s="791" t="s">
        <v>2316</v>
      </c>
      <c r="E26" s="792"/>
      <c r="F26" s="793"/>
      <c r="G26" s="570">
        <f>SUM(G23:G25)</f>
        <v>11275</v>
      </c>
      <c r="H26" s="600">
        <f t="shared" si="0"/>
        <v>5073.75</v>
      </c>
    </row>
    <row r="27" spans="1:11">
      <c r="A27" t="s">
        <v>2334</v>
      </c>
      <c r="B27" s="569"/>
      <c r="C27" s="569"/>
      <c r="D27" s="569"/>
      <c r="G27" s="589"/>
    </row>
    <row r="28" spans="1:11">
      <c r="A28" s="590" t="s">
        <v>2335</v>
      </c>
      <c r="B28" s="591">
        <f>B20</f>
        <v>55000</v>
      </c>
      <c r="C28" s="589"/>
      <c r="D28" s="589"/>
    </row>
    <row r="29" spans="1:11">
      <c r="A29" s="592" t="s">
        <v>2336</v>
      </c>
      <c r="B29" s="593">
        <f>SUM(G23:G25)</f>
        <v>11275</v>
      </c>
      <c r="C29" s="589"/>
      <c r="D29" s="589"/>
    </row>
    <row r="30" spans="1:11">
      <c r="A30" s="594" t="s">
        <v>2337</v>
      </c>
      <c r="B30" s="595">
        <f>B29/B28</f>
        <v>0.20499999999999999</v>
      </c>
      <c r="C30" s="596"/>
      <c r="D30" s="596"/>
    </row>
  </sheetData>
  <mergeCells count="7">
    <mergeCell ref="C25:D25"/>
    <mergeCell ref="D26:F26"/>
    <mergeCell ref="A6:B6"/>
    <mergeCell ref="A11:B11"/>
    <mergeCell ref="C22:D22"/>
    <mergeCell ref="C23:D23"/>
    <mergeCell ref="C24:D24"/>
  </mergeCell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50C05-69B1-4A70-9F80-14757878092C}">
  <dimension ref="A1:K30"/>
  <sheetViews>
    <sheetView topLeftCell="A3" workbookViewId="0">
      <selection activeCell="E23" sqref="E23"/>
    </sheetView>
  </sheetViews>
  <sheetFormatPr defaultColWidth="8.44140625" defaultRowHeight="14.4"/>
  <cols>
    <col min="1" max="1" width="18.6640625" customWidth="1"/>
    <col min="2" max="2" width="22.33203125" customWidth="1"/>
    <col min="3" max="3" width="18.6640625" customWidth="1"/>
    <col min="4" max="4" width="20.6640625" customWidth="1"/>
    <col min="5" max="5" width="19.77734375" customWidth="1"/>
    <col min="6" max="6" width="21.109375" customWidth="1"/>
    <col min="7" max="7" width="18.33203125" customWidth="1"/>
    <col min="8" max="8" width="20.6640625" customWidth="1"/>
    <col min="9" max="9" width="20.44140625" customWidth="1"/>
    <col min="10" max="10" width="17.44140625" customWidth="1"/>
    <col min="11" max="11" width="18.77734375" customWidth="1"/>
  </cols>
  <sheetData>
    <row r="1" spans="1:11" ht="18">
      <c r="A1" s="597" t="s">
        <v>2342</v>
      </c>
      <c r="B1" s="552"/>
      <c r="C1" s="598"/>
      <c r="D1" s="598"/>
      <c r="E1" s="598"/>
      <c r="F1" s="598"/>
      <c r="G1" s="598"/>
      <c r="H1" s="598"/>
      <c r="I1" s="598"/>
      <c r="J1" s="598"/>
      <c r="K1" s="599"/>
    </row>
    <row r="2" spans="1:11" ht="15.6">
      <c r="A2" s="571"/>
      <c r="B2" s="572" t="s">
        <v>2317</v>
      </c>
      <c r="C2" s="572" t="s">
        <v>2318</v>
      </c>
      <c r="D2" s="572" t="s">
        <v>2319</v>
      </c>
      <c r="E2" s="572" t="s">
        <v>2320</v>
      </c>
      <c r="F2" s="572" t="s">
        <v>2321</v>
      </c>
      <c r="G2" s="572" t="s">
        <v>2322</v>
      </c>
      <c r="H2" s="572" t="s">
        <v>2323</v>
      </c>
      <c r="I2" s="572" t="s">
        <v>2324</v>
      </c>
      <c r="J2" s="572" t="s">
        <v>2325</v>
      </c>
      <c r="K2" s="573" t="s">
        <v>2326</v>
      </c>
    </row>
    <row r="3" spans="1:11" ht="15.6">
      <c r="A3" s="574" t="s">
        <v>2327</v>
      </c>
      <c r="B3" s="575">
        <v>102500000</v>
      </c>
      <c r="C3" s="575">
        <v>103000000</v>
      </c>
      <c r="D3" s="575">
        <v>103500000</v>
      </c>
      <c r="E3" s="575">
        <v>104100000</v>
      </c>
      <c r="F3" s="575">
        <v>104700000</v>
      </c>
      <c r="G3" s="575">
        <v>105300000</v>
      </c>
      <c r="H3" s="575">
        <v>106000000</v>
      </c>
      <c r="I3" s="575">
        <v>106750000</v>
      </c>
      <c r="J3" s="575">
        <v>107500000</v>
      </c>
      <c r="K3" s="575">
        <v>108250000</v>
      </c>
    </row>
    <row r="4" spans="1:11" ht="15.6">
      <c r="A4" s="576" t="s">
        <v>2343</v>
      </c>
      <c r="B4" s="577">
        <v>5.5000000000000007E-2</v>
      </c>
      <c r="C4" s="577">
        <v>7.0000000000000007E-2</v>
      </c>
      <c r="D4" s="577">
        <v>8.5000000000000006E-2</v>
      </c>
      <c r="E4" s="577">
        <v>0.1</v>
      </c>
      <c r="F4" s="577">
        <v>0.115</v>
      </c>
      <c r="G4" s="577">
        <v>0.13</v>
      </c>
      <c r="H4" s="577">
        <v>0.14500000000000002</v>
      </c>
      <c r="I4" s="577">
        <v>0.16000000000000003</v>
      </c>
      <c r="J4" s="577">
        <v>0.18000000000000002</v>
      </c>
      <c r="K4" s="578">
        <v>0.20500000000000002</v>
      </c>
    </row>
    <row r="5" spans="1:11">
      <c r="B5" s="288"/>
      <c r="C5" s="288"/>
      <c r="D5" s="288"/>
      <c r="E5" s="288"/>
      <c r="F5" s="288"/>
      <c r="G5" s="288"/>
      <c r="H5" s="288"/>
      <c r="I5" s="288"/>
      <c r="J5" s="288"/>
      <c r="K5" s="288"/>
    </row>
    <row r="6" spans="1:11" ht="18">
      <c r="A6" s="794" t="s">
        <v>2344</v>
      </c>
      <c r="B6" s="795"/>
    </row>
    <row r="7" spans="1:11" ht="15.6">
      <c r="A7" s="571"/>
      <c r="B7" s="572" t="s">
        <v>2317</v>
      </c>
      <c r="C7" s="572" t="s">
        <v>2318</v>
      </c>
      <c r="D7" s="572" t="s">
        <v>2319</v>
      </c>
      <c r="E7" s="572" t="s">
        <v>2320</v>
      </c>
      <c r="F7" s="572" t="s">
        <v>2321</v>
      </c>
      <c r="G7" s="572" t="s">
        <v>2322</v>
      </c>
      <c r="H7" s="572" t="s">
        <v>2323</v>
      </c>
      <c r="I7" s="572" t="s">
        <v>2324</v>
      </c>
      <c r="J7" s="572" t="s">
        <v>2325</v>
      </c>
      <c r="K7" s="573" t="s">
        <v>2326</v>
      </c>
    </row>
    <row r="8" spans="1:11" ht="15.6">
      <c r="A8" s="574" t="s">
        <v>2327</v>
      </c>
      <c r="B8" s="575">
        <v>50150000</v>
      </c>
      <c r="C8" s="575">
        <v>50275000</v>
      </c>
      <c r="D8" s="575">
        <v>50400000</v>
      </c>
      <c r="E8" s="575">
        <v>50550000</v>
      </c>
      <c r="F8" s="575">
        <v>50700000</v>
      </c>
      <c r="G8" s="575">
        <v>50850000</v>
      </c>
      <c r="H8" s="575">
        <v>51000000</v>
      </c>
      <c r="I8" s="575">
        <v>51175000</v>
      </c>
      <c r="J8" s="575">
        <v>51350000</v>
      </c>
      <c r="K8" s="575">
        <v>51525000</v>
      </c>
    </row>
    <row r="9" spans="1:11" ht="15.6">
      <c r="A9" s="576" t="s">
        <v>2328</v>
      </c>
      <c r="B9" s="577">
        <v>0</v>
      </c>
      <c r="C9" s="577">
        <v>0</v>
      </c>
      <c r="D9" s="577">
        <v>4.2500000000000003E-2</v>
      </c>
      <c r="E9" s="577">
        <v>0.05</v>
      </c>
      <c r="F9" s="577">
        <v>0.06</v>
      </c>
      <c r="G9" s="577">
        <v>7.0000000000000007E-2</v>
      </c>
      <c r="H9" s="577">
        <v>8.5000000000000006E-2</v>
      </c>
      <c r="I9" s="577">
        <v>0.105</v>
      </c>
      <c r="J9" s="577">
        <v>0.12</v>
      </c>
      <c r="K9" s="578">
        <v>0.13500000000000001</v>
      </c>
    </row>
    <row r="10" spans="1:11">
      <c r="B10" s="579"/>
      <c r="C10" s="579"/>
      <c r="D10" s="579"/>
      <c r="E10" s="579"/>
      <c r="F10" s="579"/>
      <c r="G10" s="579"/>
      <c r="H10" s="579"/>
      <c r="I10" s="579"/>
      <c r="J10" s="579"/>
      <c r="K10" s="579"/>
    </row>
    <row r="11" spans="1:11" ht="18">
      <c r="A11" s="794" t="s">
        <v>2345</v>
      </c>
      <c r="B11" s="795"/>
    </row>
    <row r="12" spans="1:11" ht="15.6">
      <c r="A12" s="571"/>
      <c r="B12" s="572" t="s">
        <v>2317</v>
      </c>
      <c r="C12" s="572" t="s">
        <v>2318</v>
      </c>
      <c r="D12" s="572" t="s">
        <v>2319</v>
      </c>
      <c r="E12" s="572" t="s">
        <v>2320</v>
      </c>
      <c r="F12" s="572" t="s">
        <v>2321</v>
      </c>
      <c r="G12" s="572" t="s">
        <v>2322</v>
      </c>
      <c r="H12" s="572" t="s">
        <v>2323</v>
      </c>
      <c r="I12" s="572" t="s">
        <v>2324</v>
      </c>
      <c r="J12" s="572" t="s">
        <v>2325</v>
      </c>
      <c r="K12" s="573" t="s">
        <v>2326</v>
      </c>
    </row>
    <row r="13" spans="1:11" ht="15.6">
      <c r="A13" s="574" t="s">
        <v>2327</v>
      </c>
      <c r="B13" s="575">
        <v>76500000</v>
      </c>
      <c r="C13" s="575">
        <v>76700000</v>
      </c>
      <c r="D13" s="575">
        <v>76900000</v>
      </c>
      <c r="E13" s="575">
        <v>77200000</v>
      </c>
      <c r="F13" s="575">
        <v>77500000</v>
      </c>
      <c r="G13" s="575">
        <v>77800000</v>
      </c>
      <c r="H13" s="575">
        <v>78150000</v>
      </c>
      <c r="I13" s="575">
        <v>78500000</v>
      </c>
      <c r="J13" s="575">
        <v>78850000</v>
      </c>
      <c r="K13" s="575">
        <v>79200000</v>
      </c>
    </row>
    <row r="14" spans="1:11" ht="15.6">
      <c r="A14" s="576" t="s">
        <v>2330</v>
      </c>
      <c r="B14" s="577">
        <v>0</v>
      </c>
      <c r="C14" s="577">
        <v>0</v>
      </c>
      <c r="D14" s="577">
        <v>4.2500000000000003E-2</v>
      </c>
      <c r="E14" s="577">
        <v>0.05</v>
      </c>
      <c r="F14" s="577">
        <v>0.06</v>
      </c>
      <c r="G14" s="577">
        <v>7.0000000000000007E-2</v>
      </c>
      <c r="H14" s="577">
        <v>8.5000000000000006E-2</v>
      </c>
      <c r="I14" s="577">
        <v>0.105</v>
      </c>
      <c r="J14" s="577">
        <v>0.12</v>
      </c>
      <c r="K14" s="578">
        <v>0.13500000000000001</v>
      </c>
    </row>
    <row r="15" spans="1:11">
      <c r="C15" s="288"/>
      <c r="D15" s="288"/>
      <c r="E15" s="288"/>
      <c r="F15" s="288"/>
      <c r="G15" s="288"/>
      <c r="H15" s="288"/>
      <c r="I15" s="288"/>
      <c r="J15" s="288"/>
      <c r="K15" s="288"/>
    </row>
    <row r="16" spans="1:11">
      <c r="A16" s="580" t="s">
        <v>2331</v>
      </c>
      <c r="B16" s="581"/>
      <c r="C16" s="582"/>
      <c r="D16" s="288"/>
      <c r="E16" s="288"/>
      <c r="F16" s="288"/>
      <c r="G16" s="288"/>
      <c r="H16" s="288"/>
      <c r="I16" s="288"/>
      <c r="J16" s="288"/>
      <c r="K16" s="288"/>
    </row>
    <row r="17" spans="1:11">
      <c r="A17" s="583" t="s">
        <v>2332</v>
      </c>
      <c r="C17" s="584"/>
      <c r="D17" s="288"/>
      <c r="E17" s="288"/>
      <c r="F17" s="288"/>
      <c r="G17" s="288"/>
      <c r="H17" s="288"/>
      <c r="I17" s="288"/>
      <c r="J17" s="288"/>
      <c r="K17" s="288"/>
    </row>
    <row r="18" spans="1:11">
      <c r="A18" s="585" t="s">
        <v>2333</v>
      </c>
      <c r="B18" s="586"/>
      <c r="C18" s="587"/>
    </row>
    <row r="20" spans="1:11">
      <c r="A20" s="552" t="s">
        <v>2302</v>
      </c>
      <c r="B20" s="553">
        <v>58000</v>
      </c>
      <c r="C20" s="554" t="s">
        <v>2303</v>
      </c>
    </row>
    <row r="21" spans="1:11" ht="15" thickBot="1">
      <c r="C21" t="s">
        <v>2346</v>
      </c>
    </row>
    <row r="22" spans="1:11" ht="40.200000000000003" customHeight="1">
      <c r="A22" s="555"/>
      <c r="B22" s="556" t="s">
        <v>2305</v>
      </c>
      <c r="C22" s="796" t="s">
        <v>2306</v>
      </c>
      <c r="D22" s="796"/>
      <c r="E22" s="557" t="s">
        <v>2307</v>
      </c>
      <c r="F22" s="556" t="s">
        <v>2308</v>
      </c>
      <c r="G22" s="558" t="s">
        <v>2309</v>
      </c>
      <c r="H22" s="588" t="s">
        <v>2341</v>
      </c>
      <c r="I22" s="79"/>
      <c r="J22" s="588"/>
    </row>
    <row r="23" spans="1:11">
      <c r="A23" s="559" t="s">
        <v>2310</v>
      </c>
      <c r="B23" s="560">
        <f>(B20/24)*12</f>
        <v>29000</v>
      </c>
      <c r="C23" s="797" t="s">
        <v>2311</v>
      </c>
      <c r="D23" s="797"/>
      <c r="E23" s="561">
        <v>10</v>
      </c>
      <c r="F23" s="562">
        <f>IF(E23=10,K9,IF(E23=9,J9,IF(E23=8,I9,IF(E23=7,H9,IF(E23=6,G9,IF(E23=5,F9,IF(E23=4,E9,IF(E23=3,D9,IF(E23=2,C9,IF(E23=1,B9,0))))))))))</f>
        <v>0.13500000000000001</v>
      </c>
      <c r="G23" s="563">
        <f>B23*F23</f>
        <v>3915.0000000000005</v>
      </c>
      <c r="H23" s="600">
        <f>G23*0.45</f>
        <v>1761.7500000000002</v>
      </c>
      <c r="I23" s="600"/>
    </row>
    <row r="24" spans="1:11">
      <c r="A24" s="559" t="s">
        <v>2312</v>
      </c>
      <c r="B24" s="560">
        <f>(B20/24)*6</f>
        <v>14500</v>
      </c>
      <c r="C24" s="797" t="s">
        <v>2313</v>
      </c>
      <c r="D24" s="797"/>
      <c r="E24" s="561">
        <v>10</v>
      </c>
      <c r="F24" s="562">
        <f>IF(E24=10,K14,IF(E24=9,J14,IF(E24=8,I14,IF(E24=7,H14,IF(E24=6,G14,IF(E24=5,F14,IF(E24=4,E14,IF(E24=3,D14,IF(E24=2,C14,IF(E24=1,B14,0))))))))))</f>
        <v>0.13500000000000001</v>
      </c>
      <c r="G24" s="563">
        <f>B24*F24</f>
        <v>1957.5000000000002</v>
      </c>
      <c r="H24" s="600">
        <f t="shared" ref="H24:H26" si="0">G24*0.45</f>
        <v>880.87500000000011</v>
      </c>
    </row>
    <row r="25" spans="1:11" ht="15" thickBot="1">
      <c r="A25" s="564" t="s">
        <v>2314</v>
      </c>
      <c r="B25" s="565">
        <f>B20</f>
        <v>58000</v>
      </c>
      <c r="C25" s="790" t="s">
        <v>2315</v>
      </c>
      <c r="D25" s="790"/>
      <c r="E25" s="566">
        <v>10</v>
      </c>
      <c r="F25" s="567">
        <f>IF(E25=10,K4,IF(E25=9,J4,IF(E25=8,I4,IF(E25=7,H4,IF(E25=6,G4,IF(E25=5,F4,IF(E25=4,E4,IF(E25=3,D4,IF(E25=2,C4,IF(E25=1,B4,0))))))))))</f>
        <v>0.20500000000000002</v>
      </c>
      <c r="G25" s="568">
        <f>(B25*F25)-SUM(G23:G24)</f>
        <v>6017.4999999999991</v>
      </c>
      <c r="H25" s="600">
        <f t="shared" si="0"/>
        <v>2707.8749999999995</v>
      </c>
    </row>
    <row r="26" spans="1:11" ht="15" thickBot="1">
      <c r="B26" s="569"/>
      <c r="C26" s="569"/>
      <c r="D26" s="791" t="s">
        <v>2316</v>
      </c>
      <c r="E26" s="792"/>
      <c r="F26" s="793"/>
      <c r="G26" s="570">
        <f>SUM(G23:G25)</f>
        <v>11890</v>
      </c>
      <c r="H26" s="600">
        <f t="shared" si="0"/>
        <v>5350.5</v>
      </c>
    </row>
    <row r="27" spans="1:11">
      <c r="A27" t="s">
        <v>2334</v>
      </c>
      <c r="B27" s="569"/>
      <c r="C27" s="569"/>
      <c r="D27" s="569"/>
      <c r="G27" s="589"/>
      <c r="H27">
        <v>3751</v>
      </c>
      <c r="I27" s="600"/>
    </row>
    <row r="28" spans="1:11">
      <c r="A28" s="590" t="s">
        <v>2335</v>
      </c>
      <c r="B28" s="591">
        <f>B20</f>
        <v>58000</v>
      </c>
      <c r="C28" s="589"/>
      <c r="D28" s="589"/>
    </row>
    <row r="29" spans="1:11">
      <c r="A29" s="592" t="s">
        <v>2336</v>
      </c>
      <c r="B29" s="593">
        <f>SUM(G23:G25)</f>
        <v>11890</v>
      </c>
      <c r="C29" s="589"/>
      <c r="D29" s="589"/>
      <c r="H29" s="600"/>
    </row>
    <row r="30" spans="1:11">
      <c r="A30" s="594" t="s">
        <v>2337</v>
      </c>
      <c r="B30" s="595">
        <f>B29/B28</f>
        <v>0.20499999999999999</v>
      </c>
      <c r="C30" s="596"/>
      <c r="D30" s="596"/>
    </row>
  </sheetData>
  <mergeCells count="7">
    <mergeCell ref="D26:F26"/>
    <mergeCell ref="A6:B6"/>
    <mergeCell ref="A11:B11"/>
    <mergeCell ref="C22:D22"/>
    <mergeCell ref="C23:D23"/>
    <mergeCell ref="C24:D24"/>
    <mergeCell ref="C25:D25"/>
  </mergeCell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9D7EA-5348-4242-983B-5D8DFFCA516B}">
  <dimension ref="A1:L34"/>
  <sheetViews>
    <sheetView topLeftCell="B14" workbookViewId="0">
      <selection activeCell="B24" sqref="B24"/>
    </sheetView>
  </sheetViews>
  <sheetFormatPr defaultColWidth="8.44140625" defaultRowHeight="14.4"/>
  <cols>
    <col min="1" max="1" width="68.44140625" bestFit="1" customWidth="1"/>
    <col min="2" max="2" width="14.6640625" bestFit="1" customWidth="1"/>
    <col min="3" max="3" width="86" bestFit="1" customWidth="1"/>
    <col min="4" max="10" width="14.6640625" bestFit="1" customWidth="1"/>
    <col min="11" max="11" width="17.77734375" bestFit="1" customWidth="1"/>
  </cols>
  <sheetData>
    <row r="1" spans="1:12" ht="18">
      <c r="A1" s="597" t="s">
        <v>3304</v>
      </c>
      <c r="B1" s="552"/>
      <c r="C1" s="598"/>
      <c r="D1" s="598"/>
      <c r="E1" s="598"/>
      <c r="F1" s="598"/>
      <c r="G1" s="598"/>
      <c r="H1" s="598"/>
      <c r="I1" s="598"/>
      <c r="J1" s="598"/>
      <c r="K1" s="599"/>
    </row>
    <row r="2" spans="1:12" ht="15.6">
      <c r="A2" s="571"/>
      <c r="B2" s="572" t="s">
        <v>2317</v>
      </c>
      <c r="C2" s="572" t="s">
        <v>2318</v>
      </c>
      <c r="D2" s="572" t="s">
        <v>2319</v>
      </c>
      <c r="E2" s="572" t="s">
        <v>2320</v>
      </c>
      <c r="F2" s="572" t="s">
        <v>2321</v>
      </c>
      <c r="G2" s="572" t="s">
        <v>2322</v>
      </c>
      <c r="H2" s="572" t="s">
        <v>2323</v>
      </c>
      <c r="I2" s="572" t="s">
        <v>2324</v>
      </c>
      <c r="J2" s="572" t="s">
        <v>2325</v>
      </c>
      <c r="K2" s="573" t="s">
        <v>2326</v>
      </c>
    </row>
    <row r="3" spans="1:12" ht="15.6">
      <c r="A3" s="688" t="s">
        <v>2327</v>
      </c>
      <c r="B3" s="689">
        <v>120500000</v>
      </c>
      <c r="C3" s="689">
        <v>121000000</v>
      </c>
      <c r="D3" s="689">
        <v>121500000</v>
      </c>
      <c r="E3" s="689">
        <v>122000000</v>
      </c>
      <c r="F3" s="689">
        <v>122500000</v>
      </c>
      <c r="G3" s="689">
        <v>123250000</v>
      </c>
      <c r="H3" s="689">
        <v>124000000</v>
      </c>
      <c r="I3" s="689">
        <v>125000000</v>
      </c>
      <c r="J3" s="689">
        <v>126000000</v>
      </c>
      <c r="K3" s="690">
        <v>127000000</v>
      </c>
    </row>
    <row r="4" spans="1:12" ht="15.6">
      <c r="A4" s="694" t="s">
        <v>3305</v>
      </c>
      <c r="B4" s="692">
        <v>0.05</v>
      </c>
      <c r="C4" s="692">
        <v>0.06</v>
      </c>
      <c r="D4" s="692">
        <v>7.0000000000000007E-2</v>
      </c>
      <c r="E4" s="692">
        <v>0.08</v>
      </c>
      <c r="F4" s="692">
        <v>0.09</v>
      </c>
      <c r="G4" s="692">
        <v>0.1</v>
      </c>
      <c r="H4" s="692">
        <v>0.11</v>
      </c>
      <c r="I4" s="692">
        <v>0.125</v>
      </c>
      <c r="J4" s="692">
        <v>0.14000000000000001</v>
      </c>
      <c r="K4" s="693">
        <v>0.16</v>
      </c>
    </row>
    <row r="5" spans="1:12" ht="15.6">
      <c r="A5" s="695"/>
      <c r="B5" s="696"/>
      <c r="C5" s="701">
        <f>C6*C3</f>
        <v>1210000</v>
      </c>
      <c r="D5" s="701">
        <f t="shared" ref="D5:K5" si="0">D6*D3</f>
        <v>1822500</v>
      </c>
      <c r="E5" s="701">
        <f t="shared" si="0"/>
        <v>2440000</v>
      </c>
      <c r="F5" s="701">
        <f t="shared" si="0"/>
        <v>3062500</v>
      </c>
      <c r="G5" s="701">
        <f t="shared" si="0"/>
        <v>3697500</v>
      </c>
      <c r="H5" s="701">
        <f t="shared" si="0"/>
        <v>4340000</v>
      </c>
      <c r="I5" s="701">
        <f t="shared" si="0"/>
        <v>4375000</v>
      </c>
      <c r="J5" s="701">
        <f t="shared" si="0"/>
        <v>5040000</v>
      </c>
      <c r="K5" s="701">
        <f t="shared" si="0"/>
        <v>5715000</v>
      </c>
      <c r="L5" s="701"/>
    </row>
    <row r="6" spans="1:12" ht="15.6">
      <c r="A6" s="697" t="s">
        <v>3306</v>
      </c>
      <c r="B6" s="698">
        <v>5.0000000000000001E-3</v>
      </c>
      <c r="C6" s="698">
        <v>0.01</v>
      </c>
      <c r="D6" s="698">
        <v>1.4999999999999999E-2</v>
      </c>
      <c r="E6" s="698">
        <v>0.02</v>
      </c>
      <c r="F6" s="698">
        <v>2.5000000000000001E-2</v>
      </c>
      <c r="G6" s="698">
        <v>0.03</v>
      </c>
      <c r="H6" s="698">
        <v>3.5000000000000003E-2</v>
      </c>
      <c r="I6" s="698">
        <v>3.5000000000000003E-2</v>
      </c>
      <c r="J6" s="698">
        <v>0.04</v>
      </c>
      <c r="K6" s="698">
        <v>4.4999999999999998E-2</v>
      </c>
    </row>
    <row r="7" spans="1:12" ht="15.6">
      <c r="A7" s="699" t="s">
        <v>3307</v>
      </c>
      <c r="B7" s="700"/>
      <c r="C7" s="700"/>
      <c r="D7" s="700"/>
      <c r="E7" s="700"/>
      <c r="F7" s="700"/>
      <c r="G7" s="700"/>
      <c r="H7" s="700"/>
      <c r="I7" s="700"/>
      <c r="J7" s="700"/>
      <c r="K7" s="700"/>
    </row>
    <row r="8" spans="1:12" ht="15.6">
      <c r="A8" s="699" t="s">
        <v>3308</v>
      </c>
      <c r="B8" s="700"/>
      <c r="C8" s="700"/>
      <c r="D8" s="700"/>
      <c r="E8" s="700"/>
      <c r="F8" s="700"/>
      <c r="G8" s="700"/>
      <c r="H8" s="700"/>
      <c r="I8" s="700"/>
      <c r="J8" s="700"/>
      <c r="K8" s="700"/>
    </row>
    <row r="9" spans="1:12">
      <c r="B9" s="288"/>
      <c r="C9" s="288"/>
      <c r="D9" s="288"/>
      <c r="E9" s="288"/>
      <c r="F9" s="288"/>
      <c r="G9" s="288"/>
      <c r="H9" s="288"/>
      <c r="I9" s="288"/>
      <c r="J9" s="288"/>
      <c r="K9" s="288"/>
    </row>
    <row r="10" spans="1:12" ht="18">
      <c r="A10" s="794" t="s">
        <v>3294</v>
      </c>
      <c r="B10" s="795"/>
    </row>
    <row r="11" spans="1:12" ht="15.6">
      <c r="A11" s="571"/>
      <c r="B11" s="572" t="s">
        <v>2317</v>
      </c>
      <c r="C11" s="572" t="s">
        <v>2318</v>
      </c>
      <c r="D11" s="572" t="s">
        <v>2319</v>
      </c>
      <c r="E11" s="572" t="s">
        <v>2320</v>
      </c>
      <c r="F11" s="572" t="s">
        <v>2321</v>
      </c>
      <c r="G11" s="572" t="s">
        <v>2322</v>
      </c>
      <c r="H11" s="572" t="s">
        <v>2323</v>
      </c>
      <c r="I11" s="572" t="s">
        <v>2324</v>
      </c>
      <c r="J11" s="572" t="s">
        <v>2325</v>
      </c>
      <c r="K11" s="573" t="s">
        <v>2326</v>
      </c>
    </row>
    <row r="12" spans="1:12" ht="15.6">
      <c r="A12" s="688" t="s">
        <v>2327</v>
      </c>
      <c r="B12" s="689">
        <v>59250000</v>
      </c>
      <c r="C12" s="689">
        <v>59375000</v>
      </c>
      <c r="D12" s="689">
        <v>59500000</v>
      </c>
      <c r="E12" s="689">
        <v>59650000</v>
      </c>
      <c r="F12" s="689">
        <v>59800000</v>
      </c>
      <c r="G12" s="689">
        <v>59900000</v>
      </c>
      <c r="H12" s="689">
        <v>60000000</v>
      </c>
      <c r="I12" s="689">
        <v>60200000</v>
      </c>
      <c r="J12" s="689">
        <v>60400000</v>
      </c>
      <c r="K12" s="690">
        <v>60600000</v>
      </c>
    </row>
    <row r="13" spans="1:12" ht="15.6">
      <c r="A13" s="691" t="s">
        <v>3295</v>
      </c>
      <c r="B13" s="692">
        <v>0</v>
      </c>
      <c r="C13" s="692">
        <v>0</v>
      </c>
      <c r="D13" s="692">
        <v>3.5000000000000003E-2</v>
      </c>
      <c r="E13" s="692">
        <v>0.04</v>
      </c>
      <c r="F13" s="692">
        <v>4.4999999999999998E-2</v>
      </c>
      <c r="G13" s="692">
        <v>0.05</v>
      </c>
      <c r="H13" s="692">
        <v>0.06</v>
      </c>
      <c r="I13" s="692">
        <v>7.0000000000000007E-2</v>
      </c>
      <c r="J13" s="692">
        <v>0.08</v>
      </c>
      <c r="K13" s="693">
        <v>0.09</v>
      </c>
    </row>
    <row r="14" spans="1:12">
      <c r="B14" s="579"/>
      <c r="C14" s="579"/>
      <c r="D14" s="579"/>
      <c r="E14" s="579"/>
      <c r="F14" s="579"/>
      <c r="G14" s="579"/>
      <c r="H14" s="579"/>
      <c r="I14" s="579"/>
      <c r="J14" s="579"/>
      <c r="K14" s="579"/>
    </row>
    <row r="15" spans="1:12" ht="18">
      <c r="A15" s="794" t="s">
        <v>3296</v>
      </c>
      <c r="B15" s="795"/>
    </row>
    <row r="16" spans="1:12" ht="15.6">
      <c r="A16" s="571"/>
      <c r="B16" s="572" t="s">
        <v>2317</v>
      </c>
      <c r="C16" s="572" t="s">
        <v>2318</v>
      </c>
      <c r="D16" s="572" t="s">
        <v>2319</v>
      </c>
      <c r="E16" s="572" t="s">
        <v>2320</v>
      </c>
      <c r="F16" s="572" t="s">
        <v>2321</v>
      </c>
      <c r="G16" s="572" t="s">
        <v>2322</v>
      </c>
      <c r="H16" s="572" t="s">
        <v>2323</v>
      </c>
      <c r="I16" s="572" t="s">
        <v>2324</v>
      </c>
      <c r="J16" s="572" t="s">
        <v>2325</v>
      </c>
      <c r="K16" s="573" t="s">
        <v>2326</v>
      </c>
    </row>
    <row r="17" spans="1:11" ht="15.6">
      <c r="A17" s="688" t="s">
        <v>2327</v>
      </c>
      <c r="B17" s="689">
        <v>90600000</v>
      </c>
      <c r="C17" s="689">
        <v>90800000</v>
      </c>
      <c r="D17" s="689">
        <v>91000000</v>
      </c>
      <c r="E17" s="689">
        <v>91200000</v>
      </c>
      <c r="F17" s="689">
        <v>91500000</v>
      </c>
      <c r="G17" s="689">
        <v>91800000</v>
      </c>
      <c r="H17" s="689">
        <v>92100000</v>
      </c>
      <c r="I17" s="689">
        <v>92500000</v>
      </c>
      <c r="J17" s="689">
        <v>92900000</v>
      </c>
      <c r="K17" s="690">
        <v>93300000</v>
      </c>
    </row>
    <row r="18" spans="1:11" ht="15.6">
      <c r="A18" s="691" t="s">
        <v>3297</v>
      </c>
      <c r="B18" s="692">
        <v>0</v>
      </c>
      <c r="C18" s="692">
        <v>0</v>
      </c>
      <c r="D18" s="692">
        <v>3.5000000000000003E-2</v>
      </c>
      <c r="E18" s="692">
        <v>0.04</v>
      </c>
      <c r="F18" s="692">
        <v>4.4999999999999998E-2</v>
      </c>
      <c r="G18" s="692">
        <v>0.05</v>
      </c>
      <c r="H18" s="692">
        <v>0.06</v>
      </c>
      <c r="I18" s="692">
        <v>7.0000000000000007E-2</v>
      </c>
      <c r="J18" s="692">
        <v>0.08</v>
      </c>
      <c r="K18" s="693">
        <v>0.09</v>
      </c>
    </row>
    <row r="19" spans="1:11">
      <c r="C19" s="288"/>
      <c r="D19" s="288"/>
      <c r="E19" s="288"/>
      <c r="F19" s="288"/>
      <c r="G19" s="288"/>
      <c r="H19" s="288"/>
      <c r="I19" s="288"/>
      <c r="J19" s="288"/>
      <c r="K19" s="288"/>
    </row>
    <row r="20" spans="1:11">
      <c r="A20" s="580" t="s">
        <v>2331</v>
      </c>
      <c r="B20" s="581"/>
      <c r="C20" s="582"/>
      <c r="D20" s="288"/>
      <c r="E20" s="288"/>
      <c r="F20" s="288"/>
      <c r="G20" s="288"/>
      <c r="H20" s="288"/>
      <c r="I20" s="288"/>
      <c r="J20" s="288"/>
      <c r="K20" s="288"/>
    </row>
    <row r="21" spans="1:11">
      <c r="A21" s="583" t="s">
        <v>3298</v>
      </c>
      <c r="C21" s="584"/>
      <c r="D21" s="288"/>
      <c r="F21" s="288"/>
      <c r="G21" s="288"/>
      <c r="H21" s="288"/>
      <c r="I21" s="288"/>
      <c r="J21" s="288"/>
      <c r="K21" s="288"/>
    </row>
    <row r="22" spans="1:11">
      <c r="A22" s="585" t="s">
        <v>3299</v>
      </c>
      <c r="B22" s="586"/>
      <c r="C22" s="587"/>
    </row>
    <row r="24" spans="1:11">
      <c r="A24" s="552" t="s">
        <v>3300</v>
      </c>
      <c r="B24" s="553">
        <v>60000</v>
      </c>
      <c r="C24" s="554" t="s">
        <v>2303</v>
      </c>
    </row>
    <row r="25" spans="1:11" ht="15" thickBot="1">
      <c r="C25" t="s">
        <v>3301</v>
      </c>
    </row>
    <row r="26" spans="1:11">
      <c r="A26" s="555"/>
      <c r="B26" s="556" t="s">
        <v>2305</v>
      </c>
      <c r="C26" s="798" t="s">
        <v>3302</v>
      </c>
      <c r="D26" s="798"/>
      <c r="E26" s="557" t="s">
        <v>2307</v>
      </c>
      <c r="F26" s="556" t="s">
        <v>2308</v>
      </c>
      <c r="G26" s="558" t="s">
        <v>2309</v>
      </c>
      <c r="H26" s="588" t="s">
        <v>2341</v>
      </c>
      <c r="I26" s="79"/>
      <c r="J26" s="588"/>
    </row>
    <row r="27" spans="1:11">
      <c r="A27" s="559" t="s">
        <v>2310</v>
      </c>
      <c r="B27" s="560">
        <f>(B24/24)*12</f>
        <v>30000</v>
      </c>
      <c r="C27" s="797" t="s">
        <v>2311</v>
      </c>
      <c r="D27" s="797"/>
      <c r="E27" s="561">
        <v>6</v>
      </c>
      <c r="F27" s="562">
        <f>IF(E27=10,K13,IF(E27=9,J13,IF(E27=8,I13,IF(E27=7,H13,IF(E27=6,G13,IF(E27=5,F13,IF(E27=4,E13,IF(E27=3,D13,IF(E27=2,C13,IF(E27=1,B13,0))))))))))</f>
        <v>0.05</v>
      </c>
      <c r="G27" s="563">
        <f>B27*F27</f>
        <v>1500</v>
      </c>
      <c r="H27" s="600">
        <f>G27*0.45</f>
        <v>675</v>
      </c>
    </row>
    <row r="28" spans="1:11">
      <c r="A28" s="559" t="s">
        <v>2312</v>
      </c>
      <c r="B28" s="560">
        <f>(B24/24)*6</f>
        <v>15000</v>
      </c>
      <c r="C28" s="797" t="s">
        <v>2313</v>
      </c>
      <c r="D28" s="797"/>
      <c r="E28" s="561">
        <v>8</v>
      </c>
      <c r="F28" s="562">
        <f>IF(E28=10,K18,IF(E28=9,J18,IF(E28=8,I18,IF(E28=7,H18,IF(E28=6,G18,IF(E28=5,F18,IF(E28=4,E18,IF(E28=3,D18,IF(E28=2,C18,IF(E28=1,B18,0))))))))))</f>
        <v>7.0000000000000007E-2</v>
      </c>
      <c r="G28" s="563">
        <f>B28*F28</f>
        <v>1050</v>
      </c>
      <c r="H28" s="600">
        <f t="shared" ref="H28:H30" si="1">G28*0.45</f>
        <v>472.5</v>
      </c>
    </row>
    <row r="29" spans="1:11" ht="15" thickBot="1">
      <c r="A29" s="564" t="s">
        <v>2314</v>
      </c>
      <c r="B29" s="565">
        <f>B24</f>
        <v>60000</v>
      </c>
      <c r="C29" s="790" t="s">
        <v>2315</v>
      </c>
      <c r="D29" s="790"/>
      <c r="E29" s="566">
        <v>8</v>
      </c>
      <c r="F29" s="567">
        <f>IF(E29=10,K4,IF(E29=9,J4,IF(E29=8,I4,IF(E29=7,H4,IF(E29=6,G4,IF(E29=5,F4,IF(E29=4,E4,IF(E29=3,D4,IF(E29=2,C4,IF(E29=1,B4,0))))))))))</f>
        <v>0.125</v>
      </c>
      <c r="G29" s="568">
        <f>(B29*F29)-SUM(G27:G28)</f>
        <v>4950</v>
      </c>
      <c r="H29" s="600">
        <f t="shared" si="1"/>
        <v>2227.5</v>
      </c>
    </row>
    <row r="30" spans="1:11" ht="15" thickBot="1">
      <c r="B30" s="569"/>
      <c r="C30" s="569"/>
      <c r="D30" s="791" t="s">
        <v>3303</v>
      </c>
      <c r="E30" s="792"/>
      <c r="F30" s="793"/>
      <c r="G30" s="570">
        <f>SUM(G27:G29)</f>
        <v>7500</v>
      </c>
      <c r="H30" s="600">
        <f t="shared" si="1"/>
        <v>3375</v>
      </c>
    </row>
    <row r="31" spans="1:11">
      <c r="A31" t="s">
        <v>2334</v>
      </c>
      <c r="B31" s="569"/>
      <c r="C31" s="569"/>
      <c r="D31" s="569"/>
      <c r="G31" s="589"/>
      <c r="H31" s="600"/>
    </row>
    <row r="32" spans="1:11">
      <c r="A32" s="590" t="s">
        <v>2335</v>
      </c>
      <c r="B32" s="591">
        <f>B24</f>
        <v>60000</v>
      </c>
      <c r="C32" s="589"/>
      <c r="D32" s="589"/>
    </row>
    <row r="33" spans="1:4">
      <c r="A33" s="592" t="s">
        <v>2336</v>
      </c>
      <c r="B33" s="593">
        <f>SUM(G27:G29)</f>
        <v>7500</v>
      </c>
      <c r="C33" s="589"/>
      <c r="D33" s="589"/>
    </row>
    <row r="34" spans="1:4">
      <c r="A34" s="594" t="s">
        <v>2337</v>
      </c>
      <c r="B34" s="595">
        <f>B33/B32</f>
        <v>0.125</v>
      </c>
      <c r="C34" s="596"/>
      <c r="D34" s="596"/>
    </row>
  </sheetData>
  <mergeCells count="7">
    <mergeCell ref="C29:D29"/>
    <mergeCell ref="D30:F30"/>
    <mergeCell ref="A10:B10"/>
    <mergeCell ref="A15:B15"/>
    <mergeCell ref="C26:D26"/>
    <mergeCell ref="C27:D27"/>
    <mergeCell ref="C28:D28"/>
  </mergeCells>
  <pageMargins left="0.7" right="0.7" top="0.75" bottom="0.75" header="0.3" footer="0.3"/>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FF8D-8572-468F-9D02-BB3CBF81AD25}">
  <dimension ref="A1:R19"/>
  <sheetViews>
    <sheetView workbookViewId="0">
      <selection activeCell="R10" sqref="R10"/>
    </sheetView>
  </sheetViews>
  <sheetFormatPr defaultColWidth="8.44140625" defaultRowHeight="14.4"/>
  <cols>
    <col min="1" max="1" width="15.44140625" customWidth="1"/>
    <col min="2" max="2" width="11" bestFit="1" customWidth="1"/>
    <col min="5" max="6" width="9" bestFit="1" customWidth="1"/>
    <col min="7" max="7" width="9.109375" bestFit="1" customWidth="1"/>
    <col min="8" max="8" width="9" bestFit="1" customWidth="1"/>
    <col min="9" max="9" width="9.109375" bestFit="1" customWidth="1"/>
    <col min="10" max="13" width="9" bestFit="1" customWidth="1"/>
    <col min="14" max="15" width="9.109375" bestFit="1" customWidth="1"/>
    <col min="16" max="16" width="9" bestFit="1" customWidth="1"/>
  </cols>
  <sheetData>
    <row r="1" spans="1:18">
      <c r="A1" s="726" t="s">
        <v>3196</v>
      </c>
      <c r="B1" s="726"/>
    </row>
    <row r="2" spans="1:18">
      <c r="A2" t="s">
        <v>3191</v>
      </c>
      <c r="B2">
        <f>((3600+2000))*2</f>
        <v>11200</v>
      </c>
    </row>
    <row r="3" spans="1:18" ht="15.6">
      <c r="A3" t="s">
        <v>3192</v>
      </c>
      <c r="B3" s="523">
        <v>3000</v>
      </c>
    </row>
    <row r="4" spans="1:18" ht="15.6">
      <c r="A4" t="s">
        <v>3193</v>
      </c>
      <c r="B4" s="523">
        <f>300+1500</f>
        <v>1800</v>
      </c>
      <c r="E4" s="726">
        <v>2026</v>
      </c>
      <c r="F4" s="726"/>
      <c r="G4" s="726"/>
      <c r="H4" s="726"/>
      <c r="I4" s="726"/>
      <c r="J4" s="726"/>
      <c r="K4" s="726"/>
      <c r="L4" s="726"/>
      <c r="M4" s="726"/>
      <c r="N4" s="726"/>
      <c r="O4" s="726"/>
      <c r="P4" s="726"/>
    </row>
    <row r="5" spans="1:18" ht="15.6">
      <c r="B5" s="523"/>
      <c r="E5" t="s">
        <v>1324</v>
      </c>
      <c r="F5" t="s">
        <v>1325</v>
      </c>
      <c r="G5" t="s">
        <v>1326</v>
      </c>
      <c r="H5" t="s">
        <v>1327</v>
      </c>
      <c r="I5" t="s">
        <v>1328</v>
      </c>
      <c r="J5" t="s">
        <v>1329</v>
      </c>
      <c r="K5" t="s">
        <v>1330</v>
      </c>
      <c r="L5" t="s">
        <v>1331</v>
      </c>
      <c r="M5" t="s">
        <v>1332</v>
      </c>
      <c r="N5" t="s">
        <v>1333</v>
      </c>
      <c r="O5" t="s">
        <v>1334</v>
      </c>
      <c r="P5" t="s">
        <v>1335</v>
      </c>
    </row>
    <row r="6" spans="1:18" ht="15.6">
      <c r="A6" t="s">
        <v>131</v>
      </c>
      <c r="B6" s="523">
        <f>SUM(B2:B5)</f>
        <v>16000</v>
      </c>
      <c r="D6" t="s">
        <v>1290</v>
      </c>
      <c r="E6">
        <f>50</f>
        <v>50</v>
      </c>
      <c r="F6">
        <f>50</f>
        <v>50</v>
      </c>
      <c r="G6">
        <f>50</f>
        <v>50</v>
      </c>
      <c r="H6">
        <f>50</f>
        <v>50</v>
      </c>
      <c r="I6">
        <f>50</f>
        <v>50</v>
      </c>
      <c r="J6">
        <f>50</f>
        <v>50</v>
      </c>
      <c r="K6">
        <f>50</f>
        <v>50</v>
      </c>
      <c r="L6">
        <v>50</v>
      </c>
      <c r="M6">
        <v>50</v>
      </c>
      <c r="N6">
        <v>200</v>
      </c>
      <c r="O6">
        <v>200</v>
      </c>
      <c r="P6">
        <v>200</v>
      </c>
    </row>
    <row r="7" spans="1:18" ht="15.6">
      <c r="B7" s="523"/>
      <c r="D7" t="s">
        <v>1289</v>
      </c>
      <c r="I7" s="478">
        <v>245.37</v>
      </c>
    </row>
    <row r="8" spans="1:18" ht="15.6">
      <c r="B8" s="523"/>
      <c r="D8" t="s">
        <v>1287</v>
      </c>
      <c r="E8">
        <f>ROUND(ROUND(B10+E6,2)+(ROUND(B10+E6,2) * $B$17 / 12),2)</f>
        <v>3387.73</v>
      </c>
      <c r="F8">
        <f>3326.11</f>
        <v>3326.11</v>
      </c>
      <c r="G8">
        <f t="shared" ref="G8:P8" si="0">ROUND(ROUND(F8+G6,2)+(ROUND(F8+G6,2) * $B$17 / 12),2)</f>
        <v>3387.73</v>
      </c>
      <c r="H8">
        <f t="shared" si="0"/>
        <v>3449.56</v>
      </c>
      <c r="I8" s="478">
        <v>2951.4</v>
      </c>
      <c r="J8">
        <f>1898.87</f>
        <v>1898.87</v>
      </c>
      <c r="K8">
        <f t="shared" si="0"/>
        <v>1955.58</v>
      </c>
      <c r="L8">
        <f t="shared" si="0"/>
        <v>2012.48</v>
      </c>
      <c r="M8">
        <f t="shared" si="0"/>
        <v>2069.58</v>
      </c>
      <c r="N8">
        <f t="shared" si="0"/>
        <v>2277.39</v>
      </c>
      <c r="O8">
        <f t="shared" si="0"/>
        <v>2485.92</v>
      </c>
      <c r="P8">
        <f t="shared" si="0"/>
        <v>2695.16</v>
      </c>
      <c r="R8">
        <f>700-350</f>
        <v>350</v>
      </c>
    </row>
    <row r="9" spans="1:18" ht="15.45" customHeight="1">
      <c r="A9" s="726" t="s">
        <v>3197</v>
      </c>
      <c r="B9" s="726"/>
      <c r="D9" t="s">
        <v>2812</v>
      </c>
      <c r="E9" s="243">
        <f>$B$6-E8-$B$11</f>
        <v>12012.27</v>
      </c>
      <c r="F9" s="243">
        <f>$B$6-F8-$B$11</f>
        <v>12073.89</v>
      </c>
      <c r="G9" s="243">
        <f t="shared" ref="G9:P9" si="1">$B$6-G8-$B$11</f>
        <v>12012.27</v>
      </c>
      <c r="H9" s="243">
        <f t="shared" si="1"/>
        <v>11950.44</v>
      </c>
      <c r="I9" s="243">
        <f t="shared" si="1"/>
        <v>12448.6</v>
      </c>
      <c r="J9" s="243">
        <f t="shared" si="1"/>
        <v>13501.130000000001</v>
      </c>
      <c r="K9" s="243">
        <f t="shared" si="1"/>
        <v>13444.42</v>
      </c>
      <c r="L9" s="243">
        <f t="shared" si="1"/>
        <v>13387.52</v>
      </c>
      <c r="M9" s="243">
        <f t="shared" si="1"/>
        <v>13330.42</v>
      </c>
      <c r="N9" s="243">
        <f t="shared" si="1"/>
        <v>13122.61</v>
      </c>
      <c r="O9" s="243">
        <f t="shared" si="1"/>
        <v>12914.08</v>
      </c>
      <c r="P9" s="243">
        <f t="shared" si="1"/>
        <v>12704.84</v>
      </c>
      <c r="R9" s="243">
        <f>R8-150</f>
        <v>200</v>
      </c>
    </row>
    <row r="10" spans="1:18">
      <c r="A10" t="s">
        <v>1788</v>
      </c>
      <c r="B10">
        <f>3326.11</f>
        <v>3326.11</v>
      </c>
      <c r="F10">
        <f>F8-E8</f>
        <v>-61.619999999999891</v>
      </c>
      <c r="G10">
        <f t="shared" ref="G10:P10" si="2">G8-F8</f>
        <v>61.619999999999891</v>
      </c>
      <c r="H10">
        <f t="shared" si="2"/>
        <v>61.829999999999927</v>
      </c>
      <c r="I10">
        <f>I8-H8</f>
        <v>-498.15999999999985</v>
      </c>
      <c r="J10">
        <f>J8-I8</f>
        <v>-1052.5300000000002</v>
      </c>
      <c r="K10">
        <f t="shared" si="2"/>
        <v>56.710000000000036</v>
      </c>
      <c r="L10">
        <f t="shared" si="2"/>
        <v>56.900000000000091</v>
      </c>
      <c r="M10">
        <f t="shared" si="2"/>
        <v>57.099999999999909</v>
      </c>
      <c r="N10">
        <f t="shared" si="2"/>
        <v>207.80999999999995</v>
      </c>
      <c r="O10">
        <f t="shared" si="2"/>
        <v>208.5300000000002</v>
      </c>
      <c r="P10">
        <f t="shared" si="2"/>
        <v>209.23999999999978</v>
      </c>
    </row>
    <row r="11" spans="1:18" ht="15.6">
      <c r="A11" t="s">
        <v>3195</v>
      </c>
      <c r="B11" s="523">
        <v>600</v>
      </c>
      <c r="E11" s="726">
        <v>2027</v>
      </c>
      <c r="F11" s="726"/>
      <c r="G11" s="726"/>
      <c r="H11" s="726"/>
      <c r="I11" s="726"/>
      <c r="J11" s="726"/>
      <c r="K11" s="726"/>
      <c r="L11" s="726"/>
      <c r="M11" s="726"/>
      <c r="N11" s="726"/>
      <c r="O11" s="726"/>
      <c r="P11" s="726"/>
    </row>
    <row r="12" spans="1:18">
      <c r="E12" t="s">
        <v>1324</v>
      </c>
      <c r="F12" s="242" t="s">
        <v>1325</v>
      </c>
      <c r="G12" s="242" t="s">
        <v>1326</v>
      </c>
      <c r="H12" t="s">
        <v>1327</v>
      </c>
      <c r="I12" t="s">
        <v>1328</v>
      </c>
      <c r="J12" t="s">
        <v>1329</v>
      </c>
      <c r="K12" t="s">
        <v>1330</v>
      </c>
      <c r="L12" t="s">
        <v>1331</v>
      </c>
      <c r="M12" t="s">
        <v>1332</v>
      </c>
      <c r="N12" t="s">
        <v>1333</v>
      </c>
      <c r="O12" t="s">
        <v>1334</v>
      </c>
      <c r="P12" t="s">
        <v>1335</v>
      </c>
    </row>
    <row r="13" spans="1:18">
      <c r="A13" s="726" t="s">
        <v>2812</v>
      </c>
      <c r="B13" s="726"/>
      <c r="D13" t="s">
        <v>1290</v>
      </c>
      <c r="E13">
        <v>200</v>
      </c>
      <c r="F13">
        <v>200</v>
      </c>
      <c r="G13">
        <v>200</v>
      </c>
      <c r="H13">
        <v>200</v>
      </c>
      <c r="I13">
        <v>200</v>
      </c>
      <c r="J13">
        <v>200</v>
      </c>
      <c r="K13">
        <v>200</v>
      </c>
      <c r="L13">
        <v>200</v>
      </c>
      <c r="M13">
        <v>200</v>
      </c>
      <c r="N13">
        <v>200</v>
      </c>
      <c r="O13">
        <v>200</v>
      </c>
      <c r="P13">
        <v>200</v>
      </c>
    </row>
    <row r="14" spans="1:18">
      <c r="A14" s="79"/>
      <c r="B14" s="79"/>
      <c r="D14" t="s">
        <v>1289</v>
      </c>
      <c r="F14" s="242"/>
      <c r="G14" s="242"/>
      <c r="H14" s="242"/>
      <c r="I14" s="242"/>
      <c r="J14" s="242"/>
      <c r="K14" s="242"/>
      <c r="L14" s="242"/>
      <c r="M14" s="242"/>
      <c r="N14" s="242"/>
      <c r="O14" s="242"/>
      <c r="P14" s="242"/>
    </row>
    <row r="15" spans="1:18" ht="15.6">
      <c r="A15" t="s">
        <v>2137</v>
      </c>
      <c r="B15" s="523">
        <f>B6-B10-B11</f>
        <v>12073.89</v>
      </c>
      <c r="D15" t="s">
        <v>1287</v>
      </c>
      <c r="E15">
        <f>ROUND(ROUND(P8+E13,2)+(ROUND(P8+E13,2) * $B$17 / 12),2)</f>
        <v>2905.12</v>
      </c>
      <c r="F15" s="242">
        <f t="shared" ref="F15:P15" si="3">ROUND(ROUND(E15+F13,2)+(ROUND(E15+F13,2) * $B$17 / 12),2)</f>
        <v>3115.81</v>
      </c>
      <c r="G15" s="242">
        <f t="shared" si="3"/>
        <v>3327.22</v>
      </c>
      <c r="H15">
        <f t="shared" si="3"/>
        <v>3539.36</v>
      </c>
      <c r="I15">
        <f t="shared" si="3"/>
        <v>3752.23</v>
      </c>
      <c r="J15">
        <f t="shared" si="3"/>
        <v>3965.83</v>
      </c>
      <c r="K15">
        <f t="shared" si="3"/>
        <v>4180.17</v>
      </c>
      <c r="L15">
        <f t="shared" si="3"/>
        <v>4395.25</v>
      </c>
      <c r="M15">
        <f t="shared" si="3"/>
        <v>4611.07</v>
      </c>
      <c r="N15">
        <f t="shared" si="3"/>
        <v>4827.63</v>
      </c>
      <c r="O15">
        <f t="shared" si="3"/>
        <v>5044.93</v>
      </c>
      <c r="P15">
        <f t="shared" si="3"/>
        <v>5262.98</v>
      </c>
    </row>
    <row r="16" spans="1:18">
      <c r="D16" t="s">
        <v>2812</v>
      </c>
      <c r="E16" s="243">
        <f>$B$6-E15-$B$11</f>
        <v>12494.880000000001</v>
      </c>
      <c r="F16" s="500">
        <f>$B$6-F15-$B$11</f>
        <v>12284.19</v>
      </c>
      <c r="G16" s="500">
        <f t="shared" ref="G16" si="4">$B$6-G15-$B$11</f>
        <v>12072.78</v>
      </c>
      <c r="H16" s="243">
        <f t="shared" ref="H16" si="5">$B$6-H15-$B$11</f>
        <v>11860.64</v>
      </c>
      <c r="I16" s="243">
        <f t="shared" ref="I16" si="6">$B$6-I15-$B$11</f>
        <v>11647.77</v>
      </c>
      <c r="J16" s="243">
        <f t="shared" ref="J16" si="7">$B$6-J15-$B$11</f>
        <v>11434.17</v>
      </c>
      <c r="K16" s="243">
        <f t="shared" ref="K16" si="8">$B$6-K15-$B$11</f>
        <v>11219.83</v>
      </c>
      <c r="L16" s="243">
        <f t="shared" ref="L16" si="9">$B$6-L15-$B$11</f>
        <v>11004.75</v>
      </c>
      <c r="M16" s="243">
        <f t="shared" ref="M16" si="10">$B$6-M15-$B$11</f>
        <v>10788.93</v>
      </c>
      <c r="N16" s="243">
        <f t="shared" ref="N16" si="11">$B$6-N15-$B$11</f>
        <v>10572.369999999999</v>
      </c>
      <c r="O16" s="243">
        <f t="shared" ref="O16" si="12">$B$6-O15-$B$11</f>
        <v>10355.07</v>
      </c>
      <c r="P16" s="243">
        <f t="shared" ref="P16" si="13">$B$6-P15-$B$11</f>
        <v>10137.02</v>
      </c>
    </row>
    <row r="17" spans="1:16">
      <c r="A17" t="s">
        <v>3199</v>
      </c>
      <c r="B17" s="288">
        <v>4.1300000000000003E-2</v>
      </c>
      <c r="E17">
        <f>E15-P8</f>
        <v>209.96000000000004</v>
      </c>
      <c r="F17">
        <f>F15-E15</f>
        <v>210.69000000000005</v>
      </c>
      <c r="G17">
        <f t="shared" ref="G17:P17" si="14">G15-F15</f>
        <v>211.40999999999985</v>
      </c>
      <c r="H17">
        <f t="shared" si="14"/>
        <v>212.14000000000033</v>
      </c>
      <c r="I17">
        <f t="shared" si="14"/>
        <v>212.86999999999989</v>
      </c>
      <c r="J17">
        <f t="shared" si="14"/>
        <v>213.59999999999991</v>
      </c>
      <c r="K17">
        <f t="shared" si="14"/>
        <v>214.34000000000015</v>
      </c>
      <c r="L17">
        <f t="shared" si="14"/>
        <v>215.07999999999993</v>
      </c>
      <c r="M17">
        <f t="shared" si="14"/>
        <v>215.81999999999971</v>
      </c>
      <c r="N17">
        <f t="shared" si="14"/>
        <v>216.5600000000004</v>
      </c>
      <c r="O17">
        <f t="shared" si="14"/>
        <v>217.30000000000018</v>
      </c>
      <c r="P17">
        <f t="shared" si="14"/>
        <v>218.04999999999927</v>
      </c>
    </row>
    <row r="18" spans="1:16">
      <c r="A18" t="s">
        <v>3198</v>
      </c>
      <c r="B18">
        <v>50</v>
      </c>
      <c r="P18" s="243"/>
    </row>
    <row r="19" spans="1:16">
      <c r="B19" s="11"/>
      <c r="P19" s="243"/>
    </row>
  </sheetData>
  <mergeCells count="5">
    <mergeCell ref="A1:B1"/>
    <mergeCell ref="A9:B9"/>
    <mergeCell ref="A13:B13"/>
    <mergeCell ref="E4:P4"/>
    <mergeCell ref="E11:P11"/>
  </mergeCells>
  <pageMargins left="0.7" right="0.7" top="0.75" bottom="0.75" header="0.3" footer="0.3"/>
  <pageSetup paperSize="9" orientation="portrait" r:id="rId1"/>
  <legacyDrawing r:id="rId2"/>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77116-4074-4201-A174-7044DB2026CE}">
  <dimension ref="A1:C9"/>
  <sheetViews>
    <sheetView zoomScaleNormal="60" zoomScaleSheetLayoutView="100" workbookViewId="0">
      <selection activeCell="B7" sqref="B7"/>
    </sheetView>
  </sheetViews>
  <sheetFormatPr defaultColWidth="8.44140625" defaultRowHeight="14.4"/>
  <cols>
    <col min="1" max="1" width="10.6640625" bestFit="1" customWidth="1"/>
  </cols>
  <sheetData>
    <row r="1" spans="1:3">
      <c r="A1" s="726" t="s">
        <v>1932</v>
      </c>
      <c r="B1" s="726"/>
    </row>
    <row r="2" spans="1:3">
      <c r="A2" s="42">
        <v>46024</v>
      </c>
      <c r="B2">
        <v>1</v>
      </c>
      <c r="C2" t="s">
        <v>3090</v>
      </c>
    </row>
    <row r="3" spans="1:3">
      <c r="B3">
        <v>9</v>
      </c>
      <c r="C3" t="s">
        <v>797</v>
      </c>
    </row>
    <row r="4" spans="1:3">
      <c r="B4">
        <v>10</v>
      </c>
      <c r="C4" t="s">
        <v>3146</v>
      </c>
    </row>
    <row r="6" spans="1:3">
      <c r="B6">
        <v>5</v>
      </c>
      <c r="C6" t="s">
        <v>3027</v>
      </c>
    </row>
    <row r="8" spans="1:3">
      <c r="A8" t="s">
        <v>3089</v>
      </c>
      <c r="B8">
        <f>SUM(B2:B7)</f>
        <v>25</v>
      </c>
    </row>
    <row r="9" spans="1:3">
      <c r="A9" t="s">
        <v>10</v>
      </c>
      <c r="B9">
        <f>25-B8</f>
        <v>0</v>
      </c>
    </row>
  </sheetData>
  <mergeCells count="1">
    <mergeCell ref="A1:B1"/>
  </mergeCells>
  <pageMargins left="0.7" right="0.7" top="0.75" bottom="0.75" header="0.3" footer="0.3"/>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F3A3F-128E-FB41-BA96-0B3ED40841A3}">
  <dimension ref="A1:H28"/>
  <sheetViews>
    <sheetView topLeftCell="A10" workbookViewId="0">
      <selection activeCell="G15" sqref="G15"/>
    </sheetView>
  </sheetViews>
  <sheetFormatPr defaultColWidth="11.44140625" defaultRowHeight="14.4"/>
  <cols>
    <col min="1" max="2" width="13" customWidth="1"/>
  </cols>
  <sheetData>
    <row r="1" spans="1:8">
      <c r="A1" t="s">
        <v>14</v>
      </c>
      <c r="B1" t="s">
        <v>928</v>
      </c>
      <c r="C1" t="s">
        <v>599</v>
      </c>
      <c r="D1" t="s">
        <v>3179</v>
      </c>
      <c r="E1" t="s">
        <v>3177</v>
      </c>
      <c r="F1" t="s">
        <v>3180</v>
      </c>
      <c r="G1" t="s">
        <v>3178</v>
      </c>
      <c r="H1" t="s">
        <v>203</v>
      </c>
    </row>
    <row r="2" spans="1:8">
      <c r="A2" s="42" t="s">
        <v>3181</v>
      </c>
      <c r="B2">
        <v>2023</v>
      </c>
      <c r="C2">
        <v>71.16</v>
      </c>
      <c r="D2">
        <v>921.9</v>
      </c>
      <c r="E2">
        <v>73.11</v>
      </c>
      <c r="F2">
        <v>214.64</v>
      </c>
      <c r="G2">
        <v>223.97</v>
      </c>
    </row>
    <row r="3" spans="1:8">
      <c r="A3" s="42" t="s">
        <v>3182</v>
      </c>
      <c r="B3">
        <v>2023</v>
      </c>
      <c r="C3">
        <v>80.25</v>
      </c>
      <c r="D3">
        <v>1051.07</v>
      </c>
      <c r="E3">
        <v>75.39</v>
      </c>
      <c r="F3">
        <v>221.19</v>
      </c>
      <c r="G3">
        <f>G2+90.73-C3-E3</f>
        <v>159.06</v>
      </c>
      <c r="H3">
        <f t="shared" ref="H3:H27" si="0">G3-G2</f>
        <v>-64.91</v>
      </c>
    </row>
    <row r="4" spans="1:8">
      <c r="A4" s="42" t="s">
        <v>3183</v>
      </c>
      <c r="B4">
        <v>2024</v>
      </c>
      <c r="C4">
        <v>96.58</v>
      </c>
      <c r="D4">
        <v>1198.26</v>
      </c>
      <c r="E4">
        <v>80.180000000000007</v>
      </c>
      <c r="F4">
        <v>228.35</v>
      </c>
      <c r="G4">
        <f>G3+90.73-C4-E4</f>
        <v>73.03000000000003</v>
      </c>
      <c r="H4">
        <f t="shared" si="0"/>
        <v>-86.029999999999973</v>
      </c>
    </row>
    <row r="5" spans="1:8">
      <c r="A5" s="42" t="s">
        <v>3184</v>
      </c>
      <c r="B5">
        <v>2024</v>
      </c>
      <c r="C5">
        <v>49.37</v>
      </c>
      <c r="D5">
        <v>563.32000000000005</v>
      </c>
      <c r="E5">
        <v>46.23</v>
      </c>
      <c r="F5">
        <v>110.08</v>
      </c>
      <c r="G5">
        <f>G4+90.73-C5-E5</f>
        <v>68.160000000000053</v>
      </c>
      <c r="H5">
        <f t="shared" si="0"/>
        <v>-4.8699999999999761</v>
      </c>
    </row>
    <row r="6" spans="1:8">
      <c r="A6" s="42" t="s">
        <v>866</v>
      </c>
      <c r="B6">
        <v>2024</v>
      </c>
      <c r="C6">
        <v>72.59</v>
      </c>
      <c r="D6">
        <v>871.83</v>
      </c>
      <c r="E6">
        <v>70.64</v>
      </c>
      <c r="F6">
        <v>194.02</v>
      </c>
      <c r="G6">
        <f>G5+111.75+111.75-C6-E6</f>
        <v>148.43000000000006</v>
      </c>
      <c r="H6">
        <f t="shared" si="0"/>
        <v>80.27000000000001</v>
      </c>
    </row>
    <row r="7" spans="1:8">
      <c r="A7" s="42" t="s">
        <v>3185</v>
      </c>
      <c r="B7">
        <v>2024</v>
      </c>
      <c r="C7">
        <v>38.39</v>
      </c>
      <c r="D7">
        <v>491.05</v>
      </c>
      <c r="E7">
        <v>60.87</v>
      </c>
      <c r="F7">
        <v>176.65</v>
      </c>
      <c r="G7">
        <f>G6+111.75-C7-E7</f>
        <v>160.92000000000007</v>
      </c>
      <c r="H7">
        <f t="shared" si="0"/>
        <v>12.490000000000009</v>
      </c>
    </row>
    <row r="8" spans="1:8">
      <c r="A8" s="42" t="s">
        <v>285</v>
      </c>
      <c r="B8">
        <v>2024</v>
      </c>
      <c r="C8">
        <v>23.19</v>
      </c>
      <c r="D8">
        <v>223.61</v>
      </c>
      <c r="E8">
        <v>55.61</v>
      </c>
      <c r="F8">
        <v>151.33000000000001</v>
      </c>
      <c r="G8">
        <f>G7+111.75-C8-E8</f>
        <v>193.87000000000006</v>
      </c>
      <c r="H8">
        <f t="shared" si="0"/>
        <v>32.949999999999989</v>
      </c>
    </row>
    <row r="9" spans="1:8">
      <c r="A9" s="42" t="s">
        <v>758</v>
      </c>
      <c r="B9">
        <v>2024</v>
      </c>
      <c r="C9">
        <v>19.100000000000001</v>
      </c>
      <c r="D9">
        <v>170.39</v>
      </c>
      <c r="E9">
        <v>52.18</v>
      </c>
      <c r="F9">
        <v>129.47</v>
      </c>
      <c r="G9">
        <f>G8+111.75-C9-E9</f>
        <v>234.34000000000003</v>
      </c>
      <c r="H9">
        <f t="shared" si="0"/>
        <v>40.46999999999997</v>
      </c>
    </row>
    <row r="10" spans="1:8">
      <c r="A10" s="42" t="s">
        <v>759</v>
      </c>
      <c r="B10">
        <v>2024</v>
      </c>
      <c r="C10">
        <v>21.04</v>
      </c>
      <c r="D10">
        <v>218.16</v>
      </c>
      <c r="E10">
        <v>54.51</v>
      </c>
      <c r="F10">
        <v>161.4</v>
      </c>
      <c r="G10">
        <f>G9+111.75-C10-E10</f>
        <v>270.54000000000002</v>
      </c>
      <c r="H10">
        <f t="shared" si="0"/>
        <v>36.199999999999989</v>
      </c>
    </row>
    <row r="11" spans="1:8">
      <c r="A11" s="42" t="s">
        <v>3186</v>
      </c>
      <c r="B11">
        <v>2024</v>
      </c>
      <c r="C11">
        <v>19.64</v>
      </c>
      <c r="D11">
        <v>192.4</v>
      </c>
      <c r="E11">
        <v>58.1</v>
      </c>
      <c r="F11">
        <v>178.29</v>
      </c>
      <c r="G11">
        <f>G10+111.75-C11-E11+0.06</f>
        <v>304.61</v>
      </c>
      <c r="H11">
        <f t="shared" si="0"/>
        <v>34.069999999999993</v>
      </c>
    </row>
    <row r="12" spans="1:8">
      <c r="A12" s="42" t="s">
        <v>3187</v>
      </c>
      <c r="B12">
        <v>2024</v>
      </c>
      <c r="C12">
        <v>21.23</v>
      </c>
      <c r="D12">
        <v>226.99</v>
      </c>
      <c r="E12">
        <v>53.57</v>
      </c>
      <c r="F12">
        <v>160.07</v>
      </c>
      <c r="G12">
        <f>G11+111.75-C12-E12+0.06</f>
        <v>341.62</v>
      </c>
      <c r="H12">
        <f t="shared" si="0"/>
        <v>37.009999999999991</v>
      </c>
    </row>
    <row r="13" spans="1:8">
      <c r="A13" s="42" t="s">
        <v>3188</v>
      </c>
      <c r="B13">
        <v>2024</v>
      </c>
      <c r="C13">
        <v>38.61</v>
      </c>
      <c r="D13">
        <v>473.42</v>
      </c>
      <c r="E13">
        <v>62.4</v>
      </c>
      <c r="F13">
        <v>178.09</v>
      </c>
      <c r="G13">
        <f>G12+111.75-C13-E13</f>
        <v>352.36</v>
      </c>
      <c r="H13">
        <f t="shared" si="0"/>
        <v>10.740000000000009</v>
      </c>
    </row>
    <row r="14" spans="1:8">
      <c r="A14" s="42" t="s">
        <v>3181</v>
      </c>
      <c r="B14">
        <v>2024</v>
      </c>
      <c r="C14">
        <v>71.239999999999995</v>
      </c>
      <c r="D14">
        <v>1003.52</v>
      </c>
      <c r="E14">
        <v>62.92</v>
      </c>
      <c r="F14">
        <v>183.08</v>
      </c>
      <c r="G14">
        <v>329.99</v>
      </c>
      <c r="H14">
        <f t="shared" si="0"/>
        <v>-22.370000000000005</v>
      </c>
    </row>
    <row r="15" spans="1:8">
      <c r="A15" s="42" t="s">
        <v>3182</v>
      </c>
      <c r="B15">
        <v>2024</v>
      </c>
      <c r="C15">
        <v>73.45</v>
      </c>
      <c r="D15">
        <v>1034.28</v>
      </c>
      <c r="E15">
        <v>73.89</v>
      </c>
      <c r="F15">
        <v>226.97</v>
      </c>
      <c r="G15">
        <f>G14+111.75-C15-E15</f>
        <v>294.40000000000003</v>
      </c>
      <c r="H15">
        <f t="shared" si="0"/>
        <v>-35.589999999999975</v>
      </c>
    </row>
    <row r="16" spans="1:8">
      <c r="A16" s="42" t="s">
        <v>3183</v>
      </c>
      <c r="B16">
        <v>2025</v>
      </c>
      <c r="C16">
        <v>105.49</v>
      </c>
      <c r="D16">
        <v>1525.85</v>
      </c>
      <c r="E16">
        <v>67.040000000000006</v>
      </c>
      <c r="F16">
        <v>194.9</v>
      </c>
      <c r="G16">
        <v>233.62</v>
      </c>
      <c r="H16">
        <f t="shared" si="0"/>
        <v>-60.78000000000003</v>
      </c>
    </row>
    <row r="17" spans="1:8">
      <c r="A17" s="42" t="s">
        <v>3184</v>
      </c>
      <c r="B17">
        <v>2025</v>
      </c>
      <c r="C17">
        <v>82.99</v>
      </c>
      <c r="D17">
        <v>1183.4000000000001</v>
      </c>
      <c r="E17">
        <v>61.83</v>
      </c>
      <c r="F17">
        <v>179.46</v>
      </c>
      <c r="G17">
        <v>201</v>
      </c>
      <c r="H17">
        <f t="shared" si="0"/>
        <v>-32.620000000000005</v>
      </c>
    </row>
    <row r="18" spans="1:8">
      <c r="A18" s="42" t="s">
        <v>866</v>
      </c>
      <c r="B18">
        <v>2025</v>
      </c>
      <c r="C18">
        <f>49.63+9.73</f>
        <v>59.36</v>
      </c>
      <c r="D18">
        <f>664.15+131.89</f>
        <v>796.04</v>
      </c>
      <c r="E18">
        <f>45.01+9.76</f>
        <v>54.769999999999996</v>
      </c>
      <c r="F18">
        <f>116.41+29.15</f>
        <v>145.56</v>
      </c>
      <c r="G18">
        <v>198.62</v>
      </c>
      <c r="H18">
        <f t="shared" si="0"/>
        <v>-2.3799999999999955</v>
      </c>
    </row>
    <row r="19" spans="1:8">
      <c r="A19" s="42" t="s">
        <v>3185</v>
      </c>
      <c r="B19">
        <v>2025</v>
      </c>
      <c r="C19">
        <v>43.67</v>
      </c>
      <c r="D19">
        <v>555.5</v>
      </c>
      <c r="E19">
        <f>54.89</f>
        <v>54.89</v>
      </c>
      <c r="F19">
        <v>159.36000000000001</v>
      </c>
      <c r="G19">
        <f>G18+107.15-C19-E19</f>
        <v>207.20999999999998</v>
      </c>
      <c r="H19">
        <f t="shared" si="0"/>
        <v>8.589999999999975</v>
      </c>
    </row>
    <row r="20" spans="1:8">
      <c r="A20" s="42" t="s">
        <v>285</v>
      </c>
      <c r="B20">
        <v>2025</v>
      </c>
      <c r="C20">
        <v>21.41</v>
      </c>
      <c r="D20">
        <v>195.09</v>
      </c>
      <c r="E20">
        <v>55.34</v>
      </c>
      <c r="F20">
        <v>158.80000000000001</v>
      </c>
      <c r="G20">
        <f>G19+107.15-C20-E20</f>
        <v>237.60999999999999</v>
      </c>
      <c r="H20">
        <f t="shared" si="0"/>
        <v>30.400000000000006</v>
      </c>
    </row>
    <row r="21" spans="1:8">
      <c r="A21" s="42" t="s">
        <v>758</v>
      </c>
      <c r="B21">
        <v>2025</v>
      </c>
      <c r="C21">
        <v>19.37</v>
      </c>
      <c r="D21">
        <v>167.27</v>
      </c>
      <c r="E21">
        <v>50.38</v>
      </c>
      <c r="F21">
        <v>140.28</v>
      </c>
      <c r="G21">
        <f>G20+107.15-C21-E21</f>
        <v>275.01</v>
      </c>
      <c r="H21">
        <f t="shared" si="0"/>
        <v>37.400000000000006</v>
      </c>
    </row>
    <row r="22" spans="1:8">
      <c r="A22" s="42" t="s">
        <v>759</v>
      </c>
      <c r="B22">
        <v>2025</v>
      </c>
      <c r="C22">
        <v>21.97</v>
      </c>
      <c r="D22">
        <v>204.04</v>
      </c>
      <c r="E22">
        <v>59.82</v>
      </c>
      <c r="F22">
        <v>177.75</v>
      </c>
      <c r="G22">
        <f>G21+107.15-C22-E22+4.01+0.21+0.07</f>
        <v>304.65999999999991</v>
      </c>
      <c r="H22">
        <f t="shared" si="0"/>
        <v>29.64999999999992</v>
      </c>
    </row>
    <row r="23" spans="1:8">
      <c r="A23" s="42" t="s">
        <v>3186</v>
      </c>
      <c r="B23">
        <v>2025</v>
      </c>
      <c r="C23">
        <f>8.44+12.45</f>
        <v>20.89</v>
      </c>
      <c r="D23">
        <f>113.63+73.26</f>
        <v>186.89</v>
      </c>
      <c r="E23">
        <f>22.78+33.53</f>
        <v>56.31</v>
      </c>
      <c r="F23">
        <f>98.1+64.82</f>
        <v>162.91999999999999</v>
      </c>
      <c r="G23">
        <f>G22+107.15-C23-E23</f>
        <v>334.60999999999996</v>
      </c>
      <c r="H23">
        <f t="shared" si="0"/>
        <v>29.950000000000045</v>
      </c>
    </row>
    <row r="24" spans="1:8">
      <c r="A24" s="42" t="s">
        <v>3187</v>
      </c>
      <c r="B24">
        <v>2025</v>
      </c>
      <c r="C24">
        <v>25.07</v>
      </c>
      <c r="D24">
        <v>258.32</v>
      </c>
      <c r="E24">
        <v>61</v>
      </c>
      <c r="F24">
        <v>185.2</v>
      </c>
      <c r="G24">
        <f>G23+107.15-C24-E24+0.29</f>
        <v>355.98</v>
      </c>
      <c r="H24">
        <f t="shared" si="0"/>
        <v>21.370000000000061</v>
      </c>
    </row>
    <row r="25" spans="1:8">
      <c r="A25" s="42" t="s">
        <v>3188</v>
      </c>
      <c r="B25">
        <v>2025</v>
      </c>
      <c r="C25">
        <v>49.16</v>
      </c>
      <c r="D25">
        <v>638.51</v>
      </c>
      <c r="E25">
        <v>62.9</v>
      </c>
      <c r="F25">
        <v>190.72</v>
      </c>
      <c r="G25">
        <f>G24+107.15-C25-E25+0.06+0.02+0.58</f>
        <v>351.73</v>
      </c>
      <c r="H25">
        <f t="shared" si="0"/>
        <v>-4.25</v>
      </c>
    </row>
    <row r="26" spans="1:8">
      <c r="A26" s="42" t="s">
        <v>3181</v>
      </c>
      <c r="B26">
        <v>2025</v>
      </c>
      <c r="C26">
        <v>41.57</v>
      </c>
      <c r="D26">
        <v>555.16999999999996</v>
      </c>
      <c r="E26">
        <v>59.18</v>
      </c>
      <c r="F26">
        <v>177.47</v>
      </c>
      <c r="G26">
        <f>G25+107.15-C26-E26</f>
        <v>358.13</v>
      </c>
      <c r="H26">
        <f t="shared" si="0"/>
        <v>6.3999999999999773</v>
      </c>
    </row>
    <row r="27" spans="1:8">
      <c r="A27" s="42" t="s">
        <v>3182</v>
      </c>
      <c r="B27">
        <v>2025</v>
      </c>
      <c r="C27">
        <v>73.45</v>
      </c>
      <c r="E27">
        <v>71.5</v>
      </c>
      <c r="F27">
        <v>227.12</v>
      </c>
      <c r="G27">
        <f>G26+107.15-C27-E27</f>
        <v>320.33</v>
      </c>
      <c r="H27">
        <f t="shared" si="0"/>
        <v>-37.800000000000011</v>
      </c>
    </row>
    <row r="28" spans="1:8">
      <c r="A28" s="42" t="s">
        <v>3183</v>
      </c>
      <c r="B28">
        <v>2026</v>
      </c>
    </row>
  </sheetData>
  <autoFilter ref="A1:A27" xr:uid="{B33F3A3F-128E-FB41-BA96-0B3ED40841A3}"/>
  <phoneticPr fontId="33" type="noConversion"/>
  <pageMargins left="0.7" right="0.7" top="0.75" bottom="0.75" header="0.3" footer="0.3"/>
  <legacyDrawing r:id="rId1"/>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D5AF-7AD8-471A-919A-09A003092FD1}">
  <dimension ref="A1:AB105"/>
  <sheetViews>
    <sheetView topLeftCell="D25" zoomScaleNormal="90" workbookViewId="0">
      <selection activeCell="S23" sqref="S23"/>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6" width="22.44140625" customWidth="1"/>
    <col min="17" max="18" width="21.6640625" customWidth="1"/>
    <col min="19" max="20" width="22.44140625" style="7" customWidth="1"/>
    <col min="21" max="21" width="24.44140625" customWidth="1"/>
    <col min="22" max="22" width="12.6640625" customWidth="1"/>
    <col min="23" max="23" width="22.33203125" bestFit="1" customWidth="1"/>
    <col min="24" max="24" width="10.33203125" bestFit="1" customWidth="1"/>
    <col min="25" max="25" width="16.109375" customWidth="1"/>
  </cols>
  <sheetData>
    <row r="1" spans="1:28" ht="25.5" customHeight="1">
      <c r="A1" t="str">
        <f ca="1">UPPER(TEXT((1&amp;LEFT(B$1,3))-1,"MMM"))&amp;"-"&amp;UPPER(TEXT((1&amp;RIGHT(LEFT(B$1,7),3))-1,"MMM"))&amp;" "&amp;RIGHT(B$1,4)</f>
        <v>JAN-FEB R 26</v>
      </c>
      <c r="B1" s="730" t="str">
        <f ca="1">MID(CELL("filename",B1),FIND("]",CELL("filename",B1))+1,255)</f>
        <v>FEB-MAR 26</v>
      </c>
      <c r="C1" s="731"/>
      <c r="D1" s="731"/>
      <c r="E1" s="731"/>
      <c r="F1" s="731"/>
      <c r="G1" s="731"/>
      <c r="H1" s="731"/>
      <c r="I1" s="731"/>
      <c r="J1" s="731"/>
      <c r="K1" s="731"/>
      <c r="L1" s="731"/>
      <c r="M1" s="731"/>
      <c r="N1" s="731"/>
      <c r="O1" s="731"/>
      <c r="P1" s="731"/>
      <c r="Q1" s="731"/>
      <c r="R1" s="731"/>
      <c r="S1" s="731"/>
      <c r="T1" s="298"/>
      <c r="U1" s="281"/>
      <c r="V1" s="272"/>
      <c r="W1" s="272"/>
      <c r="X1" s="272"/>
    </row>
    <row r="2" spans="1:28">
      <c r="B2" s="118"/>
      <c r="C2" s="118"/>
      <c r="G2" s="678" t="s">
        <v>798</v>
      </c>
      <c r="H2" s="675" t="s">
        <v>1448</v>
      </c>
      <c r="I2" s="676" t="s">
        <v>3287</v>
      </c>
      <c r="J2" s="674" t="s">
        <v>799</v>
      </c>
      <c r="K2" s="675" t="s">
        <v>1448</v>
      </c>
      <c r="L2" s="676" t="s">
        <v>1449</v>
      </c>
      <c r="M2" s="674" t="s">
        <v>800</v>
      </c>
      <c r="N2" s="675" t="s">
        <v>1448</v>
      </c>
      <c r="O2" s="676" t="s">
        <v>1449</v>
      </c>
      <c r="P2" s="674" t="s">
        <v>801</v>
      </c>
      <c r="Q2" s="675" t="s">
        <v>1448</v>
      </c>
      <c r="R2" s="676" t="s">
        <v>1449</v>
      </c>
      <c r="S2" s="273" t="s">
        <v>3288</v>
      </c>
      <c r="T2" s="273" t="s">
        <v>3289</v>
      </c>
      <c r="U2" s="283" t="s">
        <v>803</v>
      </c>
    </row>
    <row r="3" spans="1:28">
      <c r="B3" s="118"/>
      <c r="C3" s="118"/>
      <c r="D3" s="290" t="e">
        <f>"£" &amp; ROUND(S5+S41+S28+IF(#REF!&lt;0,0,#REF!)+S48+S4,2) &amp; " / " &amp; "£" &amp; E50</f>
        <v>#REF!</v>
      </c>
      <c r="G3" s="799">
        <v>46078</v>
      </c>
      <c r="H3" s="800"/>
      <c r="I3" s="801"/>
      <c r="J3" s="800">
        <f>G3+7</f>
        <v>46085</v>
      </c>
      <c r="K3" s="800"/>
      <c r="L3" s="801"/>
      <c r="M3" s="800">
        <f>J3+7</f>
        <v>46092</v>
      </c>
      <c r="N3" s="800"/>
      <c r="O3" s="801"/>
      <c r="P3" s="800">
        <f>M3+7</f>
        <v>46099</v>
      </c>
      <c r="Q3" s="800"/>
      <c r="R3" s="801"/>
      <c r="S3" s="308">
        <f>H4+K4+N4+Q4</f>
        <v>1463.71</v>
      </c>
      <c r="T3" s="308">
        <f>R4+O4+L4+I4</f>
        <v>285.54999999999995</v>
      </c>
      <c r="U3" s="282"/>
      <c r="V3" s="243"/>
      <c r="W3" s="243"/>
    </row>
    <row r="4" spans="1:28" ht="15" customHeight="1">
      <c r="B4" s="727" t="str">
        <f>_xlfn.CONCAT("Expenses - 50 - ",G50*0.5," / Actual = ",ROUND(D5,2)," (",ROUND((D5/G50)*100,2),")")</f>
        <v>Expenses - 50 - 4090.235 / Actual = 3641.37 (44.51)</v>
      </c>
      <c r="C4" s="727"/>
      <c r="D4" s="727"/>
      <c r="E4" s="727"/>
      <c r="F4" s="318"/>
      <c r="G4" s="679"/>
      <c r="H4" s="304">
        <f>SUM(H5:H48)</f>
        <v>624.02250000000015</v>
      </c>
      <c r="I4" s="671">
        <f>SUM(I5:I48)</f>
        <v>139.47999999999999</v>
      </c>
      <c r="J4" s="243"/>
      <c r="K4" s="304">
        <f>SUM(K5:K48)</f>
        <v>223.27249999999998</v>
      </c>
      <c r="L4" s="671">
        <f>SUM(L5:L48)</f>
        <v>73.94</v>
      </c>
      <c r="M4" s="243"/>
      <c r="N4" s="304">
        <f>SUM(N5:N48)</f>
        <v>434.24250000000006</v>
      </c>
      <c r="O4" s="671">
        <f>SUM(O5:O48)</f>
        <v>50.34</v>
      </c>
      <c r="P4" s="243"/>
      <c r="Q4" s="304">
        <f>SUM(Q5:Q48)-SUM(Q30:Q36)</f>
        <v>182.17250000000001</v>
      </c>
      <c r="R4" s="671">
        <f>SUM(R5:R48)-SUM(R30:R36)</f>
        <v>21.79</v>
      </c>
      <c r="S4" s="308">
        <f>IF(H49&lt;&gt;"PAID",(H4+I4),0)+IF(K49&lt;&gt;"PAID",(K4+L4),0)+IF(N49&lt;&gt;"PAID",(N4+O4),0)+IF(Q49&lt;&gt;"PAID",(Q4+R4),0)</f>
        <v>1749.2600000000002</v>
      </c>
      <c r="T4" s="309" t="s">
        <v>973</v>
      </c>
      <c r="U4" s="408"/>
      <c r="V4" s="243"/>
      <c r="W4" s="284"/>
      <c r="X4" s="11"/>
      <c r="Y4" s="390"/>
      <c r="Z4" s="11"/>
      <c r="AA4" s="390"/>
      <c r="AB4" s="11"/>
    </row>
    <row r="5" spans="1:28" ht="15" customHeight="1">
      <c r="B5" s="733" t="str">
        <f>IF(D5&gt;E$50*0.5,ROUND(D5-E$50*0.5,2) &amp; " Over",ROUND(E$50*0.5-D5,2) &amp; " Under")</f>
        <v>2811.16 Under</v>
      </c>
      <c r="C5" s="733"/>
      <c r="D5" s="761">
        <f>ROUND(SUM(F6:F25),2)</f>
        <v>3641.37</v>
      </c>
      <c r="E5" s="761"/>
      <c r="F5" s="321"/>
      <c r="G5" s="680"/>
      <c r="H5" s="306"/>
      <c r="I5" s="672"/>
      <c r="J5" s="390"/>
      <c r="K5" s="306"/>
      <c r="L5" s="672"/>
      <c r="M5" s="390"/>
      <c r="N5" s="306"/>
      <c r="O5" s="672"/>
      <c r="P5" s="79"/>
      <c r="Q5" s="305"/>
      <c r="R5" s="673"/>
      <c r="S5" s="285">
        <f>SUMIF(S6:S25,"&gt;0")</f>
        <v>0.94000000000006878</v>
      </c>
      <c r="T5" s="285" t="s">
        <v>892</v>
      </c>
      <c r="U5" s="282">
        <f>SUM(U6:U25)</f>
        <v>124.82000000000002</v>
      </c>
      <c r="V5" s="243"/>
      <c r="X5" s="243"/>
    </row>
    <row r="6" spans="1:28" ht="15" customHeight="1">
      <c r="B6" s="734" t="str">
        <f>"50%: " &amp; E$50*0.5</f>
        <v>50%: 6452.525</v>
      </c>
      <c r="C6" s="734" t="str">
        <f>ROUND((D5/E$50)*100,2) &amp; "%: " &amp;D5</f>
        <v>28.22%: 3641.37</v>
      </c>
      <c r="D6" s="13" t="s">
        <v>805</v>
      </c>
      <c r="E6" s="523">
        <v>0</v>
      </c>
      <c r="F6" s="677">
        <f>160</f>
        <v>160</v>
      </c>
      <c r="G6" s="583"/>
      <c r="H6" s="305">
        <f>27.01+27.18</f>
        <v>54.19</v>
      </c>
      <c r="I6" s="673"/>
      <c r="K6" s="305">
        <f>33.06+33.78</f>
        <v>66.84</v>
      </c>
      <c r="L6" s="673"/>
      <c r="N6" s="305">
        <f>60.4</f>
        <v>60.4</v>
      </c>
      <c r="O6" s="673"/>
      <c r="Q6" s="305"/>
      <c r="R6" s="673"/>
      <c r="S6" s="274">
        <f>SUM(E6:F6)-SUM(G6:R6)</f>
        <v>-21.430000000000007</v>
      </c>
      <c r="T6" s="274" t="str">
        <f t="shared" ref="T6:T25" si="0">D6</f>
        <v>Car Petrol / commuting</v>
      </c>
      <c r="U6" s="282">
        <f>IF(S6&lt;0,S6*-1,0)</f>
        <v>21.430000000000007</v>
      </c>
      <c r="V6" s="243"/>
      <c r="W6" s="243"/>
      <c r="X6" s="243"/>
    </row>
    <row r="7" spans="1:28" ht="15" customHeight="1">
      <c r="B7" s="734"/>
      <c r="C7" s="734"/>
      <c r="D7" s="13" t="s">
        <v>169</v>
      </c>
      <c r="E7" s="523">
        <v>0</v>
      </c>
      <c r="F7" s="523">
        <f>400+40+30+15.74+14.15+2.99</f>
        <v>502.88</v>
      </c>
      <c r="G7" s="583"/>
      <c r="H7" s="305">
        <f>27.23+36.3+2.5+((123.04-29.99)/4)+9.82</f>
        <v>99.112500000000011</v>
      </c>
      <c r="I7" s="673"/>
      <c r="K7" s="305">
        <f>((123.04-29.99)/4)+47+33.88</f>
        <v>104.14250000000001</v>
      </c>
      <c r="L7" s="673"/>
      <c r="N7" s="305">
        <f>((123.04-29.99)/4)+31.9+13.81+73.2</f>
        <v>142.17250000000001</v>
      </c>
      <c r="O7" s="673"/>
      <c r="Q7" s="305">
        <f>((123.04-29.99)/4)+32.3+8.99+96.13</f>
        <v>160.6825</v>
      </c>
      <c r="R7" s="673"/>
      <c r="S7" s="274">
        <f>SUM(E7:F7)-SUM(G7:R7)</f>
        <v>-3.2300000000000182</v>
      </c>
      <c r="T7" s="274" t="str">
        <f t="shared" si="0"/>
        <v>Food</v>
      </c>
      <c r="U7" s="282">
        <f>IF(S7&lt;0,S7*-1,0)</f>
        <v>3.2300000000000182</v>
      </c>
      <c r="V7" s="243"/>
      <c r="W7" s="243"/>
    </row>
    <row r="8" spans="1:28" ht="15" customHeight="1">
      <c r="B8" s="734"/>
      <c r="C8" s="734"/>
      <c r="D8" s="13" t="s">
        <v>153</v>
      </c>
      <c r="E8" s="523">
        <v>0</v>
      </c>
      <c r="F8" s="523">
        <f>120-15.74</f>
        <v>104.26</v>
      </c>
      <c r="G8" s="583"/>
      <c r="H8" s="305"/>
      <c r="I8" s="673">
        <f>19.19</f>
        <v>19.190000000000001</v>
      </c>
      <c r="K8" s="305">
        <v>10.79</v>
      </c>
      <c r="L8" s="673">
        <v>21.94</v>
      </c>
      <c r="N8" s="305"/>
      <c r="O8" s="673">
        <f>19.34+11</f>
        <v>30.34</v>
      </c>
      <c r="Q8" s="305"/>
      <c r="R8" s="673">
        <v>21.79</v>
      </c>
      <c r="S8" s="274">
        <f>SUM(E8:F8)-SUM(G8:R8)</f>
        <v>0.20999999999999375</v>
      </c>
      <c r="T8" s="274" t="str">
        <f t="shared" si="0"/>
        <v>Luna</v>
      </c>
      <c r="U8" s="282">
        <f>IF(S8&lt;0,S8*-1,0)</f>
        <v>0</v>
      </c>
    </row>
    <row r="9" spans="1:28" ht="15" customHeight="1">
      <c r="B9" s="734"/>
      <c r="C9" s="734"/>
      <c r="D9" s="13" t="s">
        <v>189</v>
      </c>
      <c r="E9" s="735">
        <f>SUM(F10:F25)</f>
        <v>2874.2299999999991</v>
      </c>
      <c r="F9" s="735"/>
      <c r="G9" s="679"/>
      <c r="H9" s="305"/>
      <c r="I9" s="673"/>
      <c r="K9" s="305"/>
      <c r="L9" s="673"/>
      <c r="N9" s="305"/>
      <c r="O9" s="673"/>
      <c r="Q9" s="305"/>
      <c r="R9" s="673"/>
      <c r="S9" s="274"/>
      <c r="T9" s="274" t="str">
        <f t="shared" si="0"/>
        <v>Direct debits</v>
      </c>
      <c r="U9" s="282"/>
      <c r="V9" s="243"/>
      <c r="X9" s="243"/>
    </row>
    <row r="10" spans="1:28" ht="15" customHeight="1" outlineLevel="1">
      <c r="B10" s="734"/>
      <c r="C10" s="734"/>
      <c r="D10" s="201" t="s">
        <v>595</v>
      </c>
      <c r="E10" s="523">
        <v>0</v>
      </c>
      <c r="F10" s="523">
        <v>838</v>
      </c>
      <c r="G10" s="583">
        <v>838</v>
      </c>
      <c r="H10" s="305"/>
      <c r="I10" s="673"/>
      <c r="K10" s="305"/>
      <c r="L10" s="673"/>
      <c r="N10" s="304"/>
      <c r="O10" s="671"/>
      <c r="Q10" s="305"/>
      <c r="R10" s="673"/>
      <c r="S10" s="274">
        <f>SUM(E10:F10)-SUM(G10:R10)</f>
        <v>0</v>
      </c>
      <c r="T10" s="274" t="str">
        <f t="shared" si="0"/>
        <v>Mortgage</v>
      </c>
      <c r="U10" s="282">
        <f t="shared" ref="U10:U25" si="1">IF(S10&lt;0,S10*-1,0)</f>
        <v>0</v>
      </c>
      <c r="V10" s="243"/>
    </row>
    <row r="11" spans="1:28" ht="15" customHeight="1" outlineLevel="1">
      <c r="B11" s="734"/>
      <c r="C11" s="734"/>
      <c r="D11" s="201" t="s">
        <v>596</v>
      </c>
      <c r="E11" s="523">
        <v>0</v>
      </c>
      <c r="F11" s="523">
        <v>168</v>
      </c>
      <c r="G11" s="583">
        <v>168</v>
      </c>
      <c r="H11" s="305"/>
      <c r="I11" s="673"/>
      <c r="K11" s="305"/>
      <c r="L11" s="673"/>
      <c r="N11" s="305"/>
      <c r="O11" s="673"/>
      <c r="Q11" s="305"/>
      <c r="R11" s="673"/>
      <c r="S11" s="274">
        <f>SUM(E11:F11)-SUM(G11:R11)</f>
        <v>0</v>
      </c>
      <c r="T11" s="274" t="str">
        <f t="shared" si="0"/>
        <v>Council tax</v>
      </c>
      <c r="U11" s="282">
        <f t="shared" si="1"/>
        <v>0</v>
      </c>
    </row>
    <row r="12" spans="1:28" ht="15" customHeight="1" outlineLevel="1">
      <c r="B12" s="734"/>
      <c r="C12" s="734"/>
      <c r="D12" s="201" t="s">
        <v>1002</v>
      </c>
      <c r="E12" s="523">
        <v>0</v>
      </c>
      <c r="F12" s="523">
        <f>49+92.79</f>
        <v>141.79000000000002</v>
      </c>
      <c r="G12" s="583">
        <f>49+92.79</f>
        <v>141.79000000000002</v>
      </c>
      <c r="H12" s="305"/>
      <c r="I12" s="673"/>
      <c r="K12" s="305"/>
      <c r="L12" s="673"/>
      <c r="N12" s="305"/>
      <c r="O12" s="673"/>
      <c r="Q12" s="305"/>
      <c r="R12" s="673"/>
      <c r="S12" s="274">
        <f>SUM(E12:F12)-SUM(G12:R12)</f>
        <v>0</v>
      </c>
      <c r="T12" s="274" t="str">
        <f t="shared" si="0"/>
        <v>Utilities (G,W,E,HTB)</v>
      </c>
      <c r="U12" s="282">
        <f t="shared" si="1"/>
        <v>0</v>
      </c>
    </row>
    <row r="13" spans="1:28" ht="15" customHeight="1" outlineLevel="1">
      <c r="B13" s="734"/>
      <c r="C13" s="734"/>
      <c r="D13" s="201" t="s">
        <v>996</v>
      </c>
      <c r="E13" s="523">
        <v>0</v>
      </c>
      <c r="F13" s="523">
        <v>72.84</v>
      </c>
      <c r="G13" s="583">
        <v>72.84</v>
      </c>
      <c r="H13" s="305"/>
      <c r="I13" s="673"/>
      <c r="K13" s="305"/>
      <c r="L13" s="673"/>
      <c r="N13" s="305"/>
      <c r="O13" s="673"/>
      <c r="Q13" s="305"/>
      <c r="R13" s="673"/>
      <c r="S13" s="274">
        <f>SUM(E13:F13)-SUM(G13:R13)</f>
        <v>0</v>
      </c>
      <c r="T13" s="274" t="str">
        <f t="shared" si="0"/>
        <v>Home Insurance</v>
      </c>
      <c r="U13" s="282">
        <f t="shared" si="1"/>
        <v>0</v>
      </c>
    </row>
    <row r="14" spans="1:28" ht="15" customHeight="1" outlineLevel="1">
      <c r="B14" s="734"/>
      <c r="C14" s="734"/>
      <c r="D14" s="201" t="s">
        <v>1056</v>
      </c>
      <c r="E14" s="523">
        <v>0</v>
      </c>
      <c r="F14" s="523">
        <f>31.99+22.99</f>
        <v>54.98</v>
      </c>
      <c r="G14" s="583">
        <f>22.99+31.99</f>
        <v>54.98</v>
      </c>
      <c r="H14" s="305"/>
      <c r="I14" s="673"/>
      <c r="K14" s="305"/>
      <c r="L14" s="673"/>
      <c r="N14" s="305"/>
      <c r="O14" s="673"/>
      <c r="Q14" s="305"/>
      <c r="R14" s="673"/>
      <c r="S14" s="274">
        <f t="shared" ref="S14:S25" si="2">SUM(E14:F14)-SUM(G14:Q14)</f>
        <v>0</v>
      </c>
      <c r="T14" s="274" t="str">
        <f t="shared" si="0"/>
        <v>Pet Health / Insurance</v>
      </c>
      <c r="U14" s="282">
        <f t="shared" si="1"/>
        <v>0</v>
      </c>
      <c r="Y14" s="11"/>
    </row>
    <row r="15" spans="1:28" ht="15" customHeight="1" outlineLevel="1">
      <c r="B15" s="734"/>
      <c r="C15" s="734"/>
      <c r="D15" s="201" t="s">
        <v>1057</v>
      </c>
      <c r="E15" s="523">
        <v>0</v>
      </c>
      <c r="F15" s="523">
        <f>30.8+62.08-5</f>
        <v>87.88</v>
      </c>
      <c r="G15" s="583">
        <v>87.88</v>
      </c>
      <c r="H15" s="305"/>
      <c r="I15" s="673"/>
      <c r="K15" s="305"/>
      <c r="L15" s="673"/>
      <c r="N15" s="305"/>
      <c r="O15" s="673"/>
      <c r="Q15" s="305"/>
      <c r="R15" s="673"/>
      <c r="S15" s="274">
        <f t="shared" si="2"/>
        <v>0</v>
      </c>
      <c r="T15" s="274" t="str">
        <f t="shared" si="0"/>
        <v>Life / Income Insurance</v>
      </c>
      <c r="U15" s="282">
        <f t="shared" si="1"/>
        <v>0</v>
      </c>
    </row>
    <row r="16" spans="1:28" ht="15" customHeight="1" outlineLevel="1">
      <c r="B16" s="734"/>
      <c r="C16" s="734"/>
      <c r="D16" s="201" t="s">
        <v>602</v>
      </c>
      <c r="E16" s="523">
        <v>0</v>
      </c>
      <c r="F16" s="523">
        <v>37</v>
      </c>
      <c r="G16" s="583">
        <v>37</v>
      </c>
      <c r="H16" s="305"/>
      <c r="I16" s="673"/>
      <c r="K16" s="305"/>
      <c r="L16" s="673"/>
      <c r="N16" s="305"/>
      <c r="O16" s="673"/>
      <c r="Q16" s="305"/>
      <c r="R16" s="673"/>
      <c r="S16" s="274">
        <f t="shared" si="2"/>
        <v>0</v>
      </c>
      <c r="T16" s="274" t="str">
        <f t="shared" si="0"/>
        <v>Broadband / TV</v>
      </c>
      <c r="U16" s="282">
        <f t="shared" si="1"/>
        <v>0</v>
      </c>
    </row>
    <row r="17" spans="2:23" ht="15" customHeight="1" outlineLevel="1">
      <c r="B17" s="734"/>
      <c r="C17" s="734"/>
      <c r="D17" s="201" t="s">
        <v>788</v>
      </c>
      <c r="E17" s="523">
        <v>0</v>
      </c>
      <c r="F17" s="523">
        <v>29.1</v>
      </c>
      <c r="G17" s="583">
        <v>29.1</v>
      </c>
      <c r="H17" s="305"/>
      <c r="I17" s="673"/>
      <c r="K17" s="305"/>
      <c r="L17" s="673"/>
      <c r="N17" s="305"/>
      <c r="O17" s="673"/>
      <c r="Q17" s="305"/>
      <c r="R17" s="673"/>
      <c r="S17" s="274">
        <f t="shared" si="2"/>
        <v>0</v>
      </c>
      <c r="T17" s="274" t="str">
        <f t="shared" si="0"/>
        <v>Matt Phone</v>
      </c>
      <c r="U17" s="282">
        <f t="shared" si="1"/>
        <v>0</v>
      </c>
    </row>
    <row r="18" spans="2:23" ht="15" customHeight="1" outlineLevel="1">
      <c r="B18" s="734"/>
      <c r="C18" s="734"/>
      <c r="D18" s="201" t="s">
        <v>690</v>
      </c>
      <c r="E18" s="523">
        <v>0</v>
      </c>
      <c r="F18" s="523">
        <f>14.43+46.29+271.59+487.35+58.85+17.09</f>
        <v>895.6</v>
      </c>
      <c r="G18" s="583">
        <f>46.29+58.85+14.43+17.06+271.59+487.35</f>
        <v>895.56999999999994</v>
      </c>
      <c r="H18" s="305"/>
      <c r="I18" s="673"/>
      <c r="K18" s="305"/>
      <c r="L18" s="673"/>
      <c r="N18" s="305"/>
      <c r="O18" s="673"/>
      <c r="Q18" s="305"/>
      <c r="R18" s="673"/>
      <c r="S18" s="274">
        <f t="shared" si="2"/>
        <v>3.0000000000086402E-2</v>
      </c>
      <c r="T18" s="274" t="str">
        <f t="shared" si="0"/>
        <v>Cars</v>
      </c>
      <c r="U18" s="282">
        <f t="shared" si="1"/>
        <v>0</v>
      </c>
    </row>
    <row r="19" spans="2:23" ht="15" customHeight="1" outlineLevel="1">
      <c r="B19" s="734"/>
      <c r="C19" s="734"/>
      <c r="D19" s="201" t="s">
        <v>944</v>
      </c>
      <c r="E19" s="523">
        <v>0</v>
      </c>
      <c r="F19" s="523">
        <v>15</v>
      </c>
      <c r="G19" s="583"/>
      <c r="H19" s="305"/>
      <c r="I19" s="673"/>
      <c r="K19" s="305"/>
      <c r="L19" s="673"/>
      <c r="N19" s="305"/>
      <c r="O19" s="673"/>
      <c r="P19">
        <v>15</v>
      </c>
      <c r="Q19" s="305"/>
      <c r="R19" s="673"/>
      <c r="S19" s="274">
        <f t="shared" si="2"/>
        <v>0</v>
      </c>
      <c r="T19" s="274" t="str">
        <f t="shared" si="0"/>
        <v>Windows</v>
      </c>
      <c r="U19" s="282">
        <f t="shared" si="1"/>
        <v>0</v>
      </c>
      <c r="V19" s="243"/>
    </row>
    <row r="20" spans="2:23" ht="15" customHeight="1" outlineLevel="1">
      <c r="B20" s="7"/>
      <c r="C20" s="7"/>
      <c r="D20" s="201" t="s">
        <v>920</v>
      </c>
      <c r="E20" s="523">
        <v>0</v>
      </c>
      <c r="F20" s="523">
        <f>48.22+(170-118)+137.5</f>
        <v>237.72</v>
      </c>
      <c r="G20" s="583">
        <f>137.5+48.22+52</f>
        <v>237.72</v>
      </c>
      <c r="H20" s="305"/>
      <c r="I20" s="673"/>
      <c r="K20" s="305"/>
      <c r="L20" s="673"/>
      <c r="N20" s="305"/>
      <c r="O20" s="673"/>
      <c r="Q20" s="305"/>
      <c r="R20" s="673"/>
      <c r="S20" s="274">
        <f t="shared" si="2"/>
        <v>0</v>
      </c>
      <c r="T20" s="274" t="str">
        <f t="shared" si="0"/>
        <v>Finance</v>
      </c>
      <c r="U20" s="282">
        <f t="shared" si="1"/>
        <v>0</v>
      </c>
      <c r="V20" s="243"/>
    </row>
    <row r="21" spans="2:23" ht="15" customHeight="1" outlineLevel="1">
      <c r="B21" s="7"/>
      <c r="C21" s="7"/>
      <c r="D21" s="201" t="s">
        <v>1297</v>
      </c>
      <c r="E21" s="523">
        <v>0</v>
      </c>
      <c r="F21" s="523">
        <v>0</v>
      </c>
      <c r="G21" s="583"/>
      <c r="H21" s="305"/>
      <c r="I21" s="673"/>
      <c r="K21" s="305"/>
      <c r="L21" s="673"/>
      <c r="N21" s="305"/>
      <c r="O21" s="673"/>
      <c r="Q21" s="305"/>
      <c r="R21" s="673"/>
      <c r="S21" s="274">
        <f t="shared" si="2"/>
        <v>0</v>
      </c>
      <c r="T21" s="274" t="str">
        <f t="shared" si="0"/>
        <v>Skin</v>
      </c>
      <c r="U21" s="282">
        <f t="shared" si="1"/>
        <v>0</v>
      </c>
      <c r="V21" s="243"/>
      <c r="W21" s="11"/>
    </row>
    <row r="22" spans="2:23" ht="15" customHeight="1" outlineLevel="1">
      <c r="B22" s="7"/>
      <c r="C22" s="7"/>
      <c r="D22" s="201" t="s">
        <v>2909</v>
      </c>
      <c r="E22" s="523">
        <v>0</v>
      </c>
      <c r="F22" s="523">
        <v>45.79</v>
      </c>
      <c r="G22" s="583">
        <v>45.79</v>
      </c>
      <c r="H22" s="305"/>
      <c r="I22" s="673"/>
      <c r="K22" s="305"/>
      <c r="L22" s="673"/>
      <c r="N22" s="305"/>
      <c r="O22" s="673"/>
      <c r="Q22" s="305"/>
      <c r="R22" s="673"/>
      <c r="S22" s="274">
        <f t="shared" si="2"/>
        <v>0</v>
      </c>
      <c r="T22" s="274" t="str">
        <f t="shared" si="0"/>
        <v>Kris Phone</v>
      </c>
      <c r="U22" s="282">
        <f t="shared" si="1"/>
        <v>0</v>
      </c>
      <c r="V22" s="243"/>
      <c r="W22" s="11"/>
    </row>
    <row r="23" spans="2:23" ht="15" customHeight="1" outlineLevel="1">
      <c r="B23" s="7"/>
      <c r="C23" s="7"/>
      <c r="D23" s="201" t="s">
        <v>604</v>
      </c>
      <c r="E23" s="523">
        <v>0</v>
      </c>
      <c r="F23" s="523">
        <f>18+100.16</f>
        <v>118.16</v>
      </c>
      <c r="G23" s="583">
        <f>100.16</f>
        <v>100.16</v>
      </c>
      <c r="H23" s="305"/>
      <c r="I23" s="673"/>
      <c r="K23" s="305"/>
      <c r="L23" s="673">
        <f>18</f>
        <v>18</v>
      </c>
      <c r="N23" s="305"/>
      <c r="O23" s="673"/>
      <c r="P23">
        <v>100.16</v>
      </c>
      <c r="Q23" s="305"/>
      <c r="R23" s="673"/>
      <c r="S23" s="274">
        <f t="shared" si="2"/>
        <v>-100.16</v>
      </c>
      <c r="T23" s="274" t="str">
        <f t="shared" si="0"/>
        <v>Health</v>
      </c>
      <c r="U23" s="282">
        <f t="shared" si="1"/>
        <v>100.16</v>
      </c>
      <c r="V23" s="243"/>
      <c r="W23" s="11"/>
    </row>
    <row r="24" spans="2:23" ht="15" customHeight="1" outlineLevel="1">
      <c r="B24" s="7"/>
      <c r="C24" s="7"/>
      <c r="D24" s="201" t="s">
        <v>590</v>
      </c>
      <c r="E24" s="523">
        <v>0</v>
      </c>
      <c r="F24" s="523">
        <v>50</v>
      </c>
      <c r="G24" s="583">
        <v>50</v>
      </c>
      <c r="H24" s="305"/>
      <c r="I24" s="673"/>
      <c r="K24" s="305"/>
      <c r="L24" s="673"/>
      <c r="N24" s="305"/>
      <c r="O24" s="673"/>
      <c r="Q24" s="305"/>
      <c r="R24" s="673"/>
      <c r="S24" s="274">
        <f t="shared" si="2"/>
        <v>0</v>
      </c>
      <c r="T24" s="274" t="str">
        <f t="shared" si="0"/>
        <v>Contingency</v>
      </c>
      <c r="U24" s="282">
        <f t="shared" si="1"/>
        <v>0</v>
      </c>
      <c r="V24" s="243"/>
      <c r="W24" s="11"/>
    </row>
    <row r="25" spans="2:23" ht="15" customHeight="1" outlineLevel="1">
      <c r="B25" s="7"/>
      <c r="C25" s="7"/>
      <c r="D25" s="201" t="s">
        <v>781</v>
      </c>
      <c r="E25" s="523">
        <v>0</v>
      </c>
      <c r="F25" s="523">
        <f>10.49+18+4.99+0.99+12+20+1.95+13.95</f>
        <v>82.37</v>
      </c>
      <c r="G25" s="681">
        <f>12+18+1.79+10.49+5.99</f>
        <v>48.27</v>
      </c>
      <c r="H25" s="305"/>
      <c r="I25" s="673"/>
      <c r="K25" s="305"/>
      <c r="L25" s="673"/>
      <c r="N25" s="305"/>
      <c r="O25" s="673">
        <v>20</v>
      </c>
      <c r="P25">
        <v>13.4</v>
      </c>
      <c r="Q25" s="305"/>
      <c r="R25" s="673"/>
      <c r="S25" s="274">
        <f t="shared" si="2"/>
        <v>0.69999999999998863</v>
      </c>
      <c r="T25" s="274" t="str">
        <f t="shared" si="0"/>
        <v>Subscriptions</v>
      </c>
      <c r="U25" s="282">
        <f t="shared" si="1"/>
        <v>0</v>
      </c>
      <c r="V25" s="243"/>
    </row>
    <row r="26" spans="2:23" ht="15" customHeight="1">
      <c r="B26" s="118"/>
      <c r="C26" s="118"/>
      <c r="D26" s="188"/>
      <c r="G26" s="583"/>
      <c r="H26" s="305"/>
      <c r="I26" s="673"/>
      <c r="K26" s="305"/>
      <c r="L26" s="673"/>
      <c r="N26" s="305"/>
      <c r="O26" s="673"/>
      <c r="Q26" s="305"/>
      <c r="R26" s="673"/>
      <c r="S26" s="273"/>
      <c r="T26" s="273"/>
      <c r="U26" s="282"/>
    </row>
    <row r="27" spans="2:23" ht="15" customHeight="1">
      <c r="B27" s="736" t="str">
        <f>_xlfn.CONCAT("Savings - 20 - ",G50*0.2," / Actual = ",D28," (",ROUND((D28/G50)*100,2),")")</f>
        <v>Savings - 20 - 1636.094 / Actual = 976.5 (11.94)</v>
      </c>
      <c r="C27" s="736"/>
      <c r="D27" s="736"/>
      <c r="E27" s="736"/>
      <c r="F27" s="320"/>
      <c r="G27" s="583"/>
      <c r="H27" s="305"/>
      <c r="I27" s="673"/>
      <c r="K27" s="305"/>
      <c r="L27" s="673"/>
      <c r="N27" s="305"/>
      <c r="O27" s="673"/>
      <c r="Q27" s="305"/>
      <c r="R27" s="673"/>
      <c r="S27" s="274"/>
      <c r="T27" s="274"/>
      <c r="U27" s="282"/>
    </row>
    <row r="28" spans="2:23" ht="15" customHeight="1">
      <c r="B28" s="727" t="str">
        <f>IF(ISNUMBER((SEARCH("Over",C$5))),"Operating under budget","Operating over budget")</f>
        <v>Operating over budget</v>
      </c>
      <c r="C28" s="727"/>
      <c r="D28" s="759">
        <f>F29</f>
        <v>976.5</v>
      </c>
      <c r="E28" s="759"/>
      <c r="F28" s="319"/>
      <c r="G28" s="583"/>
      <c r="H28" s="305"/>
      <c r="I28" s="673"/>
      <c r="K28" s="305"/>
      <c r="L28" s="673"/>
      <c r="N28" s="305"/>
      <c r="O28" s="673"/>
      <c r="Q28" s="305"/>
      <c r="R28" s="673"/>
      <c r="S28" s="285">
        <f>S29</f>
        <v>472.19999999999993</v>
      </c>
      <c r="T28" s="285" t="s">
        <v>895</v>
      </c>
      <c r="U28" s="282">
        <f>SUM(U29:U29)</f>
        <v>0</v>
      </c>
      <c r="V28">
        <v>617</v>
      </c>
      <c r="W28" s="243">
        <f>V28-542</f>
        <v>75</v>
      </c>
    </row>
    <row r="29" spans="2:23" ht="15" customHeight="1" outlineLevel="1">
      <c r="B29" s="7" t="str">
        <f>"20% : " &amp; E$50*0.2</f>
        <v>20% : 2581.01</v>
      </c>
      <c r="C29" s="7" t="str">
        <f>"20% : " &amp; E$50*0.2</f>
        <v>20% : 2581.01</v>
      </c>
      <c r="D29" s="300" t="s">
        <v>183</v>
      </c>
      <c r="E29" s="523">
        <v>59.09</v>
      </c>
      <c r="F29" s="523">
        <f>SUM(F30:F38)</f>
        <v>976.5</v>
      </c>
      <c r="G29" s="679"/>
      <c r="H29" s="305"/>
      <c r="I29" s="673"/>
      <c r="K29" s="305"/>
      <c r="L29" s="673"/>
      <c r="N29" s="305"/>
      <c r="O29" s="673"/>
      <c r="Q29" s="305"/>
      <c r="R29" s="673"/>
      <c r="S29" s="274">
        <f>SUM(S30:S38)</f>
        <v>472.19999999999993</v>
      </c>
      <c r="T29" s="274" t="str">
        <f t="shared" ref="T29:T38" si="3">D29</f>
        <v>Savings</v>
      </c>
      <c r="U29" s="282">
        <v>0</v>
      </c>
      <c r="V29" s="495"/>
      <c r="W29" s="243"/>
    </row>
    <row r="30" spans="2:23" ht="15" customHeight="1" outlineLevel="1">
      <c r="B30" s="7"/>
      <c r="C30" s="7"/>
      <c r="D30" s="300" t="s">
        <v>690</v>
      </c>
      <c r="E30" s="523">
        <v>0</v>
      </c>
      <c r="F30" s="523">
        <v>0</v>
      </c>
      <c r="G30" s="583"/>
      <c r="H30" s="305"/>
      <c r="I30" s="673"/>
      <c r="K30" s="305"/>
      <c r="L30" s="673"/>
      <c r="N30" s="305"/>
      <c r="O30" s="673"/>
      <c r="Q30" s="315"/>
      <c r="R30" s="685"/>
      <c r="S30" s="274">
        <f>SUM(E30:F30)-SUM(G30:Q30)</f>
        <v>0</v>
      </c>
      <c r="T30" s="274" t="str">
        <f t="shared" si="3"/>
        <v>Cars</v>
      </c>
      <c r="U30" s="282"/>
      <c r="V30" s="243"/>
      <c r="W30" s="243"/>
    </row>
    <row r="31" spans="2:23" ht="15" customHeight="1" outlineLevel="1">
      <c r="B31" s="7"/>
      <c r="C31" s="7"/>
      <c r="D31" s="300" t="s">
        <v>590</v>
      </c>
      <c r="E31" s="523">
        <v>0</v>
      </c>
      <c r="F31" s="523">
        <v>0</v>
      </c>
      <c r="G31" s="583"/>
      <c r="H31" s="305"/>
      <c r="I31" s="673"/>
      <c r="K31" s="305"/>
      <c r="L31" s="673"/>
      <c r="N31" s="305"/>
      <c r="O31" s="673"/>
      <c r="Q31" s="315"/>
      <c r="R31" s="685"/>
      <c r="S31" s="274">
        <f>SUM(E31:F31)-SUM(G31:Q31)-U50</f>
        <v>-124.82000000000002</v>
      </c>
      <c r="T31" s="274" t="str">
        <f t="shared" si="3"/>
        <v>Contingency</v>
      </c>
      <c r="U31" s="282"/>
      <c r="W31" s="243"/>
    </row>
    <row r="32" spans="2:23" ht="15" customHeight="1" outlineLevel="1">
      <c r="B32" s="7"/>
      <c r="C32" s="7"/>
      <c r="D32" s="300" t="s">
        <v>604</v>
      </c>
      <c r="E32" s="523">
        <v>0</v>
      </c>
      <c r="F32" s="523">
        <v>0</v>
      </c>
      <c r="G32" s="583"/>
      <c r="H32" s="305"/>
      <c r="I32" s="673"/>
      <c r="K32" s="305"/>
      <c r="L32" s="673"/>
      <c r="N32" s="305"/>
      <c r="O32" s="673"/>
      <c r="Q32" s="315"/>
      <c r="R32" s="685"/>
      <c r="S32" s="274">
        <f>SUM(E32:F32)-SUM(G32:Q32)-U51</f>
        <v>0</v>
      </c>
      <c r="T32" s="274" t="str">
        <f t="shared" si="3"/>
        <v>Health</v>
      </c>
      <c r="U32" s="282"/>
    </row>
    <row r="33" spans="2:23" ht="15" customHeight="1" outlineLevel="1">
      <c r="B33" s="7"/>
      <c r="C33" s="7"/>
      <c r="D33" s="300" t="s">
        <v>1486</v>
      </c>
      <c r="E33" s="523">
        <v>0</v>
      </c>
      <c r="F33" s="523">
        <v>0</v>
      </c>
      <c r="G33" s="583"/>
      <c r="H33" s="305"/>
      <c r="I33" s="673"/>
      <c r="K33" s="305"/>
      <c r="L33" s="673"/>
      <c r="N33" s="305"/>
      <c r="O33" s="673"/>
      <c r="Q33" s="315"/>
      <c r="R33" s="685"/>
      <c r="S33" s="274">
        <f t="shared" ref="S33:S38" si="4">SUM(E33:F33)-SUM(G33:Q33)</f>
        <v>0</v>
      </c>
      <c r="T33" s="274" t="str">
        <f t="shared" si="3"/>
        <v>TV</v>
      </c>
      <c r="U33" s="282"/>
    </row>
    <row r="34" spans="2:23" ht="15" customHeight="1" outlineLevel="1">
      <c r="B34" s="7"/>
      <c r="C34" s="7"/>
      <c r="D34" s="300" t="s">
        <v>1296</v>
      </c>
      <c r="E34" s="523">
        <v>0</v>
      </c>
      <c r="F34" s="523">
        <f>600</f>
        <v>600</v>
      </c>
      <c r="G34" s="583"/>
      <c r="H34" s="305"/>
      <c r="I34" s="673"/>
      <c r="K34" s="305"/>
      <c r="L34" s="673"/>
      <c r="N34" s="305"/>
      <c r="O34" s="673"/>
      <c r="Q34" s="315"/>
      <c r="R34" s="685"/>
      <c r="S34" s="274">
        <f t="shared" si="4"/>
        <v>600</v>
      </c>
      <c r="T34" s="274" t="str">
        <f t="shared" si="3"/>
        <v>Offset</v>
      </c>
      <c r="U34" s="282"/>
    </row>
    <row r="35" spans="2:23" ht="15" customHeight="1" outlineLevel="1">
      <c r="B35" s="7"/>
      <c r="C35" s="7"/>
      <c r="D35" s="300" t="s">
        <v>1408</v>
      </c>
      <c r="E35" s="523">
        <v>0</v>
      </c>
      <c r="F35" s="523">
        <v>0</v>
      </c>
      <c r="G35" s="583"/>
      <c r="H35" s="305">
        <f>180.4+118.18</f>
        <v>298.58000000000004</v>
      </c>
      <c r="I35" s="673"/>
      <c r="K35" s="305"/>
      <c r="L35" s="673"/>
      <c r="N35" s="305"/>
      <c r="O35" s="673"/>
      <c r="Q35" s="315"/>
      <c r="R35" s="685"/>
      <c r="S35" s="274">
        <f t="shared" si="4"/>
        <v>-298.58000000000004</v>
      </c>
      <c r="T35" s="274" t="str">
        <f t="shared" si="3"/>
        <v>Vietnam</v>
      </c>
      <c r="U35" s="282"/>
    </row>
    <row r="36" spans="2:23" ht="15" customHeight="1" outlineLevel="1">
      <c r="B36" s="7"/>
      <c r="C36" s="7"/>
      <c r="D36" s="300" t="s">
        <v>701</v>
      </c>
      <c r="E36" s="523">
        <v>59.09</v>
      </c>
      <c r="F36" s="523">
        <f>830-300-300</f>
        <v>230</v>
      </c>
      <c r="G36" s="583">
        <v>90</v>
      </c>
      <c r="H36" s="305">
        <f>29.99</f>
        <v>29.99</v>
      </c>
      <c r="I36" s="673"/>
      <c r="K36" s="305"/>
      <c r="L36" s="673"/>
      <c r="N36" s="305"/>
      <c r="O36" s="673"/>
      <c r="P36">
        <v>20</v>
      </c>
      <c r="Q36" s="315"/>
      <c r="R36" s="685"/>
      <c r="S36" s="274">
        <f t="shared" si="4"/>
        <v>149.10000000000002</v>
      </c>
      <c r="T36" s="274" t="str">
        <f t="shared" si="3"/>
        <v>Gift</v>
      </c>
      <c r="U36" s="282"/>
    </row>
    <row r="37" spans="2:23" ht="15" customHeight="1" outlineLevel="1">
      <c r="B37" s="7"/>
      <c r="C37" s="7"/>
      <c r="D37" s="300" t="s">
        <v>869</v>
      </c>
      <c r="E37" s="523">
        <v>0</v>
      </c>
      <c r="F37" s="523">
        <v>100</v>
      </c>
      <c r="G37" s="583"/>
      <c r="H37" s="305"/>
      <c r="I37" s="673"/>
      <c r="K37" s="305"/>
      <c r="L37" s="673"/>
      <c r="N37" s="305"/>
      <c r="O37" s="673"/>
      <c r="Q37" s="315"/>
      <c r="R37" s="685"/>
      <c r="S37" s="274">
        <f t="shared" si="4"/>
        <v>100</v>
      </c>
      <c r="T37" s="274" t="str">
        <f t="shared" si="3"/>
        <v>Scotland</v>
      </c>
      <c r="U37" s="282"/>
    </row>
    <row r="38" spans="2:23" ht="15" customHeight="1" outlineLevel="1">
      <c r="B38" s="7"/>
      <c r="C38" s="7"/>
      <c r="D38" s="300" t="s">
        <v>1391</v>
      </c>
      <c r="E38" s="523">
        <v>0</v>
      </c>
      <c r="F38" s="523">
        <v>46.5</v>
      </c>
      <c r="G38" s="583"/>
      <c r="H38" s="305"/>
      <c r="I38" s="673"/>
      <c r="K38" s="305"/>
      <c r="L38" s="673"/>
      <c r="N38" s="305"/>
      <c r="O38" s="673"/>
      <c r="Q38" s="315"/>
      <c r="R38" s="685"/>
      <c r="S38" s="274">
        <f t="shared" si="4"/>
        <v>46.5</v>
      </c>
      <c r="T38" s="274" t="str">
        <f t="shared" si="3"/>
        <v>Avios</v>
      </c>
      <c r="U38" s="282"/>
      <c r="W38" s="243">
        <f>S50-S4</f>
        <v>472.81999999999971</v>
      </c>
    </row>
    <row r="39" spans="2:23" ht="15" customHeight="1">
      <c r="B39" s="118"/>
      <c r="C39" s="118"/>
      <c r="G39" s="583"/>
      <c r="H39" s="305"/>
      <c r="I39" s="673"/>
      <c r="K39" s="305"/>
      <c r="L39" s="673"/>
      <c r="N39" s="305"/>
      <c r="O39" s="673"/>
      <c r="Q39" s="305"/>
      <c r="R39" s="673"/>
      <c r="S39" s="273"/>
      <c r="T39" s="273"/>
      <c r="U39" s="282"/>
      <c r="V39" s="243"/>
    </row>
    <row r="40" spans="2:23" ht="15" customHeight="1">
      <c r="B40" s="727" t="str">
        <f>_xlfn.CONCAT("Wants - 30 - ",G50*0.3," / Actual = ",D41," (",ROUND((D41/G50)*100,2),")")</f>
        <v>Wants - 30 - 2454.141 / Actual = 3562.6 (43.55)</v>
      </c>
      <c r="C40" s="727"/>
      <c r="D40" s="727"/>
      <c r="E40" s="727"/>
      <c r="F40" s="318"/>
      <c r="G40" s="583"/>
      <c r="H40" s="305"/>
      <c r="I40" s="673"/>
      <c r="K40" s="305"/>
      <c r="L40" s="673"/>
      <c r="N40" s="305"/>
      <c r="O40" s="673"/>
      <c r="Q40" s="305"/>
      <c r="R40" s="673"/>
      <c r="S40" s="273"/>
      <c r="T40" s="273"/>
      <c r="U40" s="282"/>
    </row>
    <row r="41" spans="2:23" ht="15" customHeight="1">
      <c r="B41" s="727" t="str">
        <f>IF(ISNUMBER((SEARCH("Over",B$5))),"Operating under budget","Operating over budget")</f>
        <v>Operating over budget</v>
      </c>
      <c r="C41" s="727"/>
      <c r="D41" s="759">
        <f>(E$50-D5-D28-E49)</f>
        <v>3562.6000000000004</v>
      </c>
      <c r="E41" s="727"/>
      <c r="F41" s="319"/>
      <c r="G41" s="583"/>
      <c r="H41" s="305"/>
      <c r="I41" s="673"/>
      <c r="K41" s="305"/>
      <c r="L41" s="673"/>
      <c r="N41" s="305"/>
      <c r="O41" s="673"/>
      <c r="Q41" s="305"/>
      <c r="R41" s="673"/>
      <c r="S41" s="285">
        <f>0</f>
        <v>0</v>
      </c>
      <c r="T41" s="285" t="s">
        <v>899</v>
      </c>
      <c r="U41" s="282">
        <f>SUM(U42:U42)</f>
        <v>0</v>
      </c>
      <c r="W41" s="11"/>
    </row>
    <row r="42" spans="2:23" ht="18" outlineLevel="1">
      <c r="B42" s="7"/>
      <c r="C42" s="284"/>
      <c r="D42" s="13" t="s">
        <v>922</v>
      </c>
      <c r="E42" s="523">
        <v>0</v>
      </c>
      <c r="F42" s="523">
        <f>D41-F48-F46-F47-F43-F44-F45</f>
        <v>220.08000000000038</v>
      </c>
      <c r="G42" s="681">
        <f>20+19.1+1.2</f>
        <v>40.300000000000004</v>
      </c>
      <c r="H42" s="305">
        <f>2+4.5+4.99</f>
        <v>11.49</v>
      </c>
      <c r="I42" s="673">
        <v>20.25</v>
      </c>
      <c r="K42" s="305">
        <v>35.61</v>
      </c>
      <c r="L42" s="673">
        <f>2+22</f>
        <v>24</v>
      </c>
      <c r="N42" s="305">
        <f>6.68+9.99+9.53</f>
        <v>26.200000000000003</v>
      </c>
      <c r="O42" s="673"/>
      <c r="Q42" s="305"/>
      <c r="R42" s="673"/>
      <c r="S42" s="274">
        <f>SUM(E42:F42)-SUM(G42:Q42)+SUM(S43:S45)</f>
        <v>3.5527136788005009E-13</v>
      </c>
      <c r="T42" s="274" t="str">
        <f t="shared" ref="T42:T48" si="5">D42</f>
        <v>Matt Fun</v>
      </c>
      <c r="U42" s="271">
        <f>IF(F42-SUM(G42:Q42)&lt;=0,(F42-SUM(G42:Q42))*-1,0)</f>
        <v>0</v>
      </c>
      <c r="W42" s="11"/>
    </row>
    <row r="43" spans="2:23" ht="18" outlineLevel="1">
      <c r="B43" s="7"/>
      <c r="C43" s="284"/>
      <c r="D43" s="13" t="s">
        <v>1630</v>
      </c>
      <c r="E43" s="523">
        <v>0</v>
      </c>
      <c r="F43" s="523">
        <v>50</v>
      </c>
      <c r="G43" s="681"/>
      <c r="H43" s="305">
        <f>20.59</f>
        <v>20.59</v>
      </c>
      <c r="I43" s="673">
        <v>63.14</v>
      </c>
      <c r="K43" s="305"/>
      <c r="L43" s="673"/>
      <c r="N43" s="305"/>
      <c r="O43" s="673"/>
      <c r="Q43" s="305"/>
      <c r="R43" s="673"/>
      <c r="S43" s="274">
        <f t="shared" ref="S43:S48" si="6">SUM(E43:F43)-SUM(G43:Q43)</f>
        <v>-33.730000000000004</v>
      </c>
      <c r="T43" s="274" t="str">
        <f t="shared" si="5"/>
        <v>Date night</v>
      </c>
      <c r="U43" s="271"/>
      <c r="W43" s="11"/>
    </row>
    <row r="44" spans="2:23" ht="18" outlineLevel="1">
      <c r="B44" s="7"/>
      <c r="C44" s="284"/>
      <c r="D44" s="13" t="s">
        <v>2372</v>
      </c>
      <c r="E44" s="523">
        <v>0</v>
      </c>
      <c r="F44" s="523">
        <v>25</v>
      </c>
      <c r="G44" s="681"/>
      <c r="H44" s="305">
        <f>8.2+6.6+1.8</f>
        <v>16.599999999999998</v>
      </c>
      <c r="I44" s="673">
        <f>25.25+3+8.65</f>
        <v>36.9</v>
      </c>
      <c r="K44" s="305"/>
      <c r="L44" s="673"/>
      <c r="N44" s="305"/>
      <c r="O44" s="673"/>
      <c r="Q44" s="305"/>
      <c r="R44" s="673"/>
      <c r="S44" s="274">
        <f t="shared" si="6"/>
        <v>-28.5</v>
      </c>
      <c r="T44" s="274" t="str">
        <f t="shared" si="5"/>
        <v>Uni bois</v>
      </c>
      <c r="U44" s="271"/>
      <c r="W44" s="11"/>
    </row>
    <row r="45" spans="2:23" ht="18" outlineLevel="1">
      <c r="B45" s="7"/>
      <c r="C45" s="284"/>
      <c r="D45" s="13" t="s">
        <v>3282</v>
      </c>
      <c r="E45" s="523">
        <v>0</v>
      </c>
      <c r="F45" s="523">
        <f>50-20</f>
        <v>30</v>
      </c>
      <c r="G45" s="681">
        <v>20</v>
      </c>
      <c r="H45" s="305"/>
      <c r="I45" s="673"/>
      <c r="K45" s="305"/>
      <c r="L45" s="673">
        <f>8+2</f>
        <v>10</v>
      </c>
      <c r="N45" s="305"/>
      <c r="O45" s="673"/>
      <c r="Q45" s="305"/>
      <c r="R45" s="673"/>
      <c r="S45" s="274">
        <f t="shared" si="6"/>
        <v>0</v>
      </c>
      <c r="T45" s="274" t="str">
        <f t="shared" si="5"/>
        <v>Zach Christening</v>
      </c>
      <c r="U45" s="271"/>
      <c r="W45" s="11"/>
    </row>
    <row r="46" spans="2:23" ht="18" outlineLevel="1">
      <c r="B46" s="7"/>
      <c r="C46" s="284"/>
      <c r="D46" s="13" t="s">
        <v>814</v>
      </c>
      <c r="E46" s="523">
        <f>4665.49-186</f>
        <v>4479.49</v>
      </c>
      <c r="F46" s="523">
        <v>0</v>
      </c>
      <c r="G46" s="681">
        <f>F54+1185.27</f>
        <v>4479.49</v>
      </c>
      <c r="H46" s="305"/>
      <c r="I46" s="673"/>
      <c r="K46" s="305"/>
      <c r="L46" s="673"/>
      <c r="N46" s="305"/>
      <c r="O46" s="673"/>
      <c r="Q46" s="305"/>
      <c r="R46" s="673"/>
      <c r="S46" s="274">
        <f t="shared" si="6"/>
        <v>0</v>
      </c>
      <c r="T46" s="274" t="str">
        <f t="shared" si="5"/>
        <v>CC</v>
      </c>
      <c r="U46" s="282"/>
      <c r="W46" s="11"/>
    </row>
    <row r="47" spans="2:23" ht="18" outlineLevel="1">
      <c r="B47" s="7"/>
      <c r="C47" s="284"/>
      <c r="D47" s="13" t="s">
        <v>3088</v>
      </c>
      <c r="E47" s="523">
        <f>186</f>
        <v>186</v>
      </c>
      <c r="F47" s="660">
        <f>50+118+2700-46.48</f>
        <v>2821.52</v>
      </c>
      <c r="G47" s="681">
        <v>3007.52</v>
      </c>
      <c r="H47" s="305"/>
      <c r="I47" s="673"/>
      <c r="K47" s="305"/>
      <c r="L47" s="673"/>
      <c r="N47" s="305"/>
      <c r="O47" s="673"/>
      <c r="Q47" s="305"/>
      <c r="R47" s="673"/>
      <c r="S47" s="274">
        <f t="shared" si="6"/>
        <v>0</v>
      </c>
      <c r="T47" s="274" t="str">
        <f t="shared" si="5"/>
        <v>Rollover Strategy</v>
      </c>
      <c r="U47" s="282"/>
      <c r="W47" s="11"/>
    </row>
    <row r="48" spans="2:23" ht="18" outlineLevel="1">
      <c r="B48" s="7"/>
      <c r="C48" s="284"/>
      <c r="D48" s="13" t="s">
        <v>152</v>
      </c>
      <c r="E48" s="523">
        <v>0</v>
      </c>
      <c r="F48" s="523">
        <f>70+12+5+32+90+162+45</f>
        <v>416</v>
      </c>
      <c r="G48" s="681">
        <v>90</v>
      </c>
      <c r="H48" s="305">
        <f>69.34+6.7+12.4+5.03</f>
        <v>93.470000000000013</v>
      </c>
      <c r="I48" s="673"/>
      <c r="K48" s="305">
        <f>5.89</f>
        <v>5.89</v>
      </c>
      <c r="L48" s="673"/>
      <c r="N48" s="305">
        <f>33.98+9.49+162</f>
        <v>205.47</v>
      </c>
      <c r="O48" s="673"/>
      <c r="Q48" s="305">
        <f>14.8+6.69</f>
        <v>21.490000000000002</v>
      </c>
      <c r="R48" s="673"/>
      <c r="S48" s="274">
        <f t="shared" si="6"/>
        <v>-0.32000000000005002</v>
      </c>
      <c r="T48" s="274" t="str">
        <f t="shared" si="5"/>
        <v>Kris</v>
      </c>
      <c r="U48" s="271">
        <f>IF(F48-SUM(G48:Q48)&lt;=0,(F48-SUM(G48:Q48))*-1,0)</f>
        <v>0.32000000000005002</v>
      </c>
    </row>
    <row r="49" spans="2:22">
      <c r="B49" s="118"/>
      <c r="C49" s="118"/>
      <c r="E49" s="523">
        <f>E29+E46+E47</f>
        <v>4724.58</v>
      </c>
      <c r="G49" s="682"/>
      <c r="H49" s="586"/>
      <c r="I49" s="587"/>
      <c r="J49" s="586"/>
      <c r="K49" s="683"/>
      <c r="L49" s="684"/>
      <c r="M49" s="586"/>
      <c r="N49" s="683"/>
      <c r="O49" s="684"/>
      <c r="P49" s="586"/>
      <c r="Q49" s="683"/>
      <c r="R49" s="684"/>
      <c r="S49" s="273"/>
      <c r="T49" s="273"/>
      <c r="U49" s="282"/>
    </row>
    <row r="50" spans="2:22" ht="18">
      <c r="B50" s="728" t="s">
        <v>817</v>
      </c>
      <c r="C50" s="728"/>
      <c r="D50" s="728"/>
      <c r="E50" s="529">
        <f>G50+J50+M50+P50+Q50+E49</f>
        <v>12905.05</v>
      </c>
      <c r="F50" s="530"/>
      <c r="G50" s="271">
        <f>6354.47+20+(910+50+140+20+100+100)+70+12+5+32+90+162+40+30+45</f>
        <v>8180.47</v>
      </c>
      <c r="H50" s="282"/>
      <c r="I50" s="282"/>
      <c r="J50" s="271"/>
      <c r="K50" s="271"/>
      <c r="L50" s="271"/>
      <c r="M50" s="271"/>
      <c r="N50" s="271"/>
      <c r="O50" s="271"/>
      <c r="P50" s="271"/>
      <c r="Q50" s="271"/>
      <c r="R50" s="271"/>
      <c r="S50" s="314">
        <f>ROUND(S5+S41+S28+IF(S42&lt;0,0,S42)+S48+S4+S46+S47,2)</f>
        <v>2222.08</v>
      </c>
      <c r="T50" s="274"/>
      <c r="U50" s="282">
        <f>SUM(U41,U28,U5)</f>
        <v>124.82000000000002</v>
      </c>
    </row>
    <row r="51" spans="2:22" ht="18">
      <c r="B51" s="118"/>
      <c r="C51" s="7"/>
      <c r="D51" s="13" t="s">
        <v>1451</v>
      </c>
      <c r="G51" s="523"/>
      <c r="H51" s="243"/>
      <c r="I51" s="243"/>
      <c r="N51" s="243"/>
      <c r="O51" s="243"/>
      <c r="S51" s="610">
        <f>S50-SUM(S4:S5)-S42-S28</f>
        <v>-0.32000000000061846</v>
      </c>
      <c r="T51" s="7" t="str">
        <f>IF(S51&lt;0, "DEFICIT", "")</f>
        <v>DEFICIT</v>
      </c>
    </row>
    <row r="52" spans="2:22" ht="14.4">
      <c r="B52" s="729"/>
      <c r="C52" s="729"/>
      <c r="D52" s="729"/>
      <c r="E52" s="729"/>
      <c r="F52" s="729"/>
      <c r="G52" s="729"/>
      <c r="H52" s="297"/>
      <c r="I52" s="297"/>
      <c r="M52" s="729"/>
      <c r="N52" s="729"/>
      <c r="O52" s="729"/>
      <c r="P52" s="729"/>
      <c r="Q52" s="729"/>
      <c r="R52" s="729"/>
      <c r="S52" s="729"/>
      <c r="T52" s="297"/>
    </row>
    <row r="53" spans="2:22" ht="15" customHeight="1">
      <c r="B53" s="726" t="s">
        <v>955</v>
      </c>
      <c r="C53" s="726"/>
      <c r="F53" s="348" t="s">
        <v>1324</v>
      </c>
      <c r="G53" t="s">
        <v>1325</v>
      </c>
      <c r="H53" s="243" t="s">
        <v>1451</v>
      </c>
      <c r="I53" s="243"/>
      <c r="M53" s="212"/>
      <c r="N53" s="212"/>
      <c r="O53" s="212"/>
      <c r="P53" s="243"/>
      <c r="Q53" s="476" t="s">
        <v>3318</v>
      </c>
      <c r="R53" s="476"/>
      <c r="S53" s="316">
        <v>46104</v>
      </c>
      <c r="T53" s="7">
        <f ca="1">DATEDIF(S53,NOW(),"d")</f>
        <v>147</v>
      </c>
      <c r="U53">
        <v>15</v>
      </c>
      <c r="V53" t="s">
        <v>3316</v>
      </c>
    </row>
    <row r="54" spans="2:22">
      <c r="B54" s="523"/>
      <c r="C54" s="38"/>
      <c r="D54" s="726" t="s">
        <v>887</v>
      </c>
      <c r="E54" s="726"/>
      <c r="F54" s="670">
        <v>3294.22</v>
      </c>
      <c r="G54" s="501">
        <f>F54+H4</f>
        <v>3918.2424999999998</v>
      </c>
      <c r="H54" s="369"/>
      <c r="I54" s="369"/>
      <c r="J54" s="243"/>
      <c r="N54" s="349"/>
      <c r="O54" s="349"/>
      <c r="Q54" s="637" t="s">
        <v>3293</v>
      </c>
      <c r="R54" s="637"/>
      <c r="S54" s="638">
        <v>46101</v>
      </c>
      <c r="T54" s="639">
        <f ca="1">DATEDIF(S54,NOW(),"d")</f>
        <v>150</v>
      </c>
      <c r="U54" s="514">
        <v>96</v>
      </c>
      <c r="V54" s="514" t="s">
        <v>2203</v>
      </c>
    </row>
    <row r="55" spans="2:22" ht="16.2" customHeight="1">
      <c r="E55" s="243" t="s">
        <v>1374</v>
      </c>
      <c r="F55" s="670">
        <v>4192.79</v>
      </c>
      <c r="G55" s="501">
        <f>F55+K4</f>
        <v>4416.0625</v>
      </c>
      <c r="H55" s="501">
        <f>G55-(K4+'JAN-FEB 26'!J4)</f>
        <v>3007.52</v>
      </c>
      <c r="I55" s="501"/>
      <c r="J55" s="243"/>
      <c r="K55" s="353">
        <f>SUM(F42:F45)-SUM(H42:I44)</f>
        <v>156.11000000000038</v>
      </c>
      <c r="N55" s="243"/>
      <c r="O55" s="243"/>
      <c r="P55" s="243"/>
      <c r="Q55" s="358" t="s">
        <v>3291</v>
      </c>
      <c r="R55" s="358"/>
      <c r="S55" s="638">
        <v>46101</v>
      </c>
      <c r="T55" s="639">
        <f ca="1">DATEDIF(S55,NOW(),"d")</f>
        <v>150</v>
      </c>
      <c r="U55">
        <v>11</v>
      </c>
      <c r="V55" t="s">
        <v>3292</v>
      </c>
    </row>
    <row r="56" spans="2:22">
      <c r="B56" s="532"/>
      <c r="E56"/>
      <c r="F56" s="659"/>
      <c r="H56" s="55"/>
      <c r="I56" s="55"/>
      <c r="J56" s="243"/>
      <c r="N56" s="243"/>
      <c r="O56" s="243"/>
      <c r="P56" s="243"/>
      <c r="Q56" s="243"/>
      <c r="R56" s="243"/>
      <c r="T56"/>
    </row>
    <row r="57" spans="2:22">
      <c r="D57" s="243"/>
      <c r="E57"/>
      <c r="F57" s="659"/>
      <c r="G57">
        <f>910</f>
        <v>910</v>
      </c>
      <c r="H57" s="55"/>
      <c r="I57" s="55"/>
      <c r="J57" s="734"/>
      <c r="K57" s="243"/>
      <c r="L57" s="243"/>
      <c r="M57" s="243"/>
      <c r="N57" s="349"/>
      <c r="O57" s="349"/>
      <c r="P57" s="243"/>
      <c r="Q57" s="243"/>
      <c r="R57" s="243"/>
      <c r="T57"/>
      <c r="U57" s="243"/>
    </row>
    <row r="58" spans="2:22">
      <c r="E58" s="243"/>
      <c r="F58" s="523">
        <f>10881.62-99.88</f>
        <v>10781.740000000002</v>
      </c>
      <c r="G58">
        <f>50</f>
        <v>50</v>
      </c>
      <c r="H58" s="55"/>
      <c r="I58" s="55"/>
      <c r="J58" s="734"/>
      <c r="K58" s="243"/>
      <c r="L58" s="243"/>
      <c r="N58" s="243"/>
      <c r="O58" s="243"/>
      <c r="P58" s="656"/>
      <c r="Q58" s="243"/>
      <c r="R58" s="243"/>
      <c r="T58" s="292"/>
      <c r="U58" s="212"/>
    </row>
    <row r="59" spans="2:22" ht="15" customHeight="1">
      <c r="E59" s="243"/>
      <c r="F59" s="658"/>
      <c r="G59">
        <f>SUM(G57:G58)</f>
        <v>960</v>
      </c>
      <c r="H59" s="55"/>
      <c r="I59" s="55"/>
      <c r="J59" s="243"/>
      <c r="K59" s="243"/>
      <c r="L59" s="243"/>
      <c r="M59" s="243"/>
      <c r="P59" s="243"/>
      <c r="Q59" s="292"/>
      <c r="R59" s="292"/>
      <c r="S59" s="686"/>
      <c r="T59" s="56"/>
      <c r="U59" s="687"/>
    </row>
    <row r="60" spans="2:22" ht="15.45" customHeight="1">
      <c r="D60" s="243"/>
      <c r="E60"/>
      <c r="F60" s="533"/>
      <c r="G60" s="369">
        <f>G59-870</f>
        <v>90</v>
      </c>
      <c r="K60" s="243"/>
      <c r="L60" s="243"/>
      <c r="M60" s="243"/>
      <c r="N60" s="390"/>
      <c r="O60" s="390"/>
      <c r="P60" s="390"/>
      <c r="Q60" s="390"/>
      <c r="R60" s="390"/>
      <c r="T60"/>
    </row>
    <row r="61" spans="2:22" ht="15" customHeight="1">
      <c r="D61" s="726"/>
      <c r="E61" s="726"/>
      <c r="F61" s="660"/>
      <c r="H61" s="55"/>
      <c r="I61" s="55"/>
      <c r="K61" s="243"/>
      <c r="L61" s="243"/>
      <c r="M61" s="243"/>
      <c r="N61" s="243"/>
      <c r="O61" s="243"/>
      <c r="P61" s="243"/>
      <c r="Q61" s="243"/>
    </row>
    <row r="62" spans="2:22" ht="16.2" customHeight="1">
      <c r="E62"/>
      <c r="F62" s="660"/>
      <c r="H62" s="243"/>
      <c r="I62" s="243"/>
      <c r="J62" s="243"/>
      <c r="K62" s="243"/>
      <c r="L62" s="243"/>
    </row>
    <row r="63" spans="2:22" ht="14.7" customHeight="1">
      <c r="B63" s="11"/>
      <c r="D63" s="726" t="s">
        <v>3286</v>
      </c>
      <c r="E63" s="726"/>
      <c r="F63" s="726"/>
      <c r="G63" s="726"/>
      <c r="H63" s="726"/>
      <c r="I63" s="79"/>
      <c r="K63" s="243"/>
      <c r="L63" s="243"/>
      <c r="T63"/>
    </row>
    <row r="64" spans="2:22">
      <c r="B64" s="11"/>
      <c r="D64" s="523"/>
      <c r="E64"/>
      <c r="F64">
        <v>55000</v>
      </c>
      <c r="O64" s="243"/>
      <c r="T64"/>
    </row>
    <row r="65" spans="2:20">
      <c r="B65" s="11"/>
      <c r="D65" s="523"/>
      <c r="E65">
        <f>5.45</f>
        <v>5.45</v>
      </c>
      <c r="F65">
        <v>58000</v>
      </c>
      <c r="O65" s="243"/>
      <c r="T65"/>
    </row>
    <row r="66" spans="2:20">
      <c r="D66" s="523">
        <v>3.5</v>
      </c>
      <c r="E66" s="288">
        <v>4.7500000000000001E-2</v>
      </c>
      <c r="F66">
        <f>F65*(1+E66)</f>
        <v>60755.000000000007</v>
      </c>
      <c r="G66">
        <f>F66-F65</f>
        <v>2755.0000000000073</v>
      </c>
      <c r="H66">
        <f>G66/1000</f>
        <v>2.7550000000000074</v>
      </c>
      <c r="O66" s="243"/>
      <c r="P66" s="243"/>
      <c r="T66"/>
    </row>
    <row r="67" spans="2:20">
      <c r="B67" s="212"/>
      <c r="C67" s="212"/>
      <c r="D67" s="523">
        <v>4.75</v>
      </c>
      <c r="E67"/>
      <c r="F67"/>
      <c r="H67">
        <f>H66*G69</f>
        <v>107.3807166666668</v>
      </c>
      <c r="O67" s="243"/>
      <c r="T67"/>
    </row>
    <row r="68" spans="2:20">
      <c r="C68" s="56"/>
      <c r="D68" s="523"/>
      <c r="E68"/>
      <c r="F68"/>
      <c r="G68">
        <f>3582.46-3465.53</f>
        <v>116.92999999999984</v>
      </c>
      <c r="N68" s="243"/>
      <c r="O68" s="243"/>
      <c r="T68"/>
    </row>
    <row r="69" spans="2:20" ht="15.75" customHeight="1">
      <c r="C69" s="56"/>
      <c r="D69" s="523"/>
      <c r="E69"/>
      <c r="F69"/>
      <c r="G69">
        <f>G68/3</f>
        <v>38.97666666666661</v>
      </c>
      <c r="H69" t="s">
        <v>3226</v>
      </c>
      <c r="N69" s="243"/>
      <c r="O69" s="243"/>
      <c r="P69" s="243"/>
      <c r="T69"/>
    </row>
    <row r="70" spans="2:20">
      <c r="C70" s="56"/>
      <c r="D70" s="523"/>
      <c r="E70"/>
      <c r="F70"/>
      <c r="P70" s="243"/>
      <c r="T70"/>
    </row>
    <row r="71" spans="2:20">
      <c r="C71" s="56"/>
      <c r="D71" s="523"/>
      <c r="E71"/>
      <c r="F71"/>
      <c r="G71" t="s">
        <v>3227</v>
      </c>
      <c r="T71"/>
    </row>
    <row r="72" spans="2:20">
      <c r="C72" s="56"/>
      <c r="D72" s="523"/>
      <c r="E72"/>
      <c r="F72"/>
      <c r="G72" t="s">
        <v>3228</v>
      </c>
      <c r="S72"/>
      <c r="T72"/>
    </row>
    <row r="73" spans="2:20">
      <c r="C73" s="56"/>
      <c r="D73" s="523"/>
      <c r="E73"/>
      <c r="F73"/>
      <c r="G73" t="s">
        <v>596</v>
      </c>
      <c r="H73">
        <v>14</v>
      </c>
      <c r="S73"/>
      <c r="T73"/>
    </row>
    <row r="74" spans="2:20">
      <c r="C74" s="56"/>
      <c r="D74" s="523"/>
      <c r="E74"/>
      <c r="F74"/>
      <c r="G74" t="s">
        <v>2222</v>
      </c>
      <c r="H74">
        <f>72-22</f>
        <v>50</v>
      </c>
      <c r="Q74" s="288"/>
      <c r="R74" s="288"/>
      <c r="S74"/>
      <c r="T74"/>
    </row>
    <row r="75" spans="2:20" ht="14.4">
      <c r="C75" s="56"/>
      <c r="D75" s="212"/>
      <c r="E75"/>
      <c r="F75"/>
      <c r="G75" t="s">
        <v>2223</v>
      </c>
      <c r="H75">
        <v>5</v>
      </c>
      <c r="N75" s="243"/>
      <c r="O75" s="243"/>
      <c r="S75"/>
      <c r="T75"/>
    </row>
    <row r="76" spans="2:20" ht="14.4">
      <c r="C76" s="56"/>
      <c r="E76"/>
      <c r="F76"/>
      <c r="G76" t="s">
        <v>2225</v>
      </c>
      <c r="H76">
        <v>12</v>
      </c>
      <c r="S76"/>
      <c r="T76"/>
    </row>
    <row r="77" spans="2:20" ht="14.4">
      <c r="B77" s="212"/>
      <c r="C77" s="294"/>
      <c r="D77" s="56"/>
      <c r="E77"/>
      <c r="F77"/>
      <c r="G77" t="s">
        <v>2224</v>
      </c>
      <c r="H77">
        <v>9</v>
      </c>
      <c r="S77"/>
      <c r="T77"/>
    </row>
    <row r="78" spans="2:20" ht="15.45" customHeight="1">
      <c r="C78" s="56"/>
      <c r="D78" s="56"/>
      <c r="E78"/>
      <c r="F78"/>
      <c r="P78" s="243"/>
      <c r="S78"/>
      <c r="T78"/>
    </row>
    <row r="79" spans="2:20" ht="14.4">
      <c r="C79" s="56"/>
      <c r="D79" s="56"/>
      <c r="E79" s="407"/>
      <c r="F79"/>
      <c r="N79" s="459"/>
      <c r="O79" s="459"/>
      <c r="P79" s="461"/>
      <c r="S79"/>
      <c r="T79"/>
    </row>
    <row r="80" spans="2:20" ht="14.4">
      <c r="C80" s="56"/>
      <c r="D80" s="56"/>
      <c r="E80" s="407"/>
      <c r="F80"/>
      <c r="G80" t="s">
        <v>3229</v>
      </c>
      <c r="N80" s="459"/>
      <c r="O80" s="459"/>
      <c r="P80" s="461"/>
      <c r="S80"/>
      <c r="T80"/>
    </row>
    <row r="81" spans="3:20" ht="14.4">
      <c r="C81" s="56"/>
      <c r="D81" s="56"/>
      <c r="E81" s="407"/>
      <c r="F81"/>
      <c r="G81" t="s">
        <v>2225</v>
      </c>
      <c r="H81">
        <f>92.79-107.15</f>
        <v>-14.36</v>
      </c>
      <c r="I81" t="s">
        <v>1325</v>
      </c>
      <c r="N81" s="459"/>
      <c r="O81" s="459"/>
      <c r="P81" s="461"/>
      <c r="S81"/>
      <c r="T81"/>
    </row>
    <row r="82" spans="3:20" ht="14.4">
      <c r="C82" s="56"/>
      <c r="D82" s="56"/>
      <c r="E82" s="407"/>
      <c r="F82"/>
      <c r="G82" t="s">
        <v>3231</v>
      </c>
      <c r="H82">
        <f>58-73.44</f>
        <v>-15.439999999999998</v>
      </c>
      <c r="I82" t="s">
        <v>1325</v>
      </c>
      <c r="N82" s="188"/>
      <c r="O82" s="188"/>
      <c r="P82" s="230"/>
      <c r="S82"/>
      <c r="T82"/>
    </row>
    <row r="83" spans="3:20">
      <c r="C83" s="56"/>
      <c r="D83" s="523"/>
      <c r="E83" s="407"/>
      <c r="F83" s="11"/>
      <c r="G83" t="s">
        <v>3281</v>
      </c>
      <c r="H83">
        <f>F11*0.05</f>
        <v>8.4</v>
      </c>
      <c r="I83" s="258" t="s">
        <v>1326</v>
      </c>
      <c r="N83" s="188"/>
      <c r="O83" s="188"/>
      <c r="P83" s="230"/>
      <c r="S83"/>
      <c r="T83"/>
    </row>
    <row r="84" spans="3:20">
      <c r="C84" s="56"/>
      <c r="D84" s="523"/>
      <c r="E84" s="407"/>
      <c r="F84"/>
      <c r="G84" t="s">
        <v>1506</v>
      </c>
      <c r="H84">
        <f>H67*-1</f>
        <v>-107.3807166666668</v>
      </c>
      <c r="I84" t="s">
        <v>1326</v>
      </c>
      <c r="J84">
        <v>77</v>
      </c>
      <c r="N84" s="188"/>
      <c r="O84" s="188"/>
      <c r="P84" s="230"/>
      <c r="S84"/>
      <c r="T84"/>
    </row>
    <row r="85" spans="3:20">
      <c r="D85" s="523"/>
      <c r="E85" s="407"/>
      <c r="F85"/>
      <c r="G85" t="s">
        <v>2222</v>
      </c>
      <c r="H85">
        <v>-50</v>
      </c>
      <c r="I85" t="s">
        <v>1328</v>
      </c>
      <c r="J85">
        <v>77</v>
      </c>
      <c r="N85" s="188"/>
      <c r="O85" s="188"/>
      <c r="P85" s="230"/>
      <c r="S85"/>
      <c r="T85"/>
    </row>
    <row r="86" spans="3:20">
      <c r="D86" s="523"/>
      <c r="E86" s="407"/>
      <c r="F86"/>
      <c r="G86" t="s">
        <v>2224</v>
      </c>
      <c r="H86">
        <v>9</v>
      </c>
      <c r="I86" t="s">
        <v>1328</v>
      </c>
      <c r="K86">
        <v>41</v>
      </c>
      <c r="N86" s="532"/>
      <c r="O86" s="532"/>
      <c r="P86" s="230"/>
      <c r="S86"/>
      <c r="T86"/>
    </row>
    <row r="87" spans="3:20">
      <c r="D87" s="523"/>
      <c r="E87"/>
      <c r="F87"/>
      <c r="G87" t="s">
        <v>3290</v>
      </c>
      <c r="H87">
        <v>-10</v>
      </c>
      <c r="I87" t="s">
        <v>1330</v>
      </c>
      <c r="J87">
        <v>77</v>
      </c>
      <c r="K87">
        <v>51</v>
      </c>
      <c r="N87" s="405"/>
      <c r="O87" s="405"/>
      <c r="P87" s="230"/>
      <c r="S87"/>
      <c r="T87"/>
    </row>
    <row r="88" spans="3:20">
      <c r="D88" s="523"/>
      <c r="E88"/>
      <c r="F88"/>
      <c r="G88" t="s">
        <v>2223</v>
      </c>
      <c r="H88">
        <v>-15</v>
      </c>
      <c r="I88" t="s">
        <v>1331</v>
      </c>
    </row>
    <row r="89" spans="3:20">
      <c r="D89" s="523"/>
      <c r="E89"/>
      <c r="F89"/>
      <c r="G89" t="s">
        <v>3230</v>
      </c>
      <c r="H89">
        <f>10-29.1</f>
        <v>-19.100000000000001</v>
      </c>
      <c r="I89" t="s">
        <v>1331</v>
      </c>
      <c r="J89">
        <v>77</v>
      </c>
      <c r="K89">
        <f>86-0.9</f>
        <v>85.1</v>
      </c>
    </row>
    <row r="90" spans="3:20">
      <c r="D90" s="523"/>
      <c r="E90"/>
      <c r="F90"/>
      <c r="H90">
        <f>SUM(H81:H89)</f>
        <v>-213.88071666666679</v>
      </c>
    </row>
    <row r="91" spans="3:20">
      <c r="H91">
        <f>H90+70</f>
        <v>-143.88071666666679</v>
      </c>
      <c r="I91" t="s">
        <v>3309</v>
      </c>
    </row>
    <row r="94" spans="3:20">
      <c r="E94" s="533"/>
      <c r="F94" s="212"/>
      <c r="G94">
        <f>77*5</f>
        <v>385</v>
      </c>
    </row>
    <row r="95" spans="3:20" ht="14.4">
      <c r="E95"/>
      <c r="F95"/>
    </row>
    <row r="96" spans="3:20">
      <c r="F96" s="56"/>
    </row>
    <row r="97" spans="4:20">
      <c r="F97" s="56"/>
    </row>
    <row r="98" spans="4:20">
      <c r="F98" s="56"/>
      <c r="G98" s="407"/>
    </row>
    <row r="99" spans="4:20" ht="14.4">
      <c r="D99" s="621"/>
      <c r="E99" s="56"/>
      <c r="F99" s="56"/>
      <c r="G99" s="407"/>
    </row>
    <row r="100" spans="4:20" ht="14.4">
      <c r="E100" s="56"/>
      <c r="F100" s="56"/>
      <c r="G100" s="407"/>
    </row>
    <row r="101" spans="4:20" ht="14.4">
      <c r="E101" s="56"/>
      <c r="F101" s="56"/>
      <c r="G101" s="407"/>
    </row>
    <row r="102" spans="4:20">
      <c r="G102" s="407"/>
      <c r="H102" s="11"/>
      <c r="I102" s="11"/>
      <c r="S102"/>
      <c r="T102"/>
    </row>
    <row r="103" spans="4:20">
      <c r="G103" s="407"/>
      <c r="S103"/>
      <c r="T103"/>
    </row>
    <row r="104" spans="4:20">
      <c r="G104" s="407"/>
      <c r="S104"/>
      <c r="T104"/>
    </row>
    <row r="105" spans="4:20">
      <c r="G105" s="407"/>
    </row>
  </sheetData>
  <mergeCells count="25">
    <mergeCell ref="B4:E4"/>
    <mergeCell ref="B1:S1"/>
    <mergeCell ref="G3:I3"/>
    <mergeCell ref="J3:L3"/>
    <mergeCell ref="P3:R3"/>
    <mergeCell ref="M3:O3"/>
    <mergeCell ref="B50:D50"/>
    <mergeCell ref="B5:C5"/>
    <mergeCell ref="D5:E5"/>
    <mergeCell ref="B6:B19"/>
    <mergeCell ref="C6:C19"/>
    <mergeCell ref="E9:F9"/>
    <mergeCell ref="B27:E27"/>
    <mergeCell ref="B28:C28"/>
    <mergeCell ref="D28:E28"/>
    <mergeCell ref="B40:E40"/>
    <mergeCell ref="B41:C41"/>
    <mergeCell ref="D41:E41"/>
    <mergeCell ref="D61:E61"/>
    <mergeCell ref="D63:H63"/>
    <mergeCell ref="B52:G52"/>
    <mergeCell ref="M52:S52"/>
    <mergeCell ref="B53:C53"/>
    <mergeCell ref="D54:E54"/>
    <mergeCell ref="J57:J58"/>
  </mergeCells>
  <pageMargins left="0.7" right="0.7" top="0.75" bottom="0.75" header="0.3" footer="0.3"/>
  <pageSetup orientation="portrait" r:id="rId1"/>
  <legacyDrawing r:id="rId2"/>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610E0-1680-4E75-B136-7810A08FAE1B}">
  <dimension ref="A1:X99"/>
  <sheetViews>
    <sheetView topLeftCell="I22" zoomScale="85" zoomScaleNormal="85" workbookViewId="0">
      <selection activeCell="O37" sqref="O37"/>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9" width="22.44140625" customWidth="1"/>
    <col min="10" max="10" width="25" bestFit="1" customWidth="1"/>
    <col min="11"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str">
        <f ca="1">UPPER(TEXT((1&amp;LEFT(B$1,3))-1,"MMM"))&amp;"-"&amp;UPPER(TEXT((1&amp;RIGHT(LEFT(B$1,7),3))-1,"MMM"))&amp;" "&amp;RIGHT(B$1,4)</f>
        <v>FEB-MAR R 26</v>
      </c>
      <c r="B1" s="730" t="str">
        <f ca="1">MID(CELL("filename",B1),FIND("]",CELL("filename",B1))+1,255)</f>
        <v>MAR-APR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1449</v>
      </c>
      <c r="M2" s="79" t="s">
        <v>801</v>
      </c>
      <c r="N2" s="307" t="s">
        <v>1450</v>
      </c>
      <c r="O2" s="273" t="s">
        <v>10</v>
      </c>
      <c r="P2" s="273"/>
      <c r="Q2" s="283" t="s">
        <v>803</v>
      </c>
    </row>
    <row r="3" spans="1:24">
      <c r="B3" s="118"/>
      <c r="C3" s="118"/>
      <c r="D3" s="290" t="e">
        <f>"£" &amp; ROUND(O5+O32+O27+IF(#REF!&lt;0,0,#REF!)+O42+O4,2) &amp; " / " &amp; "£" &amp; E44</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",G44*0.5," / Actual = ",ROUND(F4,2)," (",ROUND((F4/G44)*100,2),")")</f>
        <v>Expenses - 50 - 2733.66 / Actual = 3531.43 (64.59)</v>
      </c>
      <c r="C4" s="727"/>
      <c r="D4" s="727"/>
      <c r="E4" s="727"/>
      <c r="F4" s="319">
        <f>ROUND(SUM(F6:F24),2)</f>
        <v>3531.43</v>
      </c>
      <c r="G4" s="243">
        <f>100+33+100</f>
        <v>233</v>
      </c>
      <c r="H4" s="304">
        <f>SUM(H5:H42)</f>
        <v>2527.08</v>
      </c>
      <c r="I4" s="243"/>
      <c r="J4" s="304">
        <f>SUM(J5:J42)</f>
        <v>-619.29</v>
      </c>
      <c r="K4" s="243"/>
      <c r="L4" s="304">
        <f>SUM(L5:L42)</f>
        <v>0</v>
      </c>
      <c r="M4" s="243"/>
      <c r="N4" s="304">
        <f>SUM(N5:N42)-SUM(N29:N29)</f>
        <v>0</v>
      </c>
      <c r="O4" s="308">
        <f>IF(H43&lt;&gt;"PAID",H4,0)+IF(J43&lt;&gt;"PAID",J4,0)+IF(L43&lt;&gt;"PAID",L4,0)+IF(N43&lt;&gt;"PAID",N4,0)</f>
        <v>1907.79</v>
      </c>
      <c r="P4" s="309" t="s">
        <v>973</v>
      </c>
      <c r="Q4" s="408"/>
      <c r="R4" s="243"/>
      <c r="S4" s="284"/>
      <c r="T4" s="11"/>
      <c r="U4" s="390"/>
      <c r="V4" s="11"/>
      <c r="W4" s="390"/>
      <c r="X4" s="11"/>
    </row>
    <row r="5" spans="1:24" ht="15" customHeight="1">
      <c r="B5" s="733" t="str">
        <f>IF(D5&gt;E$44*0.5,ROUND(D5-E$44*0.5,2) &amp; " Over",ROUND(E$44*0.5-D5,2) &amp; " Under")</f>
        <v>2733.66 Under</v>
      </c>
      <c r="C5" s="733"/>
      <c r="D5" s="702"/>
      <c r="E5" s="321" t="s">
        <v>1451</v>
      </c>
      <c r="F5" s="321" t="s">
        <v>650</v>
      </c>
      <c r="G5" s="284"/>
      <c r="H5" s="306"/>
      <c r="I5" s="390"/>
      <c r="J5" s="306"/>
      <c r="K5" s="390"/>
      <c r="L5" s="306"/>
      <c r="M5" s="79"/>
      <c r="N5" s="305"/>
      <c r="O5" s="285">
        <f>SUMIF(O6:O24,"&gt;0")</f>
        <v>3.2000000000000739</v>
      </c>
      <c r="P5" s="285" t="s">
        <v>892</v>
      </c>
      <c r="Q5" s="282">
        <f>SUM(Q6:Q24)</f>
        <v>0.41000000000000014</v>
      </c>
      <c r="R5" s="243"/>
      <c r="T5" s="243"/>
    </row>
    <row r="6" spans="1:24" ht="15" customHeight="1">
      <c r="B6" s="734" t="str">
        <f>"50%: " &amp; E$44*0.5</f>
        <v>50%: 2733.66</v>
      </c>
      <c r="C6" s="734" t="str">
        <f>ROUND((D5/E$44)*100,2) &amp; "%: " &amp;D5</f>
        <v xml:space="preserve">0%: </v>
      </c>
      <c r="D6" s="13" t="s">
        <v>805</v>
      </c>
      <c r="E6" s="523">
        <v>0</v>
      </c>
      <c r="F6" s="528">
        <f>160-20+25-10.54</f>
        <v>154.46</v>
      </c>
      <c r="H6" s="305">
        <f>33.66+33.23+25.99+36.58</f>
        <v>129.45999999999998</v>
      </c>
      <c r="J6" s="305">
        <v>25</v>
      </c>
      <c r="L6" s="305"/>
      <c r="N6" s="305"/>
      <c r="O6" s="274">
        <f>SUM(E6:F6)-SUM(G6:N6)</f>
        <v>0</v>
      </c>
      <c r="P6" s="274" t="str">
        <f t="shared" ref="P6:P24" si="0">D6</f>
        <v>Car Petrol / commuting</v>
      </c>
      <c r="Q6" s="282">
        <f>IF(O6&lt;0,O6*-1,0)</f>
        <v>0</v>
      </c>
      <c r="R6" s="243"/>
      <c r="S6" s="243">
        <f>250-33</f>
        <v>217</v>
      </c>
      <c r="T6" s="243"/>
    </row>
    <row r="7" spans="1:24" ht="15" customHeight="1">
      <c r="B7" s="734"/>
      <c r="C7" s="734"/>
      <c r="D7" s="13" t="s">
        <v>169</v>
      </c>
      <c r="E7" s="523">
        <v>0</v>
      </c>
      <c r="F7" s="523">
        <f>100+3.52+33+100+4.12+91+5.98</f>
        <v>337.62</v>
      </c>
      <c r="G7">
        <v>1.39</v>
      </c>
      <c r="H7" s="305">
        <f>27.64+86.89+(33.32-11.99)+92.76+1.77+90.38+8.99-1-1.39</f>
        <v>327.37</v>
      </c>
      <c r="J7" s="305">
        <f>8.86</f>
        <v>8.86</v>
      </c>
      <c r="L7" s="305"/>
      <c r="N7" s="305"/>
      <c r="O7" s="274">
        <f>SUM(E7:F7)-SUM(G7:N7)</f>
        <v>0</v>
      </c>
      <c r="P7" s="274" t="str">
        <f t="shared" si="0"/>
        <v>Food</v>
      </c>
      <c r="Q7" s="282">
        <f>IF(O7&lt;0,O7*-1,0)</f>
        <v>0</v>
      </c>
      <c r="R7" s="243"/>
      <c r="S7" s="243"/>
    </row>
    <row r="8" spans="1:24" ht="15" customHeight="1">
      <c r="B8" s="734"/>
      <c r="C8" s="734"/>
      <c r="D8" s="13" t="s">
        <v>153</v>
      </c>
      <c r="E8" s="523">
        <v>0</v>
      </c>
      <c r="F8" s="523">
        <f>120-4.12-25</f>
        <v>90.88</v>
      </c>
      <c r="H8" s="305"/>
      <c r="J8" s="305">
        <f>21.79+27.37+21.79+19.34</f>
        <v>90.289999999999992</v>
      </c>
      <c r="L8" s="305"/>
      <c r="N8" s="305"/>
      <c r="O8" s="274">
        <f>SUM(E8:F8)-SUM(G8:N8)</f>
        <v>0.59000000000000341</v>
      </c>
      <c r="P8" s="274" t="str">
        <f t="shared" si="0"/>
        <v>Luna</v>
      </c>
      <c r="Q8" s="282">
        <f>IF(O8&lt;0,O8*-1,0)</f>
        <v>0</v>
      </c>
    </row>
    <row r="9" spans="1:24" ht="15" customHeight="1">
      <c r="B9" s="734"/>
      <c r="C9" s="734"/>
      <c r="D9" s="13" t="s">
        <v>189</v>
      </c>
      <c r="E9" s="735">
        <f>SUM(F10:F24)</f>
        <v>2948.47</v>
      </c>
      <c r="F9" s="735"/>
      <c r="G9" s="243"/>
      <c r="H9" s="305"/>
      <c r="J9" s="305"/>
      <c r="L9" s="305"/>
      <c r="N9" s="305"/>
      <c r="O9" s="274"/>
      <c r="P9" s="274" t="str">
        <f t="shared" si="0"/>
        <v>Direct debits</v>
      </c>
      <c r="Q9" s="282"/>
      <c r="R9" s="243"/>
      <c r="T9" s="243"/>
    </row>
    <row r="10" spans="1:24" ht="15" customHeight="1" outlineLevel="1">
      <c r="B10" s="734"/>
      <c r="C10" s="734"/>
      <c r="D10" s="201" t="s">
        <v>595</v>
      </c>
      <c r="E10" s="523">
        <v>0</v>
      </c>
      <c r="F10" s="523">
        <v>838</v>
      </c>
      <c r="G10">
        <v>838</v>
      </c>
      <c r="H10" s="305"/>
      <c r="J10" s="305"/>
      <c r="L10" s="304"/>
      <c r="N10" s="305"/>
      <c r="O10" s="274">
        <f t="shared" ref="O10:O24" si="1">SUM(E10:F10)-SUM(G10:N10)</f>
        <v>0</v>
      </c>
      <c r="P10" s="274" t="str">
        <f t="shared" si="0"/>
        <v>Mortgage</v>
      </c>
      <c r="Q10" s="282">
        <f t="shared" ref="Q10:Q24" si="2">IF(O10&lt;0,O10*-1,0)</f>
        <v>0</v>
      </c>
      <c r="R10" s="243"/>
    </row>
    <row r="11" spans="1:24" ht="15" customHeight="1" outlineLevel="1">
      <c r="B11" s="734"/>
      <c r="C11" s="734"/>
      <c r="D11" s="201" t="s">
        <v>596</v>
      </c>
      <c r="E11" s="523">
        <v>0</v>
      </c>
      <c r="F11" s="523">
        <f>168</f>
        <v>168</v>
      </c>
      <c r="G11">
        <v>168</v>
      </c>
      <c r="H11" s="305"/>
      <c r="J11" s="305"/>
      <c r="L11" s="305"/>
      <c r="N11" s="305"/>
      <c r="O11" s="274">
        <f t="shared" si="1"/>
        <v>0</v>
      </c>
      <c r="P11" s="274" t="str">
        <f t="shared" si="0"/>
        <v>Council tax</v>
      </c>
      <c r="Q11" s="282">
        <f t="shared" si="2"/>
        <v>0</v>
      </c>
    </row>
    <row r="12" spans="1:24" ht="15" customHeight="1" outlineLevel="1">
      <c r="B12" s="734"/>
      <c r="C12" s="734"/>
      <c r="D12" s="201" t="s">
        <v>1002</v>
      </c>
      <c r="E12" s="523">
        <v>0</v>
      </c>
      <c r="F12" s="523">
        <f>49+92.79</f>
        <v>141.79000000000002</v>
      </c>
      <c r="G12">
        <f>49+92.79</f>
        <v>141.79000000000002</v>
      </c>
      <c r="H12" s="305"/>
      <c r="J12" s="305"/>
      <c r="L12" s="305"/>
      <c r="N12" s="305"/>
      <c r="O12" s="274">
        <f>SUM(E12:F12)-SUM(G12:N12)</f>
        <v>0</v>
      </c>
      <c r="P12" s="274" t="str">
        <f t="shared" si="0"/>
        <v>Utilities (G,W,E,HTB)</v>
      </c>
      <c r="Q12" s="282">
        <f t="shared" si="2"/>
        <v>0</v>
      </c>
    </row>
    <row r="13" spans="1:24" ht="15" customHeight="1" outlineLevel="1">
      <c r="B13" s="734"/>
      <c r="C13" s="734"/>
      <c r="D13" s="201" t="s">
        <v>996</v>
      </c>
      <c r="E13" s="523">
        <v>0</v>
      </c>
      <c r="F13" s="523">
        <v>87.84</v>
      </c>
      <c r="G13">
        <v>87.84</v>
      </c>
      <c r="H13" s="305"/>
      <c r="J13" s="305"/>
      <c r="L13" s="305"/>
      <c r="N13" s="305"/>
      <c r="O13" s="274">
        <f t="shared" si="1"/>
        <v>0</v>
      </c>
      <c r="P13" s="274" t="str">
        <f t="shared" si="0"/>
        <v>Home Insurance</v>
      </c>
      <c r="Q13" s="282">
        <f t="shared" si="2"/>
        <v>0</v>
      </c>
    </row>
    <row r="14" spans="1:24" ht="15" customHeight="1" outlineLevel="1">
      <c r="B14" s="734"/>
      <c r="C14" s="734"/>
      <c r="D14" s="201" t="s">
        <v>1056</v>
      </c>
      <c r="E14" s="523">
        <v>0</v>
      </c>
      <c r="F14" s="523">
        <f>31.99+22.99</f>
        <v>54.98</v>
      </c>
      <c r="G14">
        <f>22.99+31.99</f>
        <v>54.98</v>
      </c>
      <c r="H14" s="305"/>
      <c r="J14" s="305"/>
      <c r="L14" s="305"/>
      <c r="N14" s="305"/>
      <c r="O14" s="274">
        <f t="shared" si="1"/>
        <v>0</v>
      </c>
      <c r="P14" s="274" t="str">
        <f t="shared" si="0"/>
        <v>Pet Health / Insurance</v>
      </c>
      <c r="Q14" s="282">
        <f t="shared" si="2"/>
        <v>0</v>
      </c>
      <c r="U14" s="11"/>
    </row>
    <row r="15" spans="1:24" ht="15" customHeight="1" outlineLevel="1">
      <c r="B15" s="734"/>
      <c r="C15" s="734"/>
      <c r="D15" s="201" t="s">
        <v>1057</v>
      </c>
      <c r="E15" s="523">
        <v>0</v>
      </c>
      <c r="F15" s="523">
        <f>30.8+62.08-5</f>
        <v>87.88</v>
      </c>
      <c r="G15">
        <v>87.88</v>
      </c>
      <c r="H15" s="305"/>
      <c r="J15" s="305"/>
      <c r="L15" s="305"/>
      <c r="N15" s="305"/>
      <c r="O15" s="274">
        <f t="shared" si="1"/>
        <v>0</v>
      </c>
      <c r="P15" s="274" t="str">
        <f t="shared" si="0"/>
        <v>Life / Income Insurance</v>
      </c>
      <c r="Q15" s="282">
        <f t="shared" si="2"/>
        <v>0</v>
      </c>
    </row>
    <row r="16" spans="1:24" ht="15" customHeight="1" outlineLevel="1">
      <c r="B16" s="734"/>
      <c r="C16" s="734"/>
      <c r="D16" s="201" t="s">
        <v>602</v>
      </c>
      <c r="E16" s="523">
        <v>0</v>
      </c>
      <c r="F16" s="523">
        <v>37</v>
      </c>
      <c r="G16">
        <v>37</v>
      </c>
      <c r="H16" s="305"/>
      <c r="J16" s="305"/>
      <c r="L16" s="305"/>
      <c r="N16" s="305"/>
      <c r="O16" s="274">
        <f t="shared" si="1"/>
        <v>0</v>
      </c>
      <c r="P16" s="274" t="str">
        <f t="shared" si="0"/>
        <v>Broadband / TV</v>
      </c>
      <c r="Q16" s="282">
        <f t="shared" si="2"/>
        <v>0</v>
      </c>
    </row>
    <row r="17" spans="2:19" ht="15" customHeight="1" outlineLevel="1">
      <c r="B17" s="734"/>
      <c r="C17" s="734"/>
      <c r="D17" s="201" t="s">
        <v>788</v>
      </c>
      <c r="E17" s="523">
        <v>0</v>
      </c>
      <c r="F17" s="523">
        <v>29.1</v>
      </c>
      <c r="G17">
        <v>29.51</v>
      </c>
      <c r="H17" s="305"/>
      <c r="J17" s="305"/>
      <c r="L17" s="305"/>
      <c r="N17" s="305"/>
      <c r="O17" s="274">
        <f t="shared" si="1"/>
        <v>-0.41000000000000014</v>
      </c>
      <c r="P17" s="274" t="str">
        <f t="shared" si="0"/>
        <v>Matt Phone</v>
      </c>
      <c r="Q17" s="282">
        <f t="shared" si="2"/>
        <v>0.41000000000000014</v>
      </c>
    </row>
    <row r="18" spans="2:19" ht="15" customHeight="1" outlineLevel="1">
      <c r="B18" s="734"/>
      <c r="C18" s="734"/>
      <c r="D18" s="201" t="s">
        <v>690</v>
      </c>
      <c r="E18" s="523">
        <v>0</v>
      </c>
      <c r="F18" s="523">
        <f>14.43+48.17+271.59+487.35+58.85+17.09</f>
        <v>897.48</v>
      </c>
      <c r="G18">
        <f>46.29+58.85+14.43+17.06+271.59+487.35</f>
        <v>895.56999999999994</v>
      </c>
      <c r="H18" s="305"/>
      <c r="J18" s="305"/>
      <c r="L18" s="305"/>
      <c r="N18" s="305"/>
      <c r="O18" s="274">
        <f t="shared" si="1"/>
        <v>1.9100000000000819</v>
      </c>
      <c r="P18" s="274" t="str">
        <f t="shared" si="0"/>
        <v>Cars</v>
      </c>
      <c r="Q18" s="282">
        <f t="shared" si="2"/>
        <v>0</v>
      </c>
    </row>
    <row r="19" spans="2:19" ht="15" customHeight="1" outlineLevel="1">
      <c r="B19" s="734"/>
      <c r="C19" s="734"/>
      <c r="D19" s="201" t="s">
        <v>944</v>
      </c>
      <c r="E19" s="523">
        <v>0</v>
      </c>
      <c r="F19" s="523">
        <v>15</v>
      </c>
      <c r="G19">
        <v>15</v>
      </c>
      <c r="H19" s="305"/>
      <c r="J19" s="305"/>
      <c r="L19" s="305"/>
      <c r="N19" s="305"/>
      <c r="O19" s="274">
        <f t="shared" si="1"/>
        <v>0</v>
      </c>
      <c r="P19" s="274" t="str">
        <f t="shared" si="0"/>
        <v>Windows</v>
      </c>
      <c r="Q19" s="282">
        <f t="shared" si="2"/>
        <v>0</v>
      </c>
      <c r="R19" s="243"/>
    </row>
    <row r="20" spans="2:19" ht="15" customHeight="1" outlineLevel="1">
      <c r="B20" s="7"/>
      <c r="C20" s="7"/>
      <c r="D20" s="201" t="s">
        <v>920</v>
      </c>
      <c r="E20" s="523">
        <v>0</v>
      </c>
      <c r="F20" s="523">
        <f>48.22+170+137.5</f>
        <v>355.72</v>
      </c>
      <c r="G20">
        <f>137.5+170+48.22</f>
        <v>355.72</v>
      </c>
      <c r="H20" s="305"/>
      <c r="J20" s="305"/>
      <c r="L20" s="305"/>
      <c r="N20" s="305"/>
      <c r="O20" s="274">
        <f t="shared" si="1"/>
        <v>0</v>
      </c>
      <c r="P20" s="274" t="str">
        <f t="shared" si="0"/>
        <v>Finance</v>
      </c>
      <c r="Q20" s="282"/>
      <c r="R20" s="243"/>
    </row>
    <row r="21" spans="2:19" ht="15" customHeight="1" outlineLevel="1">
      <c r="B21" s="7"/>
      <c r="C21" s="7"/>
      <c r="D21" s="201" t="s">
        <v>2909</v>
      </c>
      <c r="E21" s="523">
        <v>0</v>
      </c>
      <c r="F21" s="523">
        <v>45.79</v>
      </c>
      <c r="G21">
        <v>45.79</v>
      </c>
      <c r="H21" s="305"/>
      <c r="J21" s="305"/>
      <c r="L21" s="305"/>
      <c r="N21" s="305"/>
      <c r="O21" s="274">
        <f t="shared" si="1"/>
        <v>0</v>
      </c>
      <c r="P21" s="274" t="str">
        <f t="shared" si="0"/>
        <v>Kris Phone</v>
      </c>
      <c r="Q21" s="282"/>
      <c r="R21" s="243"/>
      <c r="S21" s="11"/>
    </row>
    <row r="22" spans="2:19" ht="15" customHeight="1" outlineLevel="1">
      <c r="B22" s="7"/>
      <c r="C22" s="7"/>
      <c r="D22" s="201" t="s">
        <v>1297</v>
      </c>
      <c r="E22" s="523">
        <v>0</v>
      </c>
      <c r="F22" s="523">
        <v>50</v>
      </c>
      <c r="G22">
        <v>50</v>
      </c>
      <c r="H22" s="305"/>
      <c r="J22" s="305"/>
      <c r="L22" s="305"/>
      <c r="N22" s="305"/>
      <c r="O22" s="274">
        <f t="shared" si="1"/>
        <v>0</v>
      </c>
      <c r="P22" s="274" t="str">
        <f t="shared" si="0"/>
        <v>Skin</v>
      </c>
      <c r="Q22" s="282"/>
      <c r="R22" s="243"/>
      <c r="S22" s="11"/>
    </row>
    <row r="23" spans="2:19" ht="15" customHeight="1" outlineLevel="1">
      <c r="B23" s="7"/>
      <c r="C23" s="7"/>
      <c r="D23" s="201" t="s">
        <v>604</v>
      </c>
      <c r="E23" s="523">
        <v>0</v>
      </c>
      <c r="F23" s="523">
        <f>18+39.52</f>
        <v>57.52</v>
      </c>
      <c r="G23">
        <v>39.520000000000003</v>
      </c>
      <c r="H23" s="305"/>
      <c r="J23" s="305">
        <v>18</v>
      </c>
      <c r="L23" s="305"/>
      <c r="N23" s="305"/>
      <c r="O23" s="274">
        <f t="shared" si="1"/>
        <v>0</v>
      </c>
      <c r="P23" s="274" t="str">
        <f t="shared" si="0"/>
        <v>Health</v>
      </c>
      <c r="Q23" s="282"/>
      <c r="R23" s="243"/>
      <c r="S23" s="11"/>
    </row>
    <row r="24" spans="2:19" ht="15" customHeight="1" outlineLevel="1">
      <c r="B24" s="7"/>
      <c r="C24" s="7"/>
      <c r="D24" s="201" t="s">
        <v>781</v>
      </c>
      <c r="E24" s="523">
        <v>0</v>
      </c>
      <c r="F24" s="523">
        <f>10.49+18+4.99+0.99+12+20+1.95+13.95</f>
        <v>82.37</v>
      </c>
      <c r="G24" s="11">
        <f>12+18+1.79+10.49+5.99</f>
        <v>48.27</v>
      </c>
      <c r="H24" s="305"/>
      <c r="J24" s="305">
        <v>20</v>
      </c>
      <c r="L24" s="305"/>
      <c r="M24">
        <v>13.4</v>
      </c>
      <c r="N24" s="305"/>
      <c r="O24" s="274">
        <f t="shared" si="1"/>
        <v>0.69999999999998863</v>
      </c>
      <c r="P24" s="274" t="str">
        <f t="shared" si="0"/>
        <v>Subscriptions</v>
      </c>
      <c r="Q24" s="282">
        <f t="shared" si="2"/>
        <v>0</v>
      </c>
      <c r="R24" s="243"/>
    </row>
    <row r="25" spans="2:19" ht="15" customHeight="1">
      <c r="B25" s="118"/>
      <c r="C25" s="118"/>
      <c r="D25" s="188"/>
      <c r="H25" s="305"/>
      <c r="J25" s="305"/>
      <c r="L25" s="305"/>
      <c r="N25" s="305"/>
      <c r="O25" s="273"/>
      <c r="P25" s="273"/>
      <c r="Q25" s="282"/>
    </row>
    <row r="26" spans="2:19" ht="15" customHeight="1">
      <c r="B26" s="736" t="str">
        <f>_xlfn.CONCAT("Savings - 20 - ",G44*0.2," / Actual = ",F26," (",ROUND((F26/G44)*100,2),")")</f>
        <v>Savings - 20 - 1093.464 / Actual = 50 (0.91)</v>
      </c>
      <c r="C26" s="736"/>
      <c r="D26" s="736"/>
      <c r="E26" s="736"/>
      <c r="F26" s="703">
        <f>F28</f>
        <v>50</v>
      </c>
      <c r="H26" s="305"/>
      <c r="J26" s="305"/>
      <c r="L26" s="305"/>
      <c r="N26" s="305"/>
      <c r="O26" s="274"/>
      <c r="P26" s="274"/>
      <c r="Q26" s="282"/>
    </row>
    <row r="27" spans="2:19" ht="15" customHeight="1">
      <c r="B27" s="727" t="str">
        <f>IF(ISNUMBER((SEARCH("Over",C$5))),"Operating under budget","Operating over budget")</f>
        <v>Operating over budget</v>
      </c>
      <c r="C27" s="727"/>
      <c r="D27" s="705"/>
      <c r="E27" s="703" t="s">
        <v>1451</v>
      </c>
      <c r="F27" s="703" t="s">
        <v>650</v>
      </c>
      <c r="H27" s="305"/>
      <c r="J27" s="305"/>
      <c r="L27" s="305"/>
      <c r="N27" s="305"/>
      <c r="O27" s="285">
        <f>O28</f>
        <v>-161.30000000000013</v>
      </c>
      <c r="P27" s="285" t="s">
        <v>895</v>
      </c>
      <c r="Q27" s="282">
        <f>SUM(Q28:Q28)</f>
        <v>0</v>
      </c>
      <c r="S27" s="243"/>
    </row>
    <row r="28" spans="2:19" ht="15" customHeight="1" outlineLevel="1">
      <c r="B28" s="7" t="str">
        <f>"20% : " &amp; E$44*0.2</f>
        <v>20% : 1093.464</v>
      </c>
      <c r="C28" s="7" t="str">
        <f>"20% : " &amp; E$44*0.2</f>
        <v>20% : 1093.464</v>
      </c>
      <c r="D28" s="300" t="s">
        <v>183</v>
      </c>
      <c r="E28" s="523">
        <v>0</v>
      </c>
      <c r="F28" s="523">
        <f>SUM(F29:F29)</f>
        <v>50</v>
      </c>
      <c r="G28" s="243"/>
      <c r="H28" s="305"/>
      <c r="J28" s="305"/>
      <c r="L28" s="305"/>
      <c r="N28" s="305"/>
      <c r="O28" s="274">
        <f>SUM(O29:O29)</f>
        <v>-161.30000000000013</v>
      </c>
      <c r="P28" s="274" t="str">
        <f t="shared" ref="P28:P29" si="3">D28</f>
        <v>Savings</v>
      </c>
      <c r="Q28" s="282">
        <v>0</v>
      </c>
      <c r="R28" s="495"/>
      <c r="S28" s="243"/>
    </row>
    <row r="29" spans="2:19" ht="15" customHeight="1" outlineLevel="1">
      <c r="B29" s="7"/>
      <c r="C29" s="7"/>
      <c r="D29" s="300" t="s">
        <v>3311</v>
      </c>
      <c r="E29" s="523">
        <v>0</v>
      </c>
      <c r="F29" s="523">
        <v>50</v>
      </c>
      <c r="H29" s="305">
        <v>45</v>
      </c>
      <c r="J29" s="305">
        <f>73.35+60</f>
        <v>133.35</v>
      </c>
      <c r="L29" s="305"/>
      <c r="N29" s="315"/>
      <c r="O29" s="274">
        <f>SUM(E29:F29)-SUM(G29:N29)-Q44</f>
        <v>-161.30000000000013</v>
      </c>
      <c r="P29" s="274" t="str">
        <f t="shared" si="3"/>
        <v>Monthly Contingency</v>
      </c>
      <c r="Q29" s="282"/>
    </row>
    <row r="30" spans="2:19" ht="15" customHeight="1">
      <c r="B30" s="118"/>
      <c r="C30" s="118"/>
      <c r="H30" s="305"/>
      <c r="J30" s="305"/>
      <c r="L30" s="305"/>
      <c r="N30" s="305"/>
      <c r="O30" s="273"/>
      <c r="P30" s="273"/>
      <c r="Q30" s="282"/>
      <c r="R30" s="243"/>
    </row>
    <row r="31" spans="2:19" ht="15" customHeight="1">
      <c r="B31" s="727" t="str">
        <f>_xlfn.CONCAT("Wants - 30 - ",G44*0.3," / Actual = ",F31," (",ROUND((F31/G44)*100,2),")")</f>
        <v>Wants - 30 - 1640.196 / Actual = 1885.89 (34.49)</v>
      </c>
      <c r="C31" s="727"/>
      <c r="D31" s="727"/>
      <c r="E31" s="727"/>
      <c r="F31" s="704">
        <f>(E$44-F4-F26-E43)</f>
        <v>1885.8899999999999</v>
      </c>
      <c r="H31" s="305"/>
      <c r="J31" s="305"/>
      <c r="L31" s="305"/>
      <c r="N31" s="305"/>
      <c r="O31" s="273"/>
      <c r="P31" s="273"/>
      <c r="Q31" s="282"/>
    </row>
    <row r="32" spans="2:19" ht="15" customHeight="1">
      <c r="B32" s="727" t="str">
        <f>IF(ISNUMBER((SEARCH("Over",B$5))),"Operating under budget","Operating over budget")</f>
        <v>Operating over budget</v>
      </c>
      <c r="C32" s="727"/>
      <c r="D32" s="705"/>
      <c r="E32" s="320" t="s">
        <v>1451</v>
      </c>
      <c r="F32" s="319" t="s">
        <v>650</v>
      </c>
      <c r="H32" s="305"/>
      <c r="J32" s="305"/>
      <c r="L32" s="305"/>
      <c r="N32" s="305"/>
      <c r="O32" s="285">
        <f>0</f>
        <v>0</v>
      </c>
      <c r="P32" s="285" t="s">
        <v>899</v>
      </c>
      <c r="Q32" s="282">
        <f>SUM(Q33:Q33)</f>
        <v>32.540000000000134</v>
      </c>
      <c r="S32" s="11"/>
    </row>
    <row r="33" spans="2:19" ht="18" outlineLevel="1">
      <c r="B33" s="7"/>
      <c r="C33" s="284"/>
      <c r="D33" s="13" t="s">
        <v>922</v>
      </c>
      <c r="E33" s="523">
        <v>0</v>
      </c>
      <c r="F33" s="523">
        <f>F31-F42-F41-F39-F35-F34-F38-F37</f>
        <v>225.63999999999987</v>
      </c>
      <c r="G33" s="11">
        <f>5.64+9.99+19.99+0.4</f>
        <v>36.019999999999996</v>
      </c>
      <c r="H33" s="305">
        <f>3.92+7.5+3.5+2.45+1.45+2.9+16.38+11.99+2.42+9.99+24+9.15+41.6+5+0.75</f>
        <v>143</v>
      </c>
      <c r="J33" s="305">
        <f>4.53+37.9+13.45+22.48</f>
        <v>78.36</v>
      </c>
      <c r="L33" s="305"/>
      <c r="M33">
        <f>0.4+0.4</f>
        <v>0.8</v>
      </c>
      <c r="N33" s="305"/>
      <c r="O33" s="274">
        <f>(SUM(E33:F33)-SUM(G33:N33))</f>
        <v>-32.540000000000134</v>
      </c>
      <c r="P33" s="274" t="str">
        <f t="shared" ref="P33:P42" si="4">D33</f>
        <v>Matt Fun</v>
      </c>
      <c r="Q33" s="271">
        <f>IF(F33-SUM(G33:N33)&lt;=0,(F33-SUM(G33:N33))*-1,0)</f>
        <v>32.540000000000134</v>
      </c>
      <c r="S33" s="11"/>
    </row>
    <row r="34" spans="2:19" ht="18" outlineLevel="1">
      <c r="B34" s="7"/>
      <c r="C34" s="284"/>
      <c r="D34" s="13" t="s">
        <v>1203</v>
      </c>
      <c r="E34" s="523">
        <v>0</v>
      </c>
      <c r="F34" s="523">
        <f>87.19</f>
        <v>87.19</v>
      </c>
      <c r="G34" s="11"/>
      <c r="H34" s="305">
        <f>17.39+16.4</f>
        <v>33.79</v>
      </c>
      <c r="J34" s="305">
        <f>40.75+12.65</f>
        <v>53.4</v>
      </c>
      <c r="L34" s="305"/>
      <c r="N34" s="305"/>
      <c r="O34" s="274">
        <f>(SUM(E34:F34)-SUM(G34:N34))</f>
        <v>0</v>
      </c>
      <c r="P34" s="274" t="str">
        <f t="shared" si="4"/>
        <v>Formby</v>
      </c>
      <c r="Q34" s="271"/>
      <c r="S34" s="11"/>
    </row>
    <row r="35" spans="2:19" ht="18" outlineLevel="1">
      <c r="B35" s="7"/>
      <c r="C35" s="284"/>
      <c r="D35" s="13" t="s">
        <v>3310</v>
      </c>
      <c r="E35" s="523">
        <v>472.82</v>
      </c>
      <c r="F35" s="523">
        <f>830-155-50+(100-39.52)-50+20</f>
        <v>655.48</v>
      </c>
      <c r="G35" s="11">
        <f>20</f>
        <v>20</v>
      </c>
      <c r="H35" s="305">
        <f>245.94+32-117.69</f>
        <v>160.25</v>
      </c>
      <c r="J35" s="305"/>
      <c r="L35" s="305"/>
      <c r="N35" s="305"/>
      <c r="O35" s="274">
        <f>(SUM(E35:F35)-SUM(G35:N35))-O36</f>
        <v>660.17</v>
      </c>
      <c r="P35" s="274" t="str">
        <f t="shared" si="4"/>
        <v>Sinking Fund</v>
      </c>
      <c r="Q35" s="271"/>
      <c r="S35" s="11"/>
    </row>
    <row r="36" spans="2:19" ht="18" outlineLevel="1">
      <c r="B36" s="7"/>
      <c r="C36" s="284"/>
      <c r="D36" s="13" t="s">
        <v>3322</v>
      </c>
      <c r="E36" s="523">
        <v>0</v>
      </c>
      <c r="F36" s="523">
        <v>0</v>
      </c>
      <c r="G36" s="11">
        <v>80</v>
      </c>
      <c r="H36" s="305">
        <f>13.99+20.25+(144.39-17.1)+17.65+28.7</f>
        <v>207.88</v>
      </c>
      <c r="J36" s="305"/>
      <c r="L36" s="305"/>
      <c r="N36" s="305"/>
      <c r="O36" s="274">
        <f>SUM(G36:N36)</f>
        <v>287.88</v>
      </c>
      <c r="P36" s="274" t="str">
        <f t="shared" si="4"/>
        <v>Float</v>
      </c>
      <c r="Q36" s="271"/>
      <c r="S36" s="11"/>
    </row>
    <row r="37" spans="2:19" ht="18" outlineLevel="1">
      <c r="B37" s="7"/>
      <c r="C37" s="284"/>
      <c r="D37" s="13" t="s">
        <v>3321</v>
      </c>
      <c r="E37" s="523">
        <v>285.55</v>
      </c>
      <c r="F37" s="523">
        <f>-77</f>
        <v>-77</v>
      </c>
      <c r="G37" s="11"/>
      <c r="H37" s="305">
        <v>-145.4</v>
      </c>
      <c r="J37" s="305">
        <f>(-1806.34+285.55)</f>
        <v>-1520.79</v>
      </c>
      <c r="L37" s="305"/>
      <c r="N37" s="305"/>
      <c r="O37" s="274">
        <f>(SUM(E37:F37)-SUM(G37:N37))</f>
        <v>1874.74</v>
      </c>
      <c r="P37" s="274" t="str">
        <f t="shared" si="4"/>
        <v>Bali Refund</v>
      </c>
      <c r="Q37" s="271"/>
      <c r="S37" s="11"/>
    </row>
    <row r="38" spans="2:19" ht="18" outlineLevel="1">
      <c r="B38" s="7"/>
      <c r="C38" s="284"/>
      <c r="D38" s="13" t="s">
        <v>3317</v>
      </c>
      <c r="E38" s="523">
        <v>0</v>
      </c>
      <c r="F38" s="523">
        <f>45+50+50+27.58</f>
        <v>172.57999999999998</v>
      </c>
      <c r="G38" s="11"/>
      <c r="H38" s="305">
        <f>89.59+18.59+4.05+10.8+10.99+19.21+19.35</f>
        <v>172.58</v>
      </c>
      <c r="J38" s="305"/>
      <c r="L38" s="305"/>
      <c r="N38" s="305"/>
      <c r="O38" s="274">
        <f>(SUM(E38:F38)-SUM(G38:N38))</f>
        <v>-2.8421709430404007E-14</v>
      </c>
      <c r="P38" s="274" t="str">
        <f t="shared" si="4"/>
        <v>Roast</v>
      </c>
      <c r="Q38" s="271"/>
      <c r="S38" s="11"/>
    </row>
    <row r="39" spans="2:19" ht="18" outlineLevel="1">
      <c r="B39" s="7"/>
      <c r="C39" s="284"/>
      <c r="D39" s="13" t="s">
        <v>869</v>
      </c>
      <c r="E39" s="523">
        <v>0</v>
      </c>
      <c r="F39" s="523">
        <f>100+20+50+100+155+19.52</f>
        <v>444.52</v>
      </c>
      <c r="G39" s="11"/>
      <c r="H39" s="305">
        <f>-90+76.07+9.39+11.8</f>
        <v>7.2599999999999945</v>
      </c>
      <c r="J39" s="305">
        <f>174+15+1+53+8+16.1+14.85+90+27.95+2+(60.36-25)</f>
        <v>437.26000000000005</v>
      </c>
      <c r="L39" s="305"/>
      <c r="N39" s="305"/>
      <c r="O39" s="274">
        <f>SUM(E39:F39)-SUM(G39:N39)</f>
        <v>0</v>
      </c>
      <c r="P39" s="274" t="str">
        <f t="shared" si="4"/>
        <v>Scotland</v>
      </c>
      <c r="Q39" s="271"/>
      <c r="S39" s="11"/>
    </row>
    <row r="40" spans="2:19" ht="18" outlineLevel="1">
      <c r="B40" s="7"/>
      <c r="C40" s="284"/>
      <c r="D40" s="13" t="s">
        <v>1641</v>
      </c>
      <c r="E40" s="523">
        <v>0</v>
      </c>
      <c r="F40" s="523">
        <v>0</v>
      </c>
      <c r="G40" s="11"/>
      <c r="H40" s="305">
        <f>30.99+728.24+117.99+168.29</f>
        <v>1045.51</v>
      </c>
      <c r="J40" s="305"/>
      <c r="L40" s="305"/>
      <c r="N40" s="305"/>
      <c r="O40" s="274">
        <f>SUM(G40:N40)</f>
        <v>1045.51</v>
      </c>
      <c r="P40" s="274" t="str">
        <f t="shared" si="4"/>
        <v>Work</v>
      </c>
      <c r="Q40" s="271"/>
      <c r="S40" s="11"/>
    </row>
    <row r="41" spans="2:19" ht="18" outlineLevel="1">
      <c r="B41" s="7"/>
      <c r="C41" s="284"/>
      <c r="D41" s="13" t="s">
        <v>814</v>
      </c>
      <c r="E41" s="523">
        <f>'FEB-MAR 26'!S4-E37</f>
        <v>1463.7100000000003</v>
      </c>
      <c r="F41" s="523">
        <v>0</v>
      </c>
      <c r="G41" s="11">
        <v>1463.71</v>
      </c>
      <c r="H41" s="305"/>
      <c r="J41" s="305"/>
      <c r="L41" s="305"/>
      <c r="N41" s="305"/>
      <c r="O41" s="274">
        <f>SUM(E41:F41)-SUM(G41:N41)</f>
        <v>0</v>
      </c>
      <c r="P41" s="274" t="str">
        <f t="shared" si="4"/>
        <v>CC</v>
      </c>
      <c r="Q41" s="282"/>
      <c r="S41" s="11"/>
    </row>
    <row r="42" spans="2:19" ht="18" outlineLevel="1">
      <c r="B42" s="7"/>
      <c r="C42" s="284"/>
      <c r="D42" s="13" t="s">
        <v>152</v>
      </c>
      <c r="E42" s="523">
        <v>0</v>
      </c>
      <c r="F42" s="523">
        <f>40+30+105+100+50+37+6+1.48+8</f>
        <v>377.48</v>
      </c>
      <c r="G42" s="11">
        <v>40</v>
      </c>
      <c r="H42" s="305">
        <f>31.8+105.5+74+53.22+2.99+100+2.99-25-28-25+7.99+9.49+9.18+15.3+0.99+64.93</f>
        <v>400.38000000000005</v>
      </c>
      <c r="J42" s="305">
        <v>36.979999999999997</v>
      </c>
      <c r="L42" s="305"/>
      <c r="N42" s="305"/>
      <c r="O42" s="274">
        <f>SUM(E42:F42)-SUM(G42:N42)</f>
        <v>-99.880000000000052</v>
      </c>
      <c r="P42" s="274" t="str">
        <f t="shared" si="4"/>
        <v>Kris</v>
      </c>
      <c r="Q42" s="271">
        <f>IF(F42-SUM(G42:N42)&lt;=0,(F42-SUM(G42:N42))*-1,0)</f>
        <v>99.880000000000052</v>
      </c>
    </row>
    <row r="43" spans="2:19">
      <c r="B43" s="118"/>
      <c r="C43" s="118"/>
      <c r="E43" s="523">
        <f>E28</f>
        <v>0</v>
      </c>
      <c r="G43" s="349"/>
      <c r="J43" s="7"/>
      <c r="L43" s="7"/>
      <c r="N43" s="7"/>
      <c r="O43" s="273"/>
      <c r="P43" s="273"/>
      <c r="Q43" s="282"/>
    </row>
    <row r="44" spans="2:19" ht="18">
      <c r="B44" s="728" t="s">
        <v>817</v>
      </c>
      <c r="C44" s="728"/>
      <c r="D44" s="728"/>
      <c r="E44" s="529">
        <f>G44+I44+K44+M44+N44+E43</f>
        <v>5467.32</v>
      </c>
      <c r="F44" s="530"/>
      <c r="G44" s="271">
        <f>3690.32+20+(30+100+100+160+710+50+40)+105+100+37+33+25+6+100+8+20+91+42</f>
        <v>5467.32</v>
      </c>
      <c r="H44" s="282"/>
      <c r="I44" s="271"/>
      <c r="J44" s="271"/>
      <c r="K44" s="271"/>
      <c r="L44" s="271"/>
      <c r="M44" s="271"/>
      <c r="N44" s="271"/>
      <c r="O44" s="314">
        <f>ROUND(O5+O32+O27+IF(O33&lt;0,0,O33)+O42+O4+O41+O39+O38+O35+O37,2)-O40</f>
        <v>3139.21</v>
      </c>
      <c r="P44" s="274"/>
      <c r="Q44" s="282">
        <f>SUM(Q32,Q27,Q5)</f>
        <v>32.950000000000131</v>
      </c>
    </row>
    <row r="45" spans="2:19" ht="18">
      <c r="B45" s="118"/>
      <c r="C45" s="7"/>
      <c r="D45" s="13" t="s">
        <v>1451</v>
      </c>
      <c r="G45" s="523"/>
      <c r="H45" s="243"/>
      <c r="L45" s="243"/>
      <c r="O45" s="610">
        <f>O44-SUM(O4:O5)-O33-O27-O41+O42</f>
        <v>1322.1800000000003</v>
      </c>
      <c r="P45" s="7" t="str">
        <f>IF(O45&lt;0, "DEFICIT", "")</f>
        <v/>
      </c>
    </row>
    <row r="46" spans="2:19" ht="14.4">
      <c r="B46" s="729"/>
      <c r="C46" s="729"/>
      <c r="D46" s="729"/>
      <c r="E46" s="729"/>
      <c r="F46" s="729"/>
      <c r="G46" s="729"/>
      <c r="H46" s="297"/>
      <c r="K46" s="729"/>
      <c r="L46" s="729"/>
      <c r="M46" s="729"/>
      <c r="N46" s="729"/>
      <c r="O46" s="729"/>
      <c r="P46" s="297"/>
    </row>
    <row r="47" spans="2:19" ht="15" customHeight="1">
      <c r="B47" s="726" t="s">
        <v>955</v>
      </c>
      <c r="C47" s="726"/>
      <c r="F47" s="348"/>
      <c r="H47" s="243"/>
      <c r="K47" s="212"/>
      <c r="L47" s="212"/>
      <c r="M47" s="243"/>
      <c r="N47" s="476" t="s">
        <v>3351</v>
      </c>
      <c r="O47" s="316">
        <v>46137</v>
      </c>
      <c r="P47" s="7">
        <f ca="1">DATEDIF(O47,NOW(),"d")</f>
        <v>114</v>
      </c>
      <c r="Q47">
        <v>13</v>
      </c>
      <c r="R47" t="s">
        <v>3352</v>
      </c>
    </row>
    <row r="48" spans="2:19">
      <c r="B48" s="523"/>
      <c r="C48" s="38"/>
      <c r="E48"/>
      <c r="F48" s="659"/>
      <c r="G48" s="7" t="s">
        <v>3355</v>
      </c>
      <c r="H48" s="343">
        <f>O44-O37</f>
        <v>1264.47</v>
      </c>
      <c r="I48" s="243"/>
      <c r="N48" s="637" t="s">
        <v>3332</v>
      </c>
      <c r="O48" s="638">
        <v>46133</v>
      </c>
      <c r="P48" s="639">
        <f ca="1">DATEDIF(O48,NOW(),"d")</f>
        <v>118</v>
      </c>
      <c r="Q48" s="514">
        <v>16</v>
      </c>
      <c r="R48" s="514" t="s">
        <v>3333</v>
      </c>
    </row>
    <row r="49" spans="2:18" ht="16.2" customHeight="1">
      <c r="E49" s="243"/>
      <c r="F49" s="659"/>
      <c r="G49" s="7" t="s">
        <v>3356</v>
      </c>
      <c r="H49" s="292">
        <f>H4-H40</f>
        <v>1481.57</v>
      </c>
      <c r="I49" s="243"/>
      <c r="J49" t="s">
        <v>3361</v>
      </c>
      <c r="K49" s="243">
        <f>O44-(H4-H40)</f>
        <v>1657.64</v>
      </c>
      <c r="M49" s="243"/>
      <c r="N49" s="358" t="s">
        <v>3334</v>
      </c>
      <c r="O49" s="638">
        <v>46133</v>
      </c>
      <c r="P49" s="639">
        <f ca="1">DATEDIF(O49,NOW(),"d")</f>
        <v>118</v>
      </c>
      <c r="Q49">
        <v>22</v>
      </c>
      <c r="R49" t="s">
        <v>3335</v>
      </c>
    </row>
    <row r="50" spans="2:18">
      <c r="B50" s="532"/>
      <c r="E50" s="243"/>
      <c r="F50" s="659"/>
      <c r="G50" s="661" t="s">
        <v>3357</v>
      </c>
      <c r="H50" s="56">
        <f>J4+1806.34</f>
        <v>1187.05</v>
      </c>
      <c r="I50" s="243"/>
      <c r="J50" t="s">
        <v>3362</v>
      </c>
      <c r="K50" s="243">
        <f>K49-O35</f>
        <v>997.47000000000014</v>
      </c>
      <c r="M50" s="243"/>
      <c r="N50" s="243"/>
      <c r="P50"/>
    </row>
    <row r="51" spans="2:18">
      <c r="D51" s="243"/>
      <c r="E51"/>
      <c r="F51" s="659"/>
      <c r="G51" s="7" t="s">
        <v>3358</v>
      </c>
      <c r="H51" s="11">
        <f>O35</f>
        <v>660.17</v>
      </c>
      <c r="I51" s="118"/>
      <c r="J51" t="s">
        <v>3363</v>
      </c>
      <c r="K51">
        <f>K50+(J4*-1)</f>
        <v>1616.7600000000002</v>
      </c>
      <c r="M51" s="243"/>
      <c r="N51" s="243"/>
    </row>
    <row r="52" spans="2:18">
      <c r="E52" s="243"/>
      <c r="G52" s="7" t="s">
        <v>3359</v>
      </c>
      <c r="H52" s="243">
        <f>(O42+O29)*-1</f>
        <v>261.18000000000018</v>
      </c>
      <c r="I52" s="118"/>
      <c r="J52" t="s">
        <v>3364</v>
      </c>
      <c r="K52">
        <f>K51+((O29+O42)*-1)</f>
        <v>1877.9400000000005</v>
      </c>
      <c r="M52" s="656">
        <f>O37-O40</f>
        <v>829.23</v>
      </c>
      <c r="N52" s="243"/>
    </row>
    <row r="53" spans="2:18" ht="15" customHeight="1">
      <c r="E53" s="243"/>
      <c r="F53" s="658"/>
      <c r="G53" s="7" t="s">
        <v>3360</v>
      </c>
      <c r="H53" s="243">
        <f>J4</f>
        <v>-619.29</v>
      </c>
      <c r="I53" s="243"/>
      <c r="K53" s="349"/>
      <c r="L53" s="243"/>
      <c r="M53" s="243"/>
      <c r="N53" s="243"/>
    </row>
    <row r="54" spans="2:18" ht="15.45" customHeight="1">
      <c r="D54" s="243"/>
      <c r="E54"/>
      <c r="F54" s="533"/>
      <c r="G54" s="7" t="s">
        <v>1287</v>
      </c>
      <c r="H54" s="243">
        <f>SUM(H49:H53)</f>
        <v>2970.6800000000003</v>
      </c>
      <c r="I54" s="243"/>
      <c r="J54" s="243" t="s">
        <v>3365</v>
      </c>
      <c r="K54" s="243">
        <f>O37-O40</f>
        <v>829.23</v>
      </c>
      <c r="L54" s="390"/>
      <c r="M54" s="390"/>
      <c r="N54" s="390"/>
    </row>
    <row r="55" spans="2:18" ht="15" customHeight="1">
      <c r="E55"/>
      <c r="F55" s="660"/>
      <c r="G55" s="7" t="s">
        <v>2812</v>
      </c>
      <c r="H55" s="243">
        <f>H54-H48</f>
        <v>1706.2100000000003</v>
      </c>
      <c r="J55" s="243" t="s">
        <v>887</v>
      </c>
      <c r="K55" s="243">
        <f>H4</f>
        <v>2527.08</v>
      </c>
      <c r="L55" s="243"/>
      <c r="M55" s="243">
        <f>O44+K62+K63</f>
        <v>3919.8</v>
      </c>
      <c r="N55" s="243"/>
    </row>
    <row r="56" spans="2:18" ht="16.2" customHeight="1">
      <c r="E56"/>
      <c r="F56" s="660"/>
      <c r="H56" s="243"/>
      <c r="I56" s="243"/>
      <c r="J56" s="243" t="s">
        <v>3366</v>
      </c>
      <c r="K56" s="11">
        <f>O35</f>
        <v>660.17</v>
      </c>
      <c r="O56"/>
    </row>
    <row r="57" spans="2:18" ht="14.7" customHeight="1">
      <c r="B57" s="11"/>
      <c r="E57"/>
      <c r="J57" s="243" t="s">
        <v>3368</v>
      </c>
      <c r="K57" s="243">
        <f>SUM(K54:K56)</f>
        <v>4016.48</v>
      </c>
      <c r="O57"/>
    </row>
    <row r="58" spans="2:18">
      <c r="B58" s="11"/>
      <c r="J58" s="243" t="s">
        <v>3087</v>
      </c>
      <c r="K58" s="243">
        <f>K57-O44</f>
        <v>877.27</v>
      </c>
      <c r="N58" s="726"/>
      <c r="O58" s="726"/>
      <c r="P58"/>
    </row>
    <row r="59" spans="2:18">
      <c r="B59" s="11"/>
      <c r="E59" s="243"/>
      <c r="J59" s="243" t="s">
        <v>3367</v>
      </c>
      <c r="K59" s="369">
        <f>K58+J4</f>
        <v>257.98</v>
      </c>
      <c r="L59" s="349"/>
      <c r="O59"/>
      <c r="P59"/>
    </row>
    <row r="60" spans="2:18">
      <c r="E60" s="660"/>
      <c r="J60" s="243" t="s">
        <v>3369</v>
      </c>
      <c r="K60" s="706">
        <f>K59+O42+O29</f>
        <v>-3.2000000000001592</v>
      </c>
      <c r="L60" s="243"/>
      <c r="M60" s="243"/>
      <c r="O60"/>
      <c r="P60"/>
    </row>
    <row r="61" spans="2:18">
      <c r="B61" s="212"/>
      <c r="C61" s="212"/>
      <c r="E61"/>
      <c r="L61" s="243"/>
      <c r="P61"/>
    </row>
    <row r="62" spans="2:18">
      <c r="C62" s="56"/>
      <c r="E62" s="666"/>
      <c r="F62" s="660"/>
      <c r="G62" s="369"/>
      <c r="J62" s="243" t="s">
        <v>3370</v>
      </c>
      <c r="K62" s="243">
        <f>J4*-1</f>
        <v>619.29</v>
      </c>
      <c r="L62" s="349"/>
      <c r="O62"/>
      <c r="P62"/>
    </row>
    <row r="63" spans="2:18" ht="15.75" customHeight="1">
      <c r="C63" s="56"/>
      <c r="D63" s="634"/>
      <c r="E63" s="666"/>
      <c r="F63"/>
      <c r="J63" s="501" t="s">
        <v>3371</v>
      </c>
      <c r="K63" s="358">
        <f>O29*-1</f>
        <v>161.30000000000013</v>
      </c>
      <c r="L63" s="243"/>
      <c r="M63" s="243"/>
      <c r="O63"/>
      <c r="P63"/>
    </row>
    <row r="64" spans="2:18">
      <c r="C64" s="56"/>
      <c r="E64" s="666"/>
      <c r="J64" s="243"/>
      <c r="K64" s="243"/>
      <c r="M64" s="243"/>
      <c r="O64"/>
      <c r="P64"/>
    </row>
    <row r="65" spans="2:16">
      <c r="C65" s="56"/>
      <c r="E65" s="666"/>
      <c r="G65" s="426"/>
      <c r="O65"/>
      <c r="P65"/>
    </row>
    <row r="66" spans="2:16">
      <c r="C66" s="56"/>
      <c r="E66" s="666"/>
      <c r="G66" s="426"/>
      <c r="H66" s="55"/>
      <c r="O66"/>
      <c r="P66"/>
    </row>
    <row r="67" spans="2:16">
      <c r="C67" s="56"/>
      <c r="E67" s="666"/>
      <c r="G67" s="426"/>
      <c r="O67"/>
      <c r="P67"/>
    </row>
    <row r="68" spans="2:16">
      <c r="C68" s="56"/>
      <c r="G68" s="426"/>
      <c r="N68" s="288"/>
      <c r="O68"/>
      <c r="P68"/>
    </row>
    <row r="69" spans="2:16">
      <c r="C69" s="56"/>
      <c r="F69" s="660"/>
      <c r="L69" s="243"/>
      <c r="O69"/>
      <c r="P69"/>
    </row>
    <row r="70" spans="2:16">
      <c r="C70" s="56"/>
      <c r="F70" s="660"/>
      <c r="I70" s="11"/>
      <c r="O70"/>
      <c r="P70"/>
    </row>
    <row r="71" spans="2:16">
      <c r="B71" s="212"/>
      <c r="C71" s="294"/>
      <c r="O71"/>
      <c r="P71"/>
    </row>
    <row r="72" spans="2:16" ht="15.45" customHeight="1">
      <c r="C72" s="56"/>
      <c r="F72"/>
      <c r="M72" s="243"/>
      <c r="O72"/>
      <c r="P72"/>
    </row>
    <row r="73" spans="2:16">
      <c r="C73" s="56"/>
      <c r="E73" s="625"/>
      <c r="F73" s="660"/>
      <c r="L73" s="459"/>
      <c r="M73" s="461"/>
      <c r="O73"/>
      <c r="P73"/>
    </row>
    <row r="74" spans="2:16">
      <c r="C74" s="56"/>
      <c r="D74" s="634"/>
      <c r="E74" s="533"/>
      <c r="F74" s="660"/>
      <c r="L74" s="459"/>
      <c r="M74" s="461"/>
      <c r="O74"/>
      <c r="P74"/>
    </row>
    <row r="75" spans="2:16" ht="14.4">
      <c r="C75" s="56"/>
      <c r="E75" s="243"/>
      <c r="F75"/>
      <c r="L75" s="459"/>
      <c r="M75" s="461"/>
      <c r="O75"/>
      <c r="P75"/>
    </row>
    <row r="76" spans="2:16">
      <c r="C76" s="56"/>
      <c r="F76" s="660"/>
      <c r="L76" s="188"/>
      <c r="M76" s="230"/>
      <c r="O76"/>
      <c r="P76"/>
    </row>
    <row r="77" spans="2:16">
      <c r="C77" s="56"/>
      <c r="F77" s="660"/>
      <c r="L77" s="188"/>
      <c r="M77" s="230"/>
      <c r="O77"/>
      <c r="P77"/>
    </row>
    <row r="78" spans="2:16">
      <c r="C78" s="56"/>
      <c r="F78" s="660"/>
      <c r="L78" s="188"/>
      <c r="M78" s="230"/>
      <c r="O78"/>
      <c r="P78"/>
    </row>
    <row r="79" spans="2:16">
      <c r="L79" s="188"/>
      <c r="M79" s="230"/>
      <c r="O79"/>
      <c r="P79"/>
    </row>
    <row r="80" spans="2:16">
      <c r="L80" s="532"/>
      <c r="M80" s="230"/>
      <c r="O80"/>
      <c r="P80"/>
    </row>
    <row r="81" spans="4:16">
      <c r="L81" s="405"/>
      <c r="M81" s="230"/>
      <c r="O81"/>
      <c r="P81"/>
    </row>
    <row r="88" spans="4:16">
      <c r="E88" s="533"/>
      <c r="F88" s="212"/>
    </row>
    <row r="89" spans="4:16" ht="14.4">
      <c r="E89"/>
      <c r="F89"/>
    </row>
    <row r="90" spans="4:16">
      <c r="F90" s="56"/>
    </row>
    <row r="91" spans="4:16">
      <c r="F91" s="56"/>
    </row>
    <row r="92" spans="4:16">
      <c r="F92" s="56"/>
      <c r="G92" s="407"/>
    </row>
    <row r="93" spans="4:16" ht="14.4">
      <c r="D93" s="621"/>
      <c r="E93" s="56"/>
      <c r="F93" s="56"/>
      <c r="G93" s="407"/>
    </row>
    <row r="94" spans="4:16" ht="14.4">
      <c r="E94" s="56"/>
      <c r="F94" s="56"/>
      <c r="G94" s="407"/>
    </row>
    <row r="95" spans="4:16" ht="14.4">
      <c r="E95" s="56"/>
      <c r="F95" s="56"/>
      <c r="G95" s="407"/>
    </row>
    <row r="96" spans="4:16">
      <c r="G96" s="407"/>
      <c r="H96" s="11"/>
      <c r="O96"/>
      <c r="P96"/>
    </row>
    <row r="97" spans="7:16">
      <c r="G97" s="407"/>
      <c r="O97"/>
      <c r="P97"/>
    </row>
    <row r="98" spans="7:16">
      <c r="G98" s="407"/>
      <c r="O98"/>
      <c r="P98"/>
    </row>
    <row r="99" spans="7:16">
      <c r="G99" s="407"/>
    </row>
  </sheetData>
  <mergeCells count="19">
    <mergeCell ref="B27:C27"/>
    <mergeCell ref="B31:E31"/>
    <mergeCell ref="B32:C32"/>
    <mergeCell ref="B4:E4"/>
    <mergeCell ref="B1:O1"/>
    <mergeCell ref="G3:H3"/>
    <mergeCell ref="I3:J3"/>
    <mergeCell ref="K3:L3"/>
    <mergeCell ref="M3:N3"/>
    <mergeCell ref="B5:C5"/>
    <mergeCell ref="B6:B19"/>
    <mergeCell ref="C6:C19"/>
    <mergeCell ref="E9:F9"/>
    <mergeCell ref="B26:E26"/>
    <mergeCell ref="B46:G46"/>
    <mergeCell ref="K46:O46"/>
    <mergeCell ref="B47:C47"/>
    <mergeCell ref="B44:D44"/>
    <mergeCell ref="N58:O58"/>
  </mergeCells>
  <pageMargins left="0.7" right="0.7" top="0.75" bottom="0.75" header="0.3" footer="0.3"/>
  <pageSetup orientation="portrait" r:id="rId1"/>
  <legacyDrawing r:id="rId2"/>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6748-8747-4996-8BE5-70B8195CE2DB}">
  <dimension ref="A1:D18"/>
  <sheetViews>
    <sheetView workbookViewId="0">
      <selection activeCell="C12" sqref="C12"/>
    </sheetView>
  </sheetViews>
  <sheetFormatPr defaultColWidth="8.44140625" defaultRowHeight="14.4"/>
  <cols>
    <col min="1" max="1" width="16.109375" bestFit="1" customWidth="1"/>
    <col min="2" max="2" width="13.44140625" customWidth="1"/>
    <col min="3" max="3" width="18.6640625" customWidth="1"/>
    <col min="4" max="4" width="23" customWidth="1"/>
  </cols>
  <sheetData>
    <row r="1" spans="1:4">
      <c r="A1" t="s">
        <v>3068</v>
      </c>
      <c r="B1" s="42">
        <v>46115</v>
      </c>
      <c r="C1" s="516" t="s">
        <v>150</v>
      </c>
    </row>
    <row r="2" spans="1:4">
      <c r="A2" t="s">
        <v>2220</v>
      </c>
      <c r="B2" s="42">
        <v>46118</v>
      </c>
      <c r="C2" s="516" t="s">
        <v>150</v>
      </c>
    </row>
    <row r="3" spans="1:4">
      <c r="A3" t="s">
        <v>3200</v>
      </c>
      <c r="B3">
        <f>DATEDIF(B1, B2, "D")</f>
        <v>3</v>
      </c>
    </row>
    <row r="5" spans="1:4">
      <c r="A5" s="307" t="s">
        <v>559</v>
      </c>
      <c r="B5" s="307" t="s">
        <v>1855</v>
      </c>
      <c r="C5" s="307" t="s">
        <v>3064</v>
      </c>
      <c r="D5" s="307" t="s">
        <v>3065</v>
      </c>
    </row>
    <row r="6" spans="1:4">
      <c r="A6" s="305" t="s">
        <v>3201</v>
      </c>
      <c r="B6" s="188">
        <v>90</v>
      </c>
    </row>
    <row r="7" spans="1:4">
      <c r="A7" s="649" t="s">
        <v>1008</v>
      </c>
      <c r="B7" s="188">
        <v>125</v>
      </c>
      <c r="C7" s="648"/>
      <c r="D7" s="188"/>
    </row>
    <row r="8" spans="1:4">
      <c r="A8" s="649" t="s">
        <v>3202</v>
      </c>
      <c r="B8" s="188">
        <f>75*4</f>
        <v>300</v>
      </c>
      <c r="C8" s="648"/>
      <c r="D8" s="188"/>
    </row>
    <row r="9" spans="1:4">
      <c r="A9" s="305" t="s">
        <v>3066</v>
      </c>
      <c r="B9">
        <f>SUM(B6:B8)</f>
        <v>515</v>
      </c>
    </row>
    <row r="10" spans="1:4">
      <c r="A10" s="305"/>
    </row>
    <row r="11" spans="1:4">
      <c r="A11" s="649" t="s">
        <v>3070</v>
      </c>
      <c r="B11">
        <f>(50+20)*-1</f>
        <v>-70</v>
      </c>
      <c r="C11" s="648"/>
      <c r="D11" s="188"/>
    </row>
    <row r="12" spans="1:4">
      <c r="A12" s="649" t="s">
        <v>683</v>
      </c>
      <c r="B12">
        <f>(350+100)*-1</f>
        <v>-450</v>
      </c>
      <c r="C12" s="648"/>
      <c r="D12" s="188"/>
    </row>
    <row r="13" spans="1:4">
      <c r="A13" s="305" t="s">
        <v>3067</v>
      </c>
      <c r="B13">
        <f>SUMIF(C6:C8,"",B6:B8)+B11+B12</f>
        <v>-5</v>
      </c>
    </row>
    <row r="15" spans="1:4">
      <c r="A15" s="726" t="s">
        <v>2891</v>
      </c>
      <c r="B15" s="726"/>
    </row>
    <row r="16" spans="1:4">
      <c r="A16" t="s">
        <v>17</v>
      </c>
      <c r="B16">
        <v>150</v>
      </c>
    </row>
    <row r="17" spans="1:2">
      <c r="A17" t="s">
        <v>29</v>
      </c>
      <c r="B17">
        <v>100</v>
      </c>
    </row>
    <row r="18" spans="1:2">
      <c r="A18" t="s">
        <v>37</v>
      </c>
      <c r="B18">
        <v>100</v>
      </c>
    </row>
  </sheetData>
  <mergeCells count="1">
    <mergeCell ref="A15:B15"/>
  </mergeCells>
  <pageMargins left="0.7" right="0.7" top="0.75" bottom="0.75" header="0.3" footer="0.3"/>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DA930-D40B-40BE-A332-5D61351A13AB}">
  <dimension ref="A1:X99"/>
  <sheetViews>
    <sheetView topLeftCell="G1" zoomScaleNormal="90" workbookViewId="0">
      <selection activeCell="H33" sqref="H33"/>
    </sheetView>
  </sheetViews>
  <sheetFormatPr defaultColWidth="10.33203125" defaultRowHeight="15.6" outlineLevelRow="1"/>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s>
  <sheetData>
    <row r="1" spans="1:24" ht="25.5" customHeight="1">
      <c r="A1" t="str">
        <f ca="1">UPPER(TEXT((1&amp;LEFT(B$1,3))-1,"MMM"))&amp;"-"&amp;UPPER(TEXT((1&amp;RIGHT(LEFT(B$1,7),3))-1,"MMM"))&amp;" "&amp;RIGHT(B$1,4)</f>
        <v>MAR-APR Y 26</v>
      </c>
      <c r="B1" s="730" t="str">
        <f ca="1">MID(CELL("filename",B1),FIND("]",CELL("filename",B1))+1,255)</f>
        <v>APR-MAY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1449</v>
      </c>
      <c r="M2" s="79" t="s">
        <v>801</v>
      </c>
      <c r="N2" s="307" t="s">
        <v>1450</v>
      </c>
      <c r="O2" s="273" t="s">
        <v>10</v>
      </c>
      <c r="P2" s="273"/>
      <c r="Q2" s="283" t="s">
        <v>803</v>
      </c>
    </row>
    <row r="3" spans="1:24">
      <c r="B3" s="118"/>
      <c r="C3" s="118"/>
      <c r="D3" s="290" t="e">
        <f>"£" &amp; ROUND(O5+O32+O27+IF(#REF!&lt;0,0,#REF!)+O42+O4,2) &amp; " / " &amp; "£" &amp; E44</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",G44*0.5," / Actual = ",ROUND(F4,2)," (",ROUND((F4/G44)*100,2),")")</f>
        <v>Expenses - 50 - 4143.505 / Actual = 3852.13 (46.48)</v>
      </c>
      <c r="C4" s="727"/>
      <c r="D4" s="727"/>
      <c r="E4" s="727"/>
      <c r="F4" s="319">
        <f>ROUND(SUM(F6:F24),2)</f>
        <v>3852.13</v>
      </c>
      <c r="G4" s="243"/>
      <c r="H4" s="304">
        <f>SUM(H5:H42)</f>
        <v>2944.1200000000003</v>
      </c>
      <c r="I4" s="243"/>
      <c r="J4" s="304">
        <f>SUM(J5:J42)</f>
        <v>1445.0699999999997</v>
      </c>
      <c r="K4" s="243"/>
      <c r="L4" s="304">
        <f>SUM(L5:L42)</f>
        <v>0</v>
      </c>
      <c r="M4" s="243"/>
      <c r="N4" s="304">
        <f>SUM(N5:N42)-SUM(N29:N29)</f>
        <v>0</v>
      </c>
      <c r="O4" s="308">
        <f>IF(H43&lt;&gt;"PAID",H4,0)+IF(J43&lt;&gt;"PAID",J4,0)+IF(L43&lt;&gt;"PAID",L4,0)+IF(N43&lt;&gt;"PAID",N4,0)</f>
        <v>4389.1900000000005</v>
      </c>
      <c r="P4" s="309" t="s">
        <v>973</v>
      </c>
      <c r="Q4" s="408"/>
      <c r="R4" s="243"/>
      <c r="S4" s="284"/>
      <c r="T4" s="11"/>
      <c r="U4" s="390"/>
      <c r="V4" s="11"/>
      <c r="W4" s="390"/>
      <c r="X4" s="11"/>
    </row>
    <row r="5" spans="1:24" ht="15" customHeight="1">
      <c r="B5" s="733" t="str">
        <f>IF(D5&gt;E$44*0.5,ROUND(D5-E$44*0.5,2) &amp; " Over",ROUND(E$44*0.5-D5,2) &amp; " Under")</f>
        <v>6153.35 Under</v>
      </c>
      <c r="C5" s="733"/>
      <c r="D5" s="702"/>
      <c r="E5" s="321" t="s">
        <v>1451</v>
      </c>
      <c r="F5" s="321" t="s">
        <v>650</v>
      </c>
      <c r="G5" s="284"/>
      <c r="H5" s="306"/>
      <c r="I5" s="390"/>
      <c r="J5" s="306"/>
      <c r="K5" s="390"/>
      <c r="L5" s="306"/>
      <c r="M5" s="79"/>
      <c r="N5" s="305"/>
      <c r="O5" s="285">
        <f>SUMIF(O6:O24,"&gt;0")</f>
        <v>0</v>
      </c>
      <c r="P5" s="285" t="s">
        <v>892</v>
      </c>
      <c r="Q5" s="282">
        <f>SUM(Q6:Q24)</f>
        <v>0</v>
      </c>
      <c r="R5" s="243"/>
      <c r="T5" s="243"/>
    </row>
    <row r="6" spans="1:24" ht="15" customHeight="1">
      <c r="B6" s="734" t="str">
        <f>"50%: " &amp; E$44*0.5</f>
        <v>50%: 6153.345</v>
      </c>
      <c r="C6" s="734" t="str">
        <f>ROUND((D5/E$44)*100,2) &amp; "%: " &amp;D5</f>
        <v xml:space="preserve">0%: </v>
      </c>
      <c r="D6" s="13" t="s">
        <v>805</v>
      </c>
      <c r="E6" s="523">
        <v>0</v>
      </c>
      <c r="F6" s="528">
        <f>160-40+26.04-8.04</f>
        <v>138</v>
      </c>
      <c r="H6" s="305">
        <f>54.57+54.62+28.81</f>
        <v>138</v>
      </c>
      <c r="J6" s="305"/>
      <c r="L6" s="305"/>
      <c r="N6" s="305"/>
      <c r="O6" s="274">
        <f>SUM(E6:F6)-SUM(G6:N6)</f>
        <v>0</v>
      </c>
      <c r="P6" s="274" t="str">
        <f t="shared" ref="P6:P24" si="0">D6</f>
        <v>Car Petrol / commuting</v>
      </c>
      <c r="Q6" s="282">
        <f>IF(O6&lt;0,O6*-1,0)</f>
        <v>0</v>
      </c>
      <c r="R6" s="243"/>
      <c r="S6" s="243"/>
      <c r="T6" s="243"/>
    </row>
    <row r="7" spans="1:24" ht="15" customHeight="1">
      <c r="B7" s="734"/>
      <c r="C7" s="734"/>
      <c r="D7" s="13" t="s">
        <v>169</v>
      </c>
      <c r="E7" s="523">
        <v>0</v>
      </c>
      <c r="F7" s="523">
        <f>300-0.43</f>
        <v>299.57</v>
      </c>
      <c r="H7" s="305">
        <f>38.15+26.77+16.24+10.2+3.7+2.18+1.35+95.67-2.82+3.65+2+8.99+9.32+84.17</f>
        <v>299.57</v>
      </c>
      <c r="J7" s="305"/>
      <c r="L7" s="305"/>
      <c r="N7" s="305"/>
      <c r="O7" s="274">
        <f>SUM(E7:F7)-SUM(G7:N7)</f>
        <v>0</v>
      </c>
      <c r="P7" s="274" t="str">
        <f t="shared" si="0"/>
        <v>Food</v>
      </c>
      <c r="Q7" s="282">
        <f>IF(O7&lt;0,O7*-1,0)</f>
        <v>0</v>
      </c>
      <c r="R7" s="243"/>
    </row>
    <row r="8" spans="1:24" ht="15" customHeight="1">
      <c r="B8" s="734"/>
      <c r="C8" s="734"/>
      <c r="D8" s="13" t="s">
        <v>153</v>
      </c>
      <c r="E8" s="523">
        <v>0</v>
      </c>
      <c r="F8" s="523">
        <f>120-26.04</f>
        <v>93.960000000000008</v>
      </c>
      <c r="H8" s="305">
        <f>7.01+8.58</f>
        <v>15.59</v>
      </c>
      <c r="J8" s="305">
        <f>35.78+42.59</f>
        <v>78.37</v>
      </c>
      <c r="L8" s="305"/>
      <c r="N8" s="305"/>
      <c r="O8" s="274">
        <f>SUM(E8:F8)-SUM(G8:N8)</f>
        <v>0</v>
      </c>
      <c r="P8" s="274" t="str">
        <f t="shared" si="0"/>
        <v>Luna</v>
      </c>
      <c r="Q8" s="282">
        <f>IF(O8&lt;0,O8*-1,0)</f>
        <v>0</v>
      </c>
    </row>
    <row r="9" spans="1:24" ht="15" customHeight="1">
      <c r="B9" s="734"/>
      <c r="C9" s="734"/>
      <c r="D9" s="13" t="s">
        <v>189</v>
      </c>
      <c r="E9" s="735">
        <f>SUM(F10:F24)</f>
        <v>3320.6000000000004</v>
      </c>
      <c r="F9" s="735"/>
      <c r="G9" s="243"/>
      <c r="H9" s="305"/>
      <c r="J9" s="305"/>
      <c r="L9" s="305"/>
      <c r="N9" s="305"/>
      <c r="O9" s="274"/>
      <c r="P9" s="274" t="str">
        <f t="shared" si="0"/>
        <v>Direct debits</v>
      </c>
      <c r="Q9" s="282"/>
      <c r="R9" s="243"/>
      <c r="T9" s="243"/>
    </row>
    <row r="10" spans="1:24" ht="15" customHeight="1" outlineLevel="1">
      <c r="B10" s="734"/>
      <c r="C10" s="734"/>
      <c r="D10" s="201" t="s">
        <v>595</v>
      </c>
      <c r="E10" s="523">
        <v>0</v>
      </c>
      <c r="F10" s="523">
        <v>838</v>
      </c>
      <c r="G10">
        <v>838</v>
      </c>
      <c r="H10" s="305"/>
      <c r="J10" s="305"/>
      <c r="L10" s="304"/>
      <c r="N10" s="305"/>
      <c r="O10" s="274">
        <f t="shared" ref="O10:O24" si="1">SUM(E10:F10)-SUM(G10:N10)</f>
        <v>0</v>
      </c>
      <c r="P10" s="274" t="str">
        <f t="shared" si="0"/>
        <v>Mortgage</v>
      </c>
      <c r="Q10" s="282">
        <f t="shared" ref="Q10:Q24" si="2">IF(O10&lt;0,O10*-1,0)</f>
        <v>0</v>
      </c>
      <c r="R10" s="243"/>
    </row>
    <row r="11" spans="1:24" ht="15" customHeight="1" outlineLevel="1">
      <c r="B11" s="734"/>
      <c r="C11" s="734"/>
      <c r="D11" s="201" t="s">
        <v>596</v>
      </c>
      <c r="E11" s="523">
        <v>0</v>
      </c>
      <c r="F11" s="523">
        <v>180.32</v>
      </c>
      <c r="G11">
        <v>180.32</v>
      </c>
      <c r="H11" s="305"/>
      <c r="J11" s="305"/>
      <c r="L11" s="305"/>
      <c r="N11" s="305"/>
      <c r="O11" s="274">
        <f t="shared" si="1"/>
        <v>0</v>
      </c>
      <c r="P11" s="274" t="str">
        <f t="shared" si="0"/>
        <v>Council tax</v>
      </c>
      <c r="Q11" s="282">
        <f t="shared" si="2"/>
        <v>0</v>
      </c>
    </row>
    <row r="12" spans="1:24" ht="15" customHeight="1" outlineLevel="1">
      <c r="B12" s="734"/>
      <c r="C12" s="734"/>
      <c r="D12" s="201" t="s">
        <v>1002</v>
      </c>
      <c r="E12" s="523">
        <v>0</v>
      </c>
      <c r="F12" s="523">
        <f>49+92.79</f>
        <v>141.79000000000002</v>
      </c>
      <c r="G12">
        <f>49+92.79</f>
        <v>141.79000000000002</v>
      </c>
      <c r="H12" s="305"/>
      <c r="J12" s="305"/>
      <c r="L12" s="305"/>
      <c r="N12" s="305"/>
      <c r="O12" s="274">
        <f>SUM(E12:F12)-SUM(G12:N12)</f>
        <v>0</v>
      </c>
      <c r="P12" s="274" t="str">
        <f t="shared" si="0"/>
        <v>Utilities (G,W,E,HTB)</v>
      </c>
      <c r="Q12" s="282">
        <f t="shared" si="2"/>
        <v>0</v>
      </c>
    </row>
    <row r="13" spans="1:24" ht="15" customHeight="1" outlineLevel="1">
      <c r="B13" s="734"/>
      <c r="C13" s="734"/>
      <c r="D13" s="201" t="s">
        <v>996</v>
      </c>
      <c r="E13" s="523">
        <v>0</v>
      </c>
      <c r="F13" s="523">
        <v>87.84</v>
      </c>
      <c r="G13">
        <v>87.84</v>
      </c>
      <c r="H13" s="305"/>
      <c r="J13" s="305"/>
      <c r="L13" s="305"/>
      <c r="N13" s="305"/>
      <c r="O13" s="274">
        <f t="shared" si="1"/>
        <v>0</v>
      </c>
      <c r="P13" s="274" t="str">
        <f t="shared" si="0"/>
        <v>Home Insurance</v>
      </c>
      <c r="Q13" s="282">
        <f t="shared" si="2"/>
        <v>0</v>
      </c>
    </row>
    <row r="14" spans="1:24" ht="15" customHeight="1" outlineLevel="1">
      <c r="B14" s="734"/>
      <c r="C14" s="734"/>
      <c r="D14" s="201" t="s">
        <v>1056</v>
      </c>
      <c r="E14" s="523">
        <v>0</v>
      </c>
      <c r="F14" s="523">
        <f>27.97+22.99</f>
        <v>50.959999999999994</v>
      </c>
      <c r="G14">
        <f>22.99+27.97</f>
        <v>50.959999999999994</v>
      </c>
      <c r="H14" s="305"/>
      <c r="J14" s="305"/>
      <c r="L14" s="305"/>
      <c r="N14" s="305"/>
      <c r="O14" s="274">
        <f t="shared" si="1"/>
        <v>0</v>
      </c>
      <c r="P14" s="274" t="str">
        <f t="shared" si="0"/>
        <v>Pet Health / Insurance</v>
      </c>
      <c r="Q14" s="282">
        <f t="shared" si="2"/>
        <v>0</v>
      </c>
      <c r="U14" s="11"/>
    </row>
    <row r="15" spans="1:24" ht="15" customHeight="1" outlineLevel="1">
      <c r="B15" s="734"/>
      <c r="C15" s="734"/>
      <c r="D15" s="201" t="s">
        <v>1057</v>
      </c>
      <c r="E15" s="523">
        <v>0</v>
      </c>
      <c r="F15" s="523">
        <f>30.8+62.08-5</f>
        <v>87.88</v>
      </c>
      <c r="G15">
        <v>87.88</v>
      </c>
      <c r="H15" s="305"/>
      <c r="J15" s="305"/>
      <c r="L15" s="305"/>
      <c r="N15" s="305"/>
      <c r="O15" s="274">
        <f t="shared" si="1"/>
        <v>0</v>
      </c>
      <c r="P15" s="274" t="str">
        <f t="shared" si="0"/>
        <v>Life / Income Insurance</v>
      </c>
      <c r="Q15" s="282">
        <f t="shared" si="2"/>
        <v>0</v>
      </c>
    </row>
    <row r="16" spans="1:24" ht="15" customHeight="1" outlineLevel="1">
      <c r="B16" s="734"/>
      <c r="C16" s="734"/>
      <c r="D16" s="201" t="s">
        <v>602</v>
      </c>
      <c r="E16" s="523">
        <v>0</v>
      </c>
      <c r="F16" s="523">
        <v>40</v>
      </c>
      <c r="G16">
        <v>40</v>
      </c>
      <c r="H16" s="305"/>
      <c r="J16" s="305"/>
      <c r="L16" s="305"/>
      <c r="N16" s="305"/>
      <c r="O16" s="274">
        <f t="shared" si="1"/>
        <v>0</v>
      </c>
      <c r="P16" s="274" t="str">
        <f t="shared" si="0"/>
        <v>Broadband / TV</v>
      </c>
      <c r="Q16" s="282">
        <f t="shared" si="2"/>
        <v>0</v>
      </c>
    </row>
    <row r="17" spans="2:19" ht="15" customHeight="1" outlineLevel="1">
      <c r="B17" s="734"/>
      <c r="C17" s="734"/>
      <c r="D17" s="201" t="s">
        <v>788</v>
      </c>
      <c r="E17" s="523">
        <v>0</v>
      </c>
      <c r="F17" s="523">
        <v>30.9</v>
      </c>
      <c r="G17">
        <v>30.9</v>
      </c>
      <c r="H17" s="305"/>
      <c r="J17" s="305"/>
      <c r="L17" s="305"/>
      <c r="N17" s="305"/>
      <c r="O17" s="274">
        <f t="shared" si="1"/>
        <v>0</v>
      </c>
      <c r="P17" s="274" t="str">
        <f t="shared" si="0"/>
        <v>Matt Phone</v>
      </c>
      <c r="Q17" s="282">
        <f t="shared" si="2"/>
        <v>0</v>
      </c>
    </row>
    <row r="18" spans="2:19" ht="15" customHeight="1" outlineLevel="1">
      <c r="B18" s="734"/>
      <c r="C18" s="734"/>
      <c r="D18" s="201" t="s">
        <v>690</v>
      </c>
      <c r="E18" s="523">
        <v>0</v>
      </c>
      <c r="F18" s="523">
        <f>14.43+48.17+271.59+487.35+58.85+17.09-1.91</f>
        <v>895.57</v>
      </c>
      <c r="G18">
        <f>46.29+58.85+14.43+17.06+271.59+487.35</f>
        <v>895.56999999999994</v>
      </c>
      <c r="H18" s="305"/>
      <c r="J18" s="305"/>
      <c r="L18" s="305"/>
      <c r="N18" s="305"/>
      <c r="O18" s="274">
        <f t="shared" si="1"/>
        <v>0</v>
      </c>
      <c r="P18" s="274" t="str">
        <f t="shared" si="0"/>
        <v>Cars</v>
      </c>
      <c r="Q18" s="282">
        <f t="shared" si="2"/>
        <v>0</v>
      </c>
    </row>
    <row r="19" spans="2:19" ht="15" customHeight="1" outlineLevel="1">
      <c r="B19" s="734"/>
      <c r="C19" s="734"/>
      <c r="D19" s="201" t="s">
        <v>944</v>
      </c>
      <c r="E19" s="523">
        <v>0</v>
      </c>
      <c r="F19" s="523">
        <v>15</v>
      </c>
      <c r="G19">
        <v>15</v>
      </c>
      <c r="H19" s="305"/>
      <c r="J19" s="305"/>
      <c r="L19" s="305"/>
      <c r="N19" s="305"/>
      <c r="O19" s="274">
        <f t="shared" si="1"/>
        <v>0</v>
      </c>
      <c r="P19" s="274" t="str">
        <f t="shared" si="0"/>
        <v>Windows</v>
      </c>
      <c r="Q19" s="282">
        <f t="shared" si="2"/>
        <v>0</v>
      </c>
      <c r="R19" s="243"/>
    </row>
    <row r="20" spans="2:19" ht="15" customHeight="1" outlineLevel="1">
      <c r="B20" s="7"/>
      <c r="C20" s="7"/>
      <c r="D20" s="201" t="s">
        <v>920</v>
      </c>
      <c r="E20" s="523">
        <v>0</v>
      </c>
      <c r="F20" s="523">
        <f>48.22+170+137.5</f>
        <v>355.72</v>
      </c>
      <c r="G20">
        <f>137.5+48.22+170</f>
        <v>355.72</v>
      </c>
      <c r="H20" s="305"/>
      <c r="J20" s="305"/>
      <c r="L20" s="305"/>
      <c r="N20" s="305"/>
      <c r="O20" s="274">
        <f t="shared" si="1"/>
        <v>0</v>
      </c>
      <c r="P20" s="274" t="str">
        <f t="shared" si="0"/>
        <v>Finance</v>
      </c>
      <c r="Q20" s="282"/>
      <c r="R20" s="243"/>
    </row>
    <row r="21" spans="2:19" ht="15" customHeight="1" outlineLevel="1">
      <c r="B21" s="7"/>
      <c r="C21" s="7"/>
      <c r="D21" s="201" t="s">
        <v>2909</v>
      </c>
      <c r="E21" s="523">
        <v>0</v>
      </c>
      <c r="F21" s="523">
        <v>45.79</v>
      </c>
      <c r="G21">
        <v>45.79</v>
      </c>
      <c r="H21" s="305"/>
      <c r="J21" s="305"/>
      <c r="L21" s="305"/>
      <c r="N21" s="305"/>
      <c r="O21" s="274">
        <f t="shared" si="1"/>
        <v>0</v>
      </c>
      <c r="P21" s="274" t="str">
        <f t="shared" si="0"/>
        <v>Kris Phone</v>
      </c>
      <c r="Q21" s="282"/>
      <c r="R21" s="243"/>
      <c r="S21" s="11"/>
    </row>
    <row r="22" spans="2:19" ht="15" customHeight="1" outlineLevel="1">
      <c r="B22" s="7"/>
      <c r="C22" s="7"/>
      <c r="D22" s="201" t="s">
        <v>1297</v>
      </c>
      <c r="E22" s="523">
        <v>0</v>
      </c>
      <c r="F22" s="523">
        <f>50+150+150</f>
        <v>350</v>
      </c>
      <c r="H22" s="305"/>
      <c r="J22" s="305">
        <v>350</v>
      </c>
      <c r="L22" s="305"/>
      <c r="N22" s="305"/>
      <c r="O22" s="274">
        <f t="shared" si="1"/>
        <v>0</v>
      </c>
      <c r="P22" s="274" t="str">
        <f t="shared" si="0"/>
        <v>Skin</v>
      </c>
      <c r="Q22" s="282"/>
      <c r="R22" s="243"/>
      <c r="S22" s="11"/>
    </row>
    <row r="23" spans="2:19" ht="15" customHeight="1" outlineLevel="1">
      <c r="B23" s="7"/>
      <c r="C23" s="7"/>
      <c r="D23" s="201" t="s">
        <v>604</v>
      </c>
      <c r="E23" s="523">
        <v>0</v>
      </c>
      <c r="F23" s="523">
        <f>18+100.16</f>
        <v>118.16</v>
      </c>
      <c r="G23">
        <f>100.16</f>
        <v>100.16</v>
      </c>
      <c r="H23" s="305"/>
      <c r="J23" s="305">
        <f>18</f>
        <v>18</v>
      </c>
      <c r="L23" s="305"/>
      <c r="N23" s="305"/>
      <c r="O23" s="274">
        <f t="shared" si="1"/>
        <v>0</v>
      </c>
      <c r="P23" s="274" t="str">
        <f t="shared" si="0"/>
        <v>Health</v>
      </c>
      <c r="Q23" s="282"/>
      <c r="R23" s="243"/>
      <c r="S23" s="11"/>
    </row>
    <row r="24" spans="2:19" ht="15" customHeight="1" outlineLevel="1">
      <c r="B24" s="7"/>
      <c r="C24" s="7"/>
      <c r="D24" s="201" t="s">
        <v>781</v>
      </c>
      <c r="E24" s="523">
        <v>0</v>
      </c>
      <c r="F24" s="523">
        <f>10.49+18+4.99+0.99+12+20+1.95+13.95+1-0.7</f>
        <v>82.67</v>
      </c>
      <c r="G24" s="11">
        <f>1+12+18+1.79+10.49+5.99+13.4</f>
        <v>62.67</v>
      </c>
      <c r="H24" s="305"/>
      <c r="J24" s="305">
        <f>20</f>
        <v>20</v>
      </c>
      <c r="L24" s="305"/>
      <c r="N24" s="305"/>
      <c r="O24" s="274">
        <f t="shared" si="1"/>
        <v>0</v>
      </c>
      <c r="P24" s="274" t="str">
        <f t="shared" si="0"/>
        <v>Subscriptions</v>
      </c>
      <c r="Q24" s="282">
        <f t="shared" si="2"/>
        <v>0</v>
      </c>
      <c r="R24" s="243"/>
    </row>
    <row r="25" spans="2:19" ht="15" customHeight="1">
      <c r="B25" s="118"/>
      <c r="C25" s="118"/>
      <c r="D25" s="188"/>
      <c r="H25" s="305"/>
      <c r="J25" s="305"/>
      <c r="L25" s="305"/>
      <c r="N25" s="305"/>
      <c r="O25" s="273"/>
      <c r="P25" s="273"/>
      <c r="Q25" s="282"/>
    </row>
    <row r="26" spans="2:19" ht="15" customHeight="1">
      <c r="B26" s="736" t="str">
        <f>_xlfn.CONCAT("Savings - 20 - ",G44*0.2," / Actual = ",F26," (",ROUND((F26/G44)*100,2),")")</f>
        <v>Savings - 20 - 1657.402 / Actual = 51.19 (0.62)</v>
      </c>
      <c r="C26" s="736"/>
      <c r="D26" s="736"/>
      <c r="E26" s="736"/>
      <c r="F26" s="703">
        <f>F28</f>
        <v>51.19</v>
      </c>
      <c r="H26" s="305"/>
      <c r="J26" s="305"/>
      <c r="L26" s="305"/>
      <c r="N26" s="305"/>
      <c r="O26" s="274"/>
      <c r="P26" s="274"/>
      <c r="Q26" s="282"/>
    </row>
    <row r="27" spans="2:19" ht="15" customHeight="1">
      <c r="B27" s="727" t="str">
        <f>IF(ISNUMBER((SEARCH("Over",C$5))),"Operating under budget","Operating over budget")</f>
        <v>Operating over budget</v>
      </c>
      <c r="C27" s="727"/>
      <c r="D27" s="705"/>
      <c r="E27" s="703" t="s">
        <v>1451</v>
      </c>
      <c r="F27" s="703" t="s">
        <v>650</v>
      </c>
      <c r="H27" s="305"/>
      <c r="J27" s="305"/>
      <c r="L27" s="305"/>
      <c r="N27" s="305"/>
      <c r="O27" s="285">
        <f>O28</f>
        <v>-42.419999999999987</v>
      </c>
      <c r="P27" s="285" t="s">
        <v>895</v>
      </c>
      <c r="Q27" s="282">
        <f>SUM(Q28:Q28)</f>
        <v>0</v>
      </c>
      <c r="S27" s="243"/>
    </row>
    <row r="28" spans="2:19" ht="15" customHeight="1" outlineLevel="1">
      <c r="B28" s="7" t="str">
        <f>"20% : " &amp; E$44*0.2</f>
        <v>20% : 2461.338</v>
      </c>
      <c r="C28" s="7" t="str">
        <f>"20% : " &amp; E$44*0.2</f>
        <v>20% : 2461.338</v>
      </c>
      <c r="D28" s="300" t="s">
        <v>183</v>
      </c>
      <c r="E28" s="523">
        <v>0</v>
      </c>
      <c r="F28" s="523">
        <f>SUM(F29:F29)</f>
        <v>51.19</v>
      </c>
      <c r="G28" s="243"/>
      <c r="H28" s="305"/>
      <c r="J28" s="305"/>
      <c r="L28" s="305"/>
      <c r="N28" s="305"/>
      <c r="O28" s="274">
        <f>SUM(O29:O29)</f>
        <v>-42.419999999999987</v>
      </c>
      <c r="P28" s="274" t="str">
        <f t="shared" ref="P28:P29" si="3">D28</f>
        <v>Savings</v>
      </c>
      <c r="Q28" s="282">
        <v>0</v>
      </c>
      <c r="R28" s="495"/>
      <c r="S28" s="243"/>
    </row>
    <row r="29" spans="2:19" ht="15" customHeight="1" outlineLevel="1">
      <c r="B29" s="7"/>
      <c r="C29" s="7"/>
      <c r="D29" s="300" t="s">
        <v>3311</v>
      </c>
      <c r="E29" s="523">
        <f>87.24</f>
        <v>87.24</v>
      </c>
      <c r="F29" s="523">
        <f>50+1.19</f>
        <v>51.19</v>
      </c>
      <c r="H29" s="305">
        <f>41.09+11.01</f>
        <v>52.1</v>
      </c>
      <c r="J29" s="305">
        <f>60+68.75</f>
        <v>128.75</v>
      </c>
      <c r="L29" s="305" t="s">
        <v>3410</v>
      </c>
      <c r="N29" s="315"/>
      <c r="O29" s="274">
        <f>SUM(E29:F29)-SUM(G29:N29)-Q44</f>
        <v>-42.419999999999987</v>
      </c>
      <c r="P29" s="274" t="str">
        <f t="shared" si="3"/>
        <v>Monthly Contingency</v>
      </c>
      <c r="Q29" s="282"/>
    </row>
    <row r="30" spans="2:19" ht="15" customHeight="1">
      <c r="B30" s="118"/>
      <c r="C30" s="118"/>
      <c r="H30" s="305"/>
      <c r="J30" s="305"/>
      <c r="L30" s="305"/>
      <c r="N30" s="305"/>
      <c r="O30" s="273"/>
      <c r="P30" s="273"/>
      <c r="Q30" s="282"/>
      <c r="R30" s="243"/>
    </row>
    <row r="31" spans="2:19" ht="15" customHeight="1">
      <c r="B31" s="727" t="str">
        <f>_xlfn.CONCAT("Wants - 30 - ",G44*0.3," / Actual = ",F31," (",ROUND((F31/G44)*100,2),")")</f>
        <v>Wants - 30 - 2486.103 / Actual = 4383.69 (52.9)</v>
      </c>
      <c r="C31" s="727"/>
      <c r="D31" s="727"/>
      <c r="E31" s="727"/>
      <c r="F31" s="704">
        <f>(E$44-F4-F26-E43)</f>
        <v>4383.6899999999969</v>
      </c>
      <c r="H31" s="305"/>
      <c r="J31" s="305"/>
      <c r="L31" s="305"/>
      <c r="N31" s="305"/>
      <c r="O31" s="273"/>
      <c r="P31" s="273"/>
      <c r="Q31" s="282"/>
    </row>
    <row r="32" spans="2:19" ht="15" customHeight="1">
      <c r="B32" s="727" t="str">
        <f>IF(ISNUMBER((SEARCH("Over",B$5))),"Operating under budget","Operating over budget")</f>
        <v>Operating over budget</v>
      </c>
      <c r="C32" s="727"/>
      <c r="D32" s="705"/>
      <c r="E32" s="320" t="s">
        <v>1451</v>
      </c>
      <c r="F32" s="319" t="s">
        <v>650</v>
      </c>
      <c r="H32" s="305"/>
      <c r="J32" s="305"/>
      <c r="L32" s="305"/>
      <c r="N32" s="305"/>
      <c r="O32" s="285">
        <f>0</f>
        <v>0</v>
      </c>
      <c r="P32" s="285" t="s">
        <v>899</v>
      </c>
      <c r="Q32" s="282">
        <f>SUM(Q33:Q33)</f>
        <v>0</v>
      </c>
      <c r="S32" s="11"/>
    </row>
    <row r="33" spans="2:19" ht="18" outlineLevel="1">
      <c r="B33" s="7"/>
      <c r="C33" s="284"/>
      <c r="D33" s="13" t="s">
        <v>922</v>
      </c>
      <c r="E33" s="523">
        <v>0</v>
      </c>
      <c r="F33" s="523">
        <f>F31-F42-F40-F38-F39-F35-F37-F34-F41-F36</f>
        <v>256.52999999999611</v>
      </c>
      <c r="G33" s="11">
        <f>9.99+6.9+2.2+2.21</f>
        <v>21.3</v>
      </c>
      <c r="H33" s="305">
        <f>11.47+5.15+3.69+9.99+19.08+4.2+11.59+5.95+2.5</f>
        <v>73.62</v>
      </c>
      <c r="J33" s="305">
        <f>9.5+62.46+2.65</f>
        <v>74.610000000000014</v>
      </c>
      <c r="L33" s="305"/>
      <c r="N33" s="305"/>
      <c r="O33" s="274">
        <f>(SUM(E33:F33)-SUM(G33:N33))+O34</f>
        <v>-3.922195901395753E-12</v>
      </c>
      <c r="P33" s="274" t="str">
        <f t="shared" ref="P33:P42" si="4">D33</f>
        <v>Matt Fun</v>
      </c>
      <c r="Q33" s="271">
        <f>IF(F33-SUM(G33:N33)&lt;=0,(F33-SUM(G33:N33))*-1,0)</f>
        <v>0</v>
      </c>
      <c r="S33" s="11"/>
    </row>
    <row r="34" spans="2:19" ht="18" outlineLevel="1">
      <c r="B34" s="7"/>
      <c r="C34" s="284"/>
      <c r="D34" s="13" t="s">
        <v>3354</v>
      </c>
      <c r="E34" s="523">
        <v>0</v>
      </c>
      <c r="F34" s="523">
        <v>0</v>
      </c>
      <c r="G34" s="11"/>
      <c r="H34" s="305">
        <f>12.1+56.35</f>
        <v>68.45</v>
      </c>
      <c r="J34" s="305">
        <f>11.05+7.5</f>
        <v>18.55</v>
      </c>
      <c r="L34" s="305"/>
      <c r="N34" s="305"/>
      <c r="O34" s="274">
        <f>(SUM(E34:F34)-SUM(G34:N34))</f>
        <v>-87</v>
      </c>
      <c r="P34" s="274" t="str">
        <f t="shared" si="4"/>
        <v>Yorkshire Day</v>
      </c>
      <c r="Q34" s="271"/>
      <c r="S34" s="11"/>
    </row>
    <row r="35" spans="2:19" ht="18" outlineLevel="1">
      <c r="B35" s="7"/>
      <c r="C35" s="284"/>
      <c r="D35" s="13" t="s">
        <v>3353</v>
      </c>
      <c r="E35" s="523">
        <v>0</v>
      </c>
      <c r="F35" s="523">
        <f>16.45</f>
        <v>16.45</v>
      </c>
      <c r="G35" s="11"/>
      <c r="H35" s="305">
        <f>16.45</f>
        <v>16.45</v>
      </c>
      <c r="J35" s="305"/>
      <c r="L35" s="305"/>
      <c r="N35" s="305"/>
      <c r="O35" s="274">
        <f t="shared" ref="O35:O37" si="5">(SUM(E35:F35)-SUM(G35:N35))</f>
        <v>0</v>
      </c>
      <c r="P35" s="274" t="str">
        <f t="shared" si="4"/>
        <v>Royal Mail Shit</v>
      </c>
      <c r="Q35" s="271"/>
      <c r="S35" s="11"/>
    </row>
    <row r="36" spans="2:19" ht="18" outlineLevel="1">
      <c r="B36" s="7"/>
      <c r="C36" s="284"/>
      <c r="D36" s="13" t="s">
        <v>3321</v>
      </c>
      <c r="E36" s="523">
        <f>829.23-E29</f>
        <v>741.99</v>
      </c>
      <c r="F36" s="523">
        <v>1045.51</v>
      </c>
      <c r="G36" s="11"/>
      <c r="H36" s="305"/>
      <c r="J36" s="305"/>
      <c r="L36" s="305"/>
      <c r="N36" s="305"/>
      <c r="O36" s="274">
        <f t="shared" si="5"/>
        <v>1787.5</v>
      </c>
      <c r="P36" s="274" t="str">
        <f t="shared" si="4"/>
        <v>Bali Refund</v>
      </c>
      <c r="Q36" s="271"/>
      <c r="S36" s="11"/>
    </row>
    <row r="37" spans="2:19" ht="18" outlineLevel="1">
      <c r="B37" s="7"/>
      <c r="C37" s="284"/>
      <c r="D37" s="13" t="s">
        <v>859</v>
      </c>
      <c r="E37" s="523">
        <v>0</v>
      </c>
      <c r="F37" s="523">
        <f>140+1245+46.02+0.57</f>
        <v>1431.59</v>
      </c>
      <c r="G37" s="11">
        <v>220</v>
      </c>
      <c r="H37" s="305">
        <f>33.99+61.75+41.15+22.48+80+6.45+9.71+5.25+4.9</f>
        <v>265.67999999999995</v>
      </c>
      <c r="J37" s="305">
        <f>58.81+1.95+6.24+16.66+61.49+3.56+12.03+22.72+29.42+21.84+34.24+4.55+2.71+131.27+2.68+2.68+4.9+21.4+13.82+0.97+15.63+4.95+3.13+10.96+1.06+7.7+8.6+7.31+2.23+44.52+41.37+7.79+19.65+3.02+9.05</f>
        <v>640.90999999999985</v>
      </c>
      <c r="L37" s="305"/>
      <c r="N37" s="305"/>
      <c r="O37" s="274">
        <f t="shared" si="5"/>
        <v>305.00000000000023</v>
      </c>
      <c r="P37" s="274" t="str">
        <f t="shared" si="4"/>
        <v>Latvia</v>
      </c>
      <c r="Q37" s="271"/>
      <c r="S37" s="11"/>
    </row>
    <row r="38" spans="2:19" ht="18" outlineLevel="1">
      <c r="B38" s="7"/>
      <c r="C38" s="284"/>
      <c r="D38" s="13" t="s">
        <v>3310</v>
      </c>
      <c r="E38" s="523">
        <f>'MAR-APR 26'!O35+3.2</f>
        <v>663.37</v>
      </c>
      <c r="F38" s="523">
        <f>836.66+50-1245-46.02+100.71-150+28</f>
        <v>-425.65000000000003</v>
      </c>
      <c r="G38" s="11">
        <f>46.25+20+60</f>
        <v>126.25</v>
      </c>
      <c r="H38" s="305"/>
      <c r="J38" s="305"/>
      <c r="L38" s="305"/>
      <c r="N38" s="305"/>
      <c r="O38" s="274">
        <f>(SUM(E38:F38)-SUM(G38:N38))</f>
        <v>111.46999999999997</v>
      </c>
      <c r="P38" s="274" t="str">
        <f t="shared" si="4"/>
        <v>Sinking Fund</v>
      </c>
      <c r="Q38" s="271"/>
      <c r="S38" s="11"/>
    </row>
    <row r="39" spans="2:19" ht="18" outlineLevel="1">
      <c r="B39" s="7"/>
      <c r="C39" s="284"/>
      <c r="D39" s="13" t="s">
        <v>3340</v>
      </c>
      <c r="E39" s="523">
        <v>0</v>
      </c>
      <c r="F39" s="523">
        <v>200.56</v>
      </c>
      <c r="G39" s="11"/>
      <c r="H39" s="305">
        <f>(23.25-16.45)+9.18+19.55+12.23+4.59+120.05+1.91+4.57+5.77+5.32+5.01</f>
        <v>194.98</v>
      </c>
      <c r="J39" s="305">
        <v>5.58</v>
      </c>
      <c r="L39" s="305"/>
      <c r="N39" s="305"/>
      <c r="O39" s="274">
        <f>(SUM(E39:F39)-SUM(G39:N39))</f>
        <v>0</v>
      </c>
      <c r="P39" s="274" t="str">
        <f t="shared" si="4"/>
        <v>JAX</v>
      </c>
      <c r="Q39" s="271"/>
      <c r="S39" s="11"/>
    </row>
    <row r="40" spans="2:19" ht="18" outlineLevel="1">
      <c r="B40" s="7"/>
      <c r="C40" s="284"/>
      <c r="D40" s="13" t="s">
        <v>814</v>
      </c>
      <c r="E40" s="523">
        <f>'MAR-APR 26'!H4</f>
        <v>2527.08</v>
      </c>
      <c r="F40" s="523">
        <v>0</v>
      </c>
      <c r="G40" s="11">
        <v>2527.08</v>
      </c>
      <c r="H40" s="305"/>
      <c r="J40" s="305"/>
      <c r="L40" s="305"/>
      <c r="N40" s="305"/>
      <c r="O40" s="274">
        <f>SUM(E40:F40)-SUM(G40:N40)</f>
        <v>0</v>
      </c>
      <c r="P40" s="274" t="str">
        <f t="shared" si="4"/>
        <v>CC</v>
      </c>
      <c r="Q40" s="282"/>
      <c r="S40" s="11"/>
    </row>
    <row r="41" spans="2:19" ht="18" outlineLevel="1">
      <c r="B41" s="7"/>
      <c r="C41" s="284"/>
      <c r="D41" s="13" t="s">
        <v>1641</v>
      </c>
      <c r="E41" s="523">
        <v>0</v>
      </c>
      <c r="F41" s="523">
        <v>1442.91</v>
      </c>
      <c r="G41" s="11"/>
      <c r="H41" s="305">
        <f>11.08+13.89+19.06+42.79+29.85+46.71+28.34+68.85+151.4+38.39+30.58+40.43+60.64+13.38+71.85+769.1+6.57</f>
        <v>1442.91</v>
      </c>
      <c r="J41" s="305"/>
      <c r="L41" s="305"/>
      <c r="N41" s="305"/>
      <c r="O41" s="274">
        <f>SUM(E41:F41)-SUM(G41:N41)</f>
        <v>0</v>
      </c>
      <c r="P41" s="274" t="str">
        <f t="shared" si="4"/>
        <v>Work</v>
      </c>
      <c r="Q41" s="282"/>
      <c r="S41" s="11"/>
    </row>
    <row r="42" spans="2:19" ht="18" outlineLevel="1">
      <c r="B42" s="7"/>
      <c r="C42" s="284"/>
      <c r="D42" s="13" t="s">
        <v>152</v>
      </c>
      <c r="E42" s="523">
        <f>'MAR-APR 26'!O42</f>
        <v>-99.880000000000052</v>
      </c>
      <c r="F42" s="523">
        <f>20+26+48.3+3.99+110+90+55+28+17+17.5</f>
        <v>415.78999999999996</v>
      </c>
      <c r="G42" s="11"/>
      <c r="H42" s="305">
        <f>48.3+3.99+55.6+91.97+28.47+146.91+17.09+7.99-33.04+9.49</f>
        <v>376.77</v>
      </c>
      <c r="J42" s="305">
        <f>110.3</f>
        <v>110.3</v>
      </c>
      <c r="L42" s="305"/>
      <c r="N42" s="305"/>
      <c r="O42" s="274">
        <f>SUM(E42:F42)-SUM(G42:N42)</f>
        <v>-171.16000000000008</v>
      </c>
      <c r="P42" s="274" t="str">
        <f t="shared" si="4"/>
        <v>Kris</v>
      </c>
      <c r="Q42" s="271">
        <f>IF(F42-SUM(G42:N42)&lt;=0,(F42-SUM(G42:N42))*-1,0)</f>
        <v>71.28000000000003</v>
      </c>
    </row>
    <row r="43" spans="2:19">
      <c r="B43" s="118"/>
      <c r="C43" s="118"/>
      <c r="E43" s="523">
        <f>E29+E36+E38+E40</f>
        <v>4019.68</v>
      </c>
      <c r="G43" s="349"/>
      <c r="J43" s="7"/>
      <c r="L43" s="7"/>
      <c r="N43" s="7"/>
      <c r="O43" s="273"/>
      <c r="P43" s="273"/>
      <c r="Q43" s="282"/>
    </row>
    <row r="44" spans="2:19" ht="18">
      <c r="B44" s="728" t="s">
        <v>817</v>
      </c>
      <c r="C44" s="728"/>
      <c r="D44" s="728"/>
      <c r="E44" s="529">
        <f>G44+I44+K44+M44+N44+E43</f>
        <v>12306.689999999999</v>
      </c>
      <c r="F44" s="530"/>
      <c r="G44" s="271">
        <f>3720.69+20+(1060+160+20+26+48.3+3.99)+110+90+55+28+150+17+2631.32+(300.71-200)+18+28</f>
        <v>8287.0099999999984</v>
      </c>
      <c r="H44" s="282"/>
      <c r="I44" s="271"/>
      <c r="J44" s="271"/>
      <c r="K44" s="271"/>
      <c r="L44" s="271"/>
      <c r="M44" s="271"/>
      <c r="N44" s="271"/>
      <c r="O44" s="314">
        <f>ROUND(O5+O32+O27+IF(O33&lt;0,0,O33)+O42+O4+O40,2)+O39+O38+O37+O36+O41</f>
        <v>6379.58</v>
      </c>
      <c r="P44" s="274"/>
      <c r="Q44" s="282">
        <f>SUM(Q32,Q27,Q5)</f>
        <v>0</v>
      </c>
    </row>
    <row r="45" spans="2:19" ht="18">
      <c r="B45" s="118"/>
      <c r="C45" s="7"/>
      <c r="D45" s="13" t="s">
        <v>1451</v>
      </c>
      <c r="G45" s="523"/>
      <c r="H45" s="243"/>
      <c r="L45" s="243"/>
      <c r="O45" s="610">
        <f>O44-SUM(O4:O5)-O33-O27-O40+O42</f>
        <v>1861.6500000000033</v>
      </c>
      <c r="P45" s="7" t="str">
        <f>IF(O45&lt;0, "DEFICIT", "")</f>
        <v/>
      </c>
    </row>
    <row r="46" spans="2:19" ht="14.4">
      <c r="B46" s="729"/>
      <c r="C46" s="729"/>
      <c r="D46" s="729"/>
      <c r="E46" s="729"/>
      <c r="F46" s="729"/>
      <c r="G46" s="729"/>
      <c r="H46" s="297"/>
      <c r="K46" s="729"/>
      <c r="L46" s="729"/>
      <c r="M46" s="729"/>
      <c r="N46" s="729"/>
      <c r="O46" s="729"/>
      <c r="P46" s="297"/>
    </row>
    <row r="47" spans="2:19" ht="15" customHeight="1">
      <c r="B47" s="726" t="s">
        <v>955</v>
      </c>
      <c r="C47" s="726"/>
      <c r="F47" s="348"/>
      <c r="H47" s="243"/>
      <c r="K47" s="212"/>
      <c r="L47" s="212"/>
      <c r="M47" s="243"/>
      <c r="N47" s="476" t="s">
        <v>3411</v>
      </c>
      <c r="O47" s="316">
        <v>46165</v>
      </c>
      <c r="P47" s="7">
        <f ca="1">DATEDIF(O47,NOW(),"d")</f>
        <v>86</v>
      </c>
      <c r="Q47">
        <v>13.4</v>
      </c>
      <c r="R47" t="s">
        <v>3418</v>
      </c>
    </row>
    <row r="48" spans="2:19">
      <c r="B48" s="523"/>
      <c r="C48" s="38"/>
      <c r="F48" s="659"/>
      <c r="G48" s="243"/>
      <c r="H48" s="369"/>
      <c r="I48" s="243"/>
      <c r="J48" s="349"/>
      <c r="L48" s="349"/>
      <c r="N48" s="637" t="s">
        <v>3412</v>
      </c>
      <c r="O48" s="638">
        <v>46162</v>
      </c>
      <c r="P48" s="639">
        <f ca="1">DATEDIF(O48,NOW(),"d")</f>
        <v>89</v>
      </c>
      <c r="Q48" s="514">
        <v>9.32</v>
      </c>
      <c r="R48" s="514" t="s">
        <v>1105</v>
      </c>
    </row>
    <row r="49" spans="2:18" ht="16.2" customHeight="1">
      <c r="E49" s="243"/>
      <c r="F49" s="659"/>
      <c r="H49" s="243">
        <f>146.91-98</f>
        <v>48.91</v>
      </c>
      <c r="I49" s="243"/>
      <c r="J49" s="243"/>
      <c r="L49" s="243"/>
      <c r="M49" s="243"/>
      <c r="N49" s="358" t="s">
        <v>3414</v>
      </c>
      <c r="O49" s="638">
        <v>46162</v>
      </c>
      <c r="P49" s="639">
        <f ca="1">DATEDIF(O49,NOW(),"d")</f>
        <v>89</v>
      </c>
      <c r="Q49">
        <v>28.52</v>
      </c>
      <c r="R49" t="s">
        <v>3415</v>
      </c>
    </row>
    <row r="50" spans="2:18">
      <c r="B50" s="532"/>
      <c r="E50"/>
      <c r="F50" s="659"/>
      <c r="G50" s="243"/>
      <c r="H50" s="55"/>
      <c r="I50" s="243"/>
      <c r="K50" s="349"/>
      <c r="L50" s="243"/>
      <c r="M50" s="243"/>
      <c r="N50" s="243"/>
      <c r="P50"/>
    </row>
    <row r="51" spans="2:18">
      <c r="D51" s="243"/>
      <c r="E51"/>
      <c r="F51" s="659"/>
      <c r="H51" s="55"/>
      <c r="I51" s="118"/>
      <c r="J51" s="243"/>
      <c r="K51" s="243"/>
      <c r="L51" s="349"/>
      <c r="M51" s="243">
        <f>J4+28.52</f>
        <v>1473.5899999999997</v>
      </c>
      <c r="N51" s="243"/>
      <c r="P51"/>
      <c r="Q51" s="243"/>
    </row>
    <row r="52" spans="2:18">
      <c r="E52" s="243"/>
      <c r="H52" s="55"/>
      <c r="I52" s="118"/>
      <c r="J52" s="243"/>
      <c r="L52" s="243"/>
      <c r="M52" s="243">
        <f>1473.74-M51</f>
        <v>0.15000000000031832</v>
      </c>
      <c r="P52" s="292"/>
      <c r="Q52" s="212"/>
    </row>
    <row r="53" spans="2:18" ht="15" customHeight="1">
      <c r="E53" s="243"/>
      <c r="F53" s="658"/>
      <c r="H53" s="55"/>
      <c r="I53" s="243"/>
      <c r="J53" s="243"/>
      <c r="K53" s="243"/>
      <c r="M53" s="243"/>
      <c r="N53" s="656"/>
      <c r="O53" s="243"/>
      <c r="P53" s="56"/>
      <c r="Q53" s="38"/>
    </row>
    <row r="54" spans="2:18" ht="15.45" customHeight="1">
      <c r="D54" s="243"/>
      <c r="E54"/>
      <c r="F54" s="533"/>
      <c r="G54" s="369"/>
      <c r="H54" s="55"/>
      <c r="I54" s="243"/>
      <c r="J54" s="243"/>
      <c r="K54" s="243"/>
      <c r="L54" s="390"/>
      <c r="M54" s="390"/>
      <c r="N54" s="390"/>
      <c r="O54" s="343"/>
      <c r="P54"/>
    </row>
    <row r="55" spans="2:18" ht="15" customHeight="1">
      <c r="D55" s="243"/>
      <c r="E55"/>
      <c r="F55" s="660"/>
      <c r="H55" s="55"/>
      <c r="J55" s="243"/>
      <c r="K55" s="243"/>
      <c r="M55" s="243"/>
    </row>
    <row r="56" spans="2:18" ht="16.2" customHeight="1">
      <c r="D56" s="243"/>
      <c r="E56"/>
      <c r="F56" s="660"/>
      <c r="H56" s="243"/>
      <c r="I56" s="243"/>
      <c r="J56" s="243"/>
      <c r="O56"/>
    </row>
    <row r="57" spans="2:18" ht="14.7" customHeight="1">
      <c r="B57" s="11"/>
      <c r="D57" s="243"/>
      <c r="E57"/>
      <c r="J57" s="243"/>
      <c r="K57" s="243"/>
      <c r="O57"/>
      <c r="P57"/>
    </row>
    <row r="58" spans="2:18">
      <c r="B58" s="11"/>
      <c r="E58" s="243"/>
      <c r="K58" s="243"/>
      <c r="P58"/>
    </row>
    <row r="59" spans="2:18">
      <c r="B59" s="11"/>
      <c r="E59" s="243"/>
      <c r="O59"/>
      <c r="P59"/>
    </row>
    <row r="60" spans="2:18">
      <c r="K60" s="243"/>
      <c r="M60" s="243"/>
      <c r="P60"/>
    </row>
    <row r="61" spans="2:18">
      <c r="B61" s="212"/>
      <c r="C61" s="212"/>
      <c r="D61" s="726"/>
      <c r="E61" s="726"/>
      <c r="K61" s="243"/>
      <c r="O61" s="243"/>
      <c r="P61"/>
    </row>
    <row r="62" spans="2:18">
      <c r="C62" s="56"/>
      <c r="E62" s="666"/>
      <c r="F62" s="660"/>
      <c r="G62" s="369"/>
      <c r="L62" s="243"/>
      <c r="O62" s="243"/>
      <c r="P62"/>
    </row>
    <row r="63" spans="2:18" ht="15.75" customHeight="1">
      <c r="C63" s="56"/>
      <c r="D63" s="634"/>
      <c r="E63" s="666"/>
      <c r="F63"/>
      <c r="K63" s="243"/>
      <c r="M63" s="243"/>
      <c r="O63"/>
      <c r="P63"/>
    </row>
    <row r="64" spans="2:18">
      <c r="C64" s="56"/>
      <c r="E64" s="666"/>
      <c r="G64" s="426"/>
      <c r="K64" s="243"/>
      <c r="L64" s="243"/>
      <c r="M64" s="243"/>
      <c r="O64"/>
      <c r="P64"/>
    </row>
    <row r="65" spans="2:16">
      <c r="C65" s="56"/>
      <c r="E65" s="666"/>
      <c r="G65" s="426"/>
      <c r="K65" s="243"/>
      <c r="O65"/>
      <c r="P65"/>
    </row>
    <row r="66" spans="2:16">
      <c r="C66" s="56"/>
      <c r="E66" s="666"/>
      <c r="G66" s="426"/>
      <c r="K66" s="243"/>
      <c r="O66"/>
      <c r="P66"/>
    </row>
    <row r="67" spans="2:16">
      <c r="C67" s="56"/>
      <c r="E67" s="666"/>
      <c r="G67" s="426"/>
      <c r="O67"/>
      <c r="P67"/>
    </row>
    <row r="68" spans="2:16">
      <c r="C68" s="56"/>
      <c r="G68" s="426"/>
      <c r="N68" s="288"/>
      <c r="O68"/>
      <c r="P68"/>
    </row>
    <row r="69" spans="2:16">
      <c r="C69" s="56"/>
      <c r="G69" s="726"/>
      <c r="H69" s="726"/>
      <c r="L69" s="243"/>
      <c r="O69"/>
      <c r="P69"/>
    </row>
    <row r="70" spans="2:16">
      <c r="C70" s="56"/>
      <c r="I70" s="11"/>
      <c r="O70"/>
      <c r="P70"/>
    </row>
    <row r="71" spans="2:16">
      <c r="B71" s="212"/>
      <c r="C71" s="294"/>
      <c r="O71"/>
      <c r="P71"/>
    </row>
    <row r="72" spans="2:16" ht="15.45" customHeight="1">
      <c r="C72" s="56"/>
      <c r="F72"/>
      <c r="M72" s="243"/>
      <c r="O72"/>
      <c r="P72"/>
    </row>
    <row r="73" spans="2:16">
      <c r="C73" s="56"/>
      <c r="E73" s="625"/>
      <c r="F73" s="625"/>
      <c r="L73" s="459"/>
      <c r="M73" s="461"/>
      <c r="O73"/>
      <c r="P73"/>
    </row>
    <row r="74" spans="2:16">
      <c r="C74" s="56"/>
      <c r="D74" s="634"/>
      <c r="E74" s="533"/>
      <c r="L74" s="459"/>
      <c r="M74" s="461"/>
      <c r="O74"/>
      <c r="P74"/>
    </row>
    <row r="75" spans="2:16" ht="14.4">
      <c r="C75" s="56"/>
      <c r="E75" s="243"/>
      <c r="F75"/>
      <c r="L75" s="459"/>
      <c r="M75" s="461"/>
      <c r="O75"/>
      <c r="P75"/>
    </row>
    <row r="76" spans="2:16">
      <c r="C76" s="56"/>
      <c r="L76" s="188"/>
      <c r="M76" s="230"/>
      <c r="O76"/>
      <c r="P76"/>
    </row>
    <row r="77" spans="2:16">
      <c r="C77" s="56"/>
      <c r="L77" s="188"/>
      <c r="M77" s="230"/>
      <c r="O77"/>
      <c r="P77"/>
    </row>
    <row r="78" spans="2:16">
      <c r="C78" s="56"/>
      <c r="L78" s="188"/>
      <c r="M78" s="230"/>
      <c r="O78"/>
      <c r="P78"/>
    </row>
    <row r="79" spans="2:16">
      <c r="L79" s="188"/>
      <c r="M79" s="230"/>
      <c r="O79"/>
      <c r="P79"/>
    </row>
    <row r="80" spans="2:16">
      <c r="L80" s="532"/>
      <c r="M80" s="230"/>
      <c r="O80"/>
      <c r="P80"/>
    </row>
    <row r="81" spans="4:16">
      <c r="L81" s="405"/>
      <c r="M81" s="230"/>
      <c r="O81"/>
      <c r="P81"/>
    </row>
    <row r="88" spans="4:16">
      <c r="E88" s="533"/>
      <c r="F88" s="212"/>
    </row>
    <row r="89" spans="4:16" ht="14.4">
      <c r="E89"/>
      <c r="F89"/>
    </row>
    <row r="90" spans="4:16">
      <c r="F90" s="56"/>
    </row>
    <row r="91" spans="4:16">
      <c r="F91" s="56"/>
    </row>
    <row r="92" spans="4:16">
      <c r="F92" s="56"/>
      <c r="G92" s="407"/>
    </row>
    <row r="93" spans="4:16" ht="14.4">
      <c r="D93" s="621"/>
      <c r="E93" s="56"/>
      <c r="F93" s="56"/>
      <c r="G93" s="407"/>
    </row>
    <row r="94" spans="4:16" ht="14.4">
      <c r="E94" s="56"/>
      <c r="F94" s="56"/>
      <c r="G94" s="407"/>
    </row>
    <row r="95" spans="4:16" ht="14.4">
      <c r="E95" s="56"/>
      <c r="F95" s="56"/>
      <c r="G95" s="407"/>
    </row>
    <row r="96" spans="4:16">
      <c r="G96" s="407"/>
      <c r="H96" s="11"/>
      <c r="O96"/>
      <c r="P96"/>
    </row>
    <row r="97" spans="7:16">
      <c r="G97" s="407"/>
      <c r="O97"/>
      <c r="P97"/>
    </row>
    <row r="98" spans="7:16">
      <c r="G98" s="407"/>
      <c r="O98"/>
      <c r="P98"/>
    </row>
    <row r="99" spans="7:16">
      <c r="G99" s="407"/>
    </row>
  </sheetData>
  <mergeCells count="20">
    <mergeCell ref="D61:E61"/>
    <mergeCell ref="G69:H69"/>
    <mergeCell ref="B31:E31"/>
    <mergeCell ref="B32:C32"/>
    <mergeCell ref="B44:D44"/>
    <mergeCell ref="B46:G46"/>
    <mergeCell ref="K46:O46"/>
    <mergeCell ref="B47:C47"/>
    <mergeCell ref="B5:C5"/>
    <mergeCell ref="B6:B19"/>
    <mergeCell ref="C6:C19"/>
    <mergeCell ref="E9:F9"/>
    <mergeCell ref="B26:E26"/>
    <mergeCell ref="B27:C27"/>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D165-A160-47E2-B339-7DAC46FA094C}">
  <dimension ref="A1:H105"/>
  <sheetViews>
    <sheetView workbookViewId="0">
      <selection activeCell="B8" sqref="B8"/>
    </sheetView>
  </sheetViews>
  <sheetFormatPr defaultColWidth="8.44140625" defaultRowHeight="14.4"/>
  <cols>
    <col min="1" max="1" width="16.109375" bestFit="1" customWidth="1"/>
    <col min="2" max="2" width="13.44140625" customWidth="1"/>
    <col min="3" max="3" width="18.6640625" customWidth="1"/>
    <col min="4" max="4" width="23" customWidth="1"/>
  </cols>
  <sheetData>
    <row r="1" spans="1:8">
      <c r="A1" t="s">
        <v>3068</v>
      </c>
      <c r="B1" s="42">
        <v>46149</v>
      </c>
      <c r="C1" s="516">
        <v>0.90277777777777779</v>
      </c>
      <c r="D1" t="s">
        <v>3349</v>
      </c>
    </row>
    <row r="2" spans="1:8">
      <c r="A2" t="s">
        <v>2220</v>
      </c>
      <c r="B2" s="42">
        <v>46157</v>
      </c>
      <c r="C2" s="516">
        <v>0.29166666666666669</v>
      </c>
      <c r="D2" t="s">
        <v>3350</v>
      </c>
    </row>
    <row r="3" spans="1:8">
      <c r="A3" t="s">
        <v>3069</v>
      </c>
      <c r="B3">
        <f>DATEDIF(B1, B2, "D")</f>
        <v>8</v>
      </c>
    </row>
    <row r="4" spans="1:8">
      <c r="F4" s="79"/>
      <c r="H4" s="79"/>
    </row>
    <row r="5" spans="1:8">
      <c r="A5" s="307" t="s">
        <v>559</v>
      </c>
      <c r="B5" s="307" t="s">
        <v>137</v>
      </c>
      <c r="C5" s="307" t="s">
        <v>3064</v>
      </c>
      <c r="D5" s="307" t="s">
        <v>3065</v>
      </c>
      <c r="F5" s="79"/>
      <c r="H5" s="79"/>
    </row>
    <row r="6" spans="1:8">
      <c r="A6" s="649" t="s">
        <v>2835</v>
      </c>
      <c r="B6">
        <v>240</v>
      </c>
      <c r="C6" s="648">
        <v>46119</v>
      </c>
      <c r="D6" s="188" t="s">
        <v>3319</v>
      </c>
    </row>
    <row r="7" spans="1:8">
      <c r="A7" s="649" t="s">
        <v>2868</v>
      </c>
      <c r="C7" s="648"/>
      <c r="D7" s="188"/>
    </row>
    <row r="8" spans="1:8">
      <c r="A8" s="649" t="s">
        <v>2864</v>
      </c>
      <c r="B8">
        <f>(34*8)+(33)</f>
        <v>305</v>
      </c>
      <c r="C8" s="648"/>
      <c r="D8" s="188"/>
    </row>
    <row r="9" spans="1:8">
      <c r="A9" s="305" t="s">
        <v>3285</v>
      </c>
      <c r="B9">
        <v>80</v>
      </c>
    </row>
    <row r="10" spans="1:8">
      <c r="A10" s="649" t="s">
        <v>1725</v>
      </c>
      <c r="B10">
        <v>850</v>
      </c>
      <c r="C10" s="648"/>
      <c r="D10" s="188"/>
    </row>
    <row r="11" spans="1:8">
      <c r="A11" s="649" t="s">
        <v>3320</v>
      </c>
      <c r="B11">
        <f>100+50</f>
        <v>150</v>
      </c>
      <c r="C11" s="648"/>
      <c r="D11" s="188"/>
    </row>
    <row r="12" spans="1:8">
      <c r="A12" s="649" t="s">
        <v>1713</v>
      </c>
      <c r="B12">
        <v>0</v>
      </c>
      <c r="C12" s="648"/>
      <c r="D12" s="188"/>
    </row>
    <row r="13" spans="1:8">
      <c r="A13" s="305" t="s">
        <v>3066</v>
      </c>
      <c r="B13">
        <f>SUM(B6:B12)</f>
        <v>1625</v>
      </c>
    </row>
    <row r="14" spans="1:8">
      <c r="A14" s="305"/>
    </row>
    <row r="15" spans="1:8">
      <c r="A15" s="649" t="s">
        <v>3070</v>
      </c>
      <c r="B15">
        <f>-140</f>
        <v>-140</v>
      </c>
      <c r="C15" s="648"/>
      <c r="D15" s="188"/>
    </row>
    <row r="16" spans="1:8">
      <c r="A16" s="649" t="s">
        <v>683</v>
      </c>
      <c r="C16" s="648"/>
      <c r="D16" s="188"/>
    </row>
    <row r="17" spans="1:6">
      <c r="A17" s="305" t="s">
        <v>3067</v>
      </c>
      <c r="B17" s="42">
        <f>SUMIF(C6:C12,"",B6:B12)+B15+B16</f>
        <v>1245</v>
      </c>
    </row>
    <row r="19" spans="1:6">
      <c r="E19" s="726"/>
      <c r="F19" s="726"/>
    </row>
    <row r="21" spans="1:6"/>
    <row r="27" spans="1:6">
      <c r="A27" t="s">
        <v>1765</v>
      </c>
      <c r="B27">
        <v>850</v>
      </c>
      <c r="D27" t="s">
        <v>3320</v>
      </c>
      <c r="E27">
        <f>150</f>
        <v>150</v>
      </c>
    </row>
    <row r="28" spans="1:6">
      <c r="A28" t="s">
        <v>3373</v>
      </c>
    </row>
    <row r="29" spans="1:6">
      <c r="A29" t="s">
        <v>3372</v>
      </c>
      <c r="B29">
        <v>33.99</v>
      </c>
      <c r="D29" t="s">
        <v>3379</v>
      </c>
      <c r="E29">
        <v>59.7</v>
      </c>
      <c r="F29">
        <f>E27-E29</f>
        <v>90.3</v>
      </c>
    </row>
    <row r="30" spans="1:6">
      <c r="A30" t="s">
        <v>1557</v>
      </c>
      <c r="B30">
        <f>41.15+61.75</f>
        <v>102.9</v>
      </c>
      <c r="D30" t="s">
        <v>3394</v>
      </c>
      <c r="E30">
        <f>(60*0.86)</f>
        <v>51.6</v>
      </c>
      <c r="F30">
        <f>F29-E30</f>
        <v>38.699999999999996</v>
      </c>
    </row>
    <row r="31" spans="1:6">
      <c r="A31" t="s">
        <v>3378</v>
      </c>
      <c r="B31">
        <v>6.45</v>
      </c>
    </row>
    <row r="32" spans="1:6">
      <c r="B32">
        <v>22.48</v>
      </c>
    </row>
    <row r="33" spans="1:2">
      <c r="A33" t="s">
        <v>3374</v>
      </c>
    </row>
    <row r="34" spans="1:2">
      <c r="A34" t="s">
        <v>3375</v>
      </c>
      <c r="B34">
        <v>85</v>
      </c>
    </row>
    <row r="37" spans="1:2">
      <c r="A37" s="77">
        <v>46149</v>
      </c>
    </row>
    <row r="38" spans="1:2">
      <c r="A38" t="s">
        <v>3376</v>
      </c>
      <c r="B38">
        <v>1.95</v>
      </c>
    </row>
    <row r="39" spans="1:2">
      <c r="A39" t="s">
        <v>3377</v>
      </c>
      <c r="B39">
        <v>6.24</v>
      </c>
    </row>
    <row r="40" spans="1:2">
      <c r="A40" t="s">
        <v>918</v>
      </c>
      <c r="B40">
        <v>57.1</v>
      </c>
    </row>
    <row r="41" spans="1:2">
      <c r="A41" t="s">
        <v>2959</v>
      </c>
      <c r="B41">
        <v>9.7100000000000009</v>
      </c>
    </row>
    <row r="43" spans="1:2">
      <c r="A43" s="77">
        <v>46150</v>
      </c>
    </row>
    <row r="44" spans="1:2">
      <c r="A44" t="s">
        <v>3380</v>
      </c>
      <c r="B44">
        <v>16.66</v>
      </c>
    </row>
    <row r="45" spans="1:2">
      <c r="A45" t="s">
        <v>3381</v>
      </c>
      <c r="B45">
        <v>22.72</v>
      </c>
    </row>
    <row r="46" spans="1:2">
      <c r="A46" t="s">
        <v>3382</v>
      </c>
      <c r="B46">
        <v>3.56</v>
      </c>
    </row>
    <row r="47" spans="1:2">
      <c r="A47" t="s">
        <v>3382</v>
      </c>
      <c r="B47">
        <v>12.03</v>
      </c>
    </row>
    <row r="48" spans="1:2">
      <c r="A48" t="s">
        <v>3383</v>
      </c>
      <c r="B48">
        <f>5.25+4.9</f>
        <v>10.15</v>
      </c>
    </row>
    <row r="50" spans="1:3">
      <c r="A50" s="77">
        <v>46151</v>
      </c>
      <c r="B50">
        <f>ROUND(C50/6.5,2)</f>
        <v>70.62</v>
      </c>
      <c r="C50">
        <f>B27-SUM(B29:B48)</f>
        <v>459.06</v>
      </c>
    </row>
    <row r="51" spans="1:3">
      <c r="A51" t="s">
        <v>3384</v>
      </c>
      <c r="B51">
        <v>29.42</v>
      </c>
      <c r="C51">
        <f xml:space="preserve">  B50*1.16</f>
        <v>81.919200000000004</v>
      </c>
    </row>
    <row r="52" spans="1:3">
      <c r="A52" t="s">
        <v>1085</v>
      </c>
      <c r="B52">
        <v>21.84</v>
      </c>
    </row>
    <row r="53" spans="1:3">
      <c r="A53" t="s">
        <v>3385</v>
      </c>
      <c r="B53">
        <v>2.71</v>
      </c>
    </row>
    <row r="54" spans="1:3">
      <c r="A54" s="77" t="s">
        <v>3144</v>
      </c>
      <c r="B54">
        <v>34.24</v>
      </c>
    </row>
    <row r="55" spans="1:3">
      <c r="A55" t="s">
        <v>3386</v>
      </c>
      <c r="B55">
        <v>4.55</v>
      </c>
    </row>
    <row r="57" spans="1:3">
      <c r="A57" s="77">
        <v>46152</v>
      </c>
      <c r="B57">
        <f>ROUND(C57/5.5,2)</f>
        <v>66.599999999999994</v>
      </c>
      <c r="C57">
        <f>C50-SUM(B51:B55)</f>
        <v>366.3</v>
      </c>
    </row>
    <row r="58" spans="1:3">
      <c r="A58" t="s">
        <v>3387</v>
      </c>
      <c r="B58">
        <v>131.27000000000001</v>
      </c>
      <c r="C58">
        <f>B57*1.16</f>
        <v>77.255999999999986</v>
      </c>
    </row>
    <row r="59" spans="1:3">
      <c r="A59" s="77" t="s">
        <v>3388</v>
      </c>
      <c r="B59">
        <f>2.68*2</f>
        <v>5.36</v>
      </c>
    </row>
    <row r="61" spans="1:3">
      <c r="A61" s="77">
        <v>46153</v>
      </c>
      <c r="B61">
        <f>IF(SUM(B62:B68)&gt;35,SUM(B62:B68),35)</f>
        <v>58.32</v>
      </c>
      <c r="C61">
        <f>C57-B58-B59</f>
        <v>229.67</v>
      </c>
    </row>
    <row r="62" spans="1:3">
      <c r="A62" t="s">
        <v>3389</v>
      </c>
      <c r="B62">
        <v>4.95</v>
      </c>
      <c r="C62">
        <f>B61*1.16</f>
        <v>67.651199999999989</v>
      </c>
    </row>
    <row r="63" spans="1:3">
      <c r="A63" t="s">
        <v>3398</v>
      </c>
      <c r="B63">
        <v>0.97</v>
      </c>
    </row>
    <row r="64" spans="1:3">
      <c r="A64" t="s">
        <v>3390</v>
      </c>
      <c r="B64">
        <v>21.4</v>
      </c>
    </row>
    <row r="65" spans="1:3">
      <c r="A65" t="s">
        <v>3391</v>
      </c>
      <c r="B65">
        <v>4</v>
      </c>
    </row>
    <row r="66" spans="1:3">
      <c r="A66" t="s">
        <v>3391</v>
      </c>
      <c r="B66">
        <v>13</v>
      </c>
    </row>
    <row r="67" spans="1:3">
      <c r="A67" t="s">
        <v>3144</v>
      </c>
      <c r="B67">
        <v>14</v>
      </c>
    </row>
    <row r="69" spans="1:3">
      <c r="A69" s="77">
        <v>46154</v>
      </c>
      <c r="B69">
        <f>IF(SUM(B70:B73)&gt;ROUND(C69/3,2),SUM(B70:B73),ROUND(C69/3,2))</f>
        <v>71.33</v>
      </c>
      <c r="C69">
        <f>C61-B61</f>
        <v>171.35</v>
      </c>
    </row>
    <row r="70" spans="1:3">
      <c r="A70" t="s">
        <v>3392</v>
      </c>
      <c r="B70">
        <v>3</v>
      </c>
      <c r="C70">
        <f>B69*1.16</f>
        <v>82.742799999999988</v>
      </c>
    </row>
    <row r="71" spans="1:3">
      <c r="A71" t="s">
        <v>3395</v>
      </c>
      <c r="B71">
        <v>50</v>
      </c>
    </row>
    <row r="72" spans="1:3">
      <c r="A72" t="s">
        <v>3386</v>
      </c>
      <c r="B72">
        <v>15.63</v>
      </c>
    </row>
    <row r="73" spans="1:3">
      <c r="A73" t="s">
        <v>3393</v>
      </c>
      <c r="B73">
        <v>2.7</v>
      </c>
      <c r="C73">
        <f>C70-(SUM(B70:B73)*1.16)</f>
        <v>0</v>
      </c>
    </row>
    <row r="74" spans="1:3">
      <c r="A74" s="77">
        <v>46155</v>
      </c>
      <c r="B74">
        <f>IF(SUM(B75:B77)&gt;ROUND(C74/2,2),SUM(B75:B77),ROUND(C74/2,2))</f>
        <v>59.739999999999995</v>
      </c>
      <c r="C74">
        <f>C69-B69</f>
        <v>100.02</v>
      </c>
    </row>
    <row r="75" spans="1:3">
      <c r="A75" t="s">
        <v>3380</v>
      </c>
      <c r="B75">
        <f>9*0.86</f>
        <v>7.74</v>
      </c>
      <c r="C75">
        <f>B74*1.16</f>
        <v>69.298399999999987</v>
      </c>
    </row>
    <row r="76" spans="1:3">
      <c r="A76" t="s">
        <v>3396</v>
      </c>
      <c r="B76">
        <f>(2+7)+(20*0.86)</f>
        <v>26.2</v>
      </c>
    </row>
    <row r="77" spans="1:3">
      <c r="A77" t="s">
        <v>3144</v>
      </c>
      <c r="B77">
        <f>30*0.86</f>
        <v>25.8</v>
      </c>
    </row>
    <row r="78" spans="1:3">
      <c r="A78" s="77">
        <v>46156</v>
      </c>
      <c r="B78">
        <f>IF(SUM(B79:B80)&gt;ROUND(C78/1,2),SUM(B79:B80),ROUND(C78/1,2))</f>
        <v>45.171413999999999</v>
      </c>
      <c r="C78">
        <f>C74-SUM(B75:B77)</f>
        <v>40.28</v>
      </c>
    </row>
    <row r="79" spans="1:3">
      <c r="A79" t="s">
        <v>1443</v>
      </c>
      <c r="B79">
        <f>(51*0.86)*1.0299</f>
        <v>45.171413999999999</v>
      </c>
      <c r="C79">
        <f>B78*1.16</f>
        <v>52.398840239999991</v>
      </c>
    </row>
    <row r="81" spans="1:3">
      <c r="A81" s="77">
        <v>46157</v>
      </c>
      <c r="B81">
        <f>C78-B78</f>
        <v>-4.8914139999999975</v>
      </c>
      <c r="C81">
        <f>B81*1.16</f>
        <v>-5.6740402399999965</v>
      </c>
    </row>
    <row r="86" spans="1:3">
      <c r="A86" t="s">
        <v>1475</v>
      </c>
      <c r="B86">
        <v>250</v>
      </c>
    </row>
    <row r="87" spans="1:3">
      <c r="A87" t="s">
        <v>3394</v>
      </c>
      <c r="B87">
        <v>60</v>
      </c>
    </row>
    <row r="88" spans="1:3">
      <c r="A88" t="s">
        <v>3396</v>
      </c>
      <c r="B88">
        <v>20</v>
      </c>
    </row>
    <row r="89" spans="1:3">
      <c r="A89" t="s">
        <v>3397</v>
      </c>
      <c r="B89">
        <v>100</v>
      </c>
    </row>
    <row r="90" spans="1:3">
      <c r="A90" t="s">
        <v>3144</v>
      </c>
      <c r="B90">
        <v>20</v>
      </c>
    </row>
    <row r="91" spans="1:3">
      <c r="A91" t="s">
        <v>3395</v>
      </c>
      <c r="B91">
        <v>50</v>
      </c>
    </row>
    <row r="93" spans="1:3">
      <c r="A93">
        <f>SUM(B29:B32)</f>
        <v>165.82</v>
      </c>
      <c r="B93" t="s">
        <v>3373</v>
      </c>
    </row>
    <row r="94" spans="1:3">
      <c r="A94">
        <v>9.7100000000000009</v>
      </c>
    </row>
    <row r="95" spans="1:3">
      <c r="A95">
        <f>78.34-60</f>
        <v>18.340000000000003</v>
      </c>
    </row>
    <row r="96" spans="1:3">
      <c r="A96">
        <v>404.66</v>
      </c>
    </row>
    <row r="97" spans="1:2">
      <c r="A97">
        <v>56.77</v>
      </c>
    </row>
    <row r="98" spans="1:2">
      <c r="A98">
        <f>56.25-9.99-9.49</f>
        <v>36.769999999999996</v>
      </c>
    </row>
    <row r="99" spans="1:2">
      <c r="A99">
        <f>250*0.84</f>
        <v>210</v>
      </c>
      <c r="B99" t="s">
        <v>3401</v>
      </c>
    </row>
    <row r="100" spans="1:2">
      <c r="A100">
        <v>44.52</v>
      </c>
      <c r="B100" t="s">
        <v>3402</v>
      </c>
    </row>
    <row r="101" spans="1:2">
      <c r="A101">
        <v>41.37</v>
      </c>
      <c r="B101" t="s">
        <v>3403</v>
      </c>
    </row>
    <row r="102" spans="1:2">
      <c r="A102">
        <v>7.79</v>
      </c>
      <c r="B102" t="s">
        <v>3386</v>
      </c>
    </row>
    <row r="103" spans="1:2">
      <c r="A103">
        <v>19.079999999999998</v>
      </c>
      <c r="B103" t="s">
        <v>3376</v>
      </c>
    </row>
    <row r="104" spans="1:2">
      <c r="A104">
        <f>1000-SUM(A93:A103)</f>
        <v>-14.829999999999927</v>
      </c>
      <c r="B104" t="s">
        <v>3399</v>
      </c>
    </row>
    <row r="105" spans="1:2">
      <c r="A105">
        <f>A104*1.16</f>
        <v>-17.202799999999915</v>
      </c>
      <c r="B105" t="s">
        <v>3400</v>
      </c>
    </row>
  </sheetData>
  <mergeCells count="1">
    <mergeCell ref="E19:F19"/>
  </mergeCells>
  <pageMargins left="0.7" right="0.7" top="0.75" bottom="0.75" header="0.3" footer="0.3"/>
  <legacyDrawing r:id="rId1"/>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32B2-3F61-4F77-B101-0D458657549D}">
  <dimension ref="A1:X103"/>
  <sheetViews>
    <sheetView topLeftCell="D30" zoomScaleNormal="90" workbookViewId="0">
      <selection activeCell="G48" sqref="G48"/>
    </sheetView>
  </sheetViews>
  <sheetFormatPr defaultColWidth="10.33203125" defaultRowHeight="15.6" outlineLevelRow="2"/>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 min="16384" max="16384" width="10.33203125" bestFit="1" customWidth="1"/>
  </cols>
  <sheetData>
    <row r="1" spans="1:24" ht="25.5" customHeight="1">
      <c r="A1" t="str">
        <f ca="1">UPPER(TEXT((1&amp;LEFT(B$1,3))-1,"MMM"))&amp;"-"&amp;UPPER(TEXT((1&amp;RIGHT(LEFT(B$1,7),3))-1,"MMM"))&amp;" "&amp;RIGHT(B$1,4)</f>
        <v>APR-MAY N 26</v>
      </c>
      <c r="B1" s="730" t="str">
        <f ca="1">MID(CELL("filename",B1),FIND("]",CELL("filename",B1))+1,255)</f>
        <v>MAY-JUN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3429</v>
      </c>
      <c r="M2" s="79" t="s">
        <v>801</v>
      </c>
      <c r="N2" s="307" t="s">
        <v>1450</v>
      </c>
      <c r="O2" s="273" t="s">
        <v>10</v>
      </c>
      <c r="P2" s="273"/>
      <c r="Q2" s="283" t="s">
        <v>803</v>
      </c>
    </row>
    <row r="3" spans="1:24">
      <c r="B3" s="118"/>
      <c r="C3" s="118"/>
      <c r="D3" s="290" t="e">
        <f>"£" &amp; ROUND(O5+O33+O28+IF(#REF!&lt;0,0,#REF!)+O46+O4,2) &amp; " / " &amp; "£" &amp; E48</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",G48*0.5," / Actual = ",ROUND(F4,2)," (",ROUND((F4/G48)*100,2),")")</f>
        <v>Expenses - 50 - 3256.21 / Actual = 3622.61 (55.63)</v>
      </c>
      <c r="C4" s="727"/>
      <c r="D4" s="727"/>
      <c r="E4" s="727"/>
      <c r="F4" s="319">
        <f>ROUND(SUM(F6:F25),2)</f>
        <v>3622.61</v>
      </c>
      <c r="G4" s="243"/>
      <c r="H4" s="304">
        <f>SUM(H5:H46)</f>
        <v>4892.4399999999996</v>
      </c>
      <c r="I4" s="243"/>
      <c r="J4" s="304">
        <f>SUM(J5:J46)</f>
        <v>1336.3700000000001</v>
      </c>
      <c r="K4" s="243"/>
      <c r="L4" s="304"/>
      <c r="M4" s="243"/>
      <c r="N4" s="304"/>
      <c r="O4" s="308">
        <f>IF(H47&lt;&gt;"PAID",H4,0)+IF(J47&lt;&gt;"PAID",J4,0)+IF(L47&lt;&gt;"PAID",L4,0)+IF(N47&lt;&gt;"PAID",N4,0)</f>
        <v>6228.8099999999995</v>
      </c>
      <c r="P4" s="309" t="s">
        <v>973</v>
      </c>
      <c r="Q4" s="408"/>
      <c r="R4" s="243"/>
      <c r="S4" s="284"/>
      <c r="T4" s="11"/>
      <c r="U4" s="390"/>
      <c r="V4" s="11"/>
      <c r="W4" s="390"/>
      <c r="X4" s="11"/>
    </row>
    <row r="5" spans="1:24" ht="15" customHeight="1">
      <c r="B5" s="733" t="str">
        <f>IF(D5&gt;E$48*0.5,ROUND(D5-E$48*0.5,2) &amp; " Over",ROUND(E$48*0.5-D5,2) &amp; " Under")</f>
        <v>5552.25 Under</v>
      </c>
      <c r="C5" s="733"/>
      <c r="D5" s="702"/>
      <c r="E5" s="321" t="s">
        <v>1451</v>
      </c>
      <c r="F5" s="321" t="s">
        <v>650</v>
      </c>
      <c r="G5" s="284"/>
      <c r="H5" s="306"/>
      <c r="I5" s="390"/>
      <c r="J5" s="306"/>
      <c r="K5" s="390"/>
      <c r="L5" s="306"/>
      <c r="M5" s="79"/>
      <c r="N5" s="305"/>
      <c r="O5" s="285">
        <f>SUMIF(O6:O25,"&gt;0")</f>
        <v>3.0000000000086402E-2</v>
      </c>
      <c r="P5" s="285" t="s">
        <v>892</v>
      </c>
      <c r="Q5" s="282">
        <f>SUM(Q6:Q25)</f>
        <v>2.2999999999999972</v>
      </c>
      <c r="R5" s="243"/>
      <c r="T5" s="243"/>
    </row>
    <row r="6" spans="1:24" ht="15" customHeight="1">
      <c r="B6" s="734" t="str">
        <f>"50%: " &amp; E$48*0.5</f>
        <v>50%: 5552.25</v>
      </c>
      <c r="C6" s="734" t="str">
        <f>ROUND((D5/E$48)*100,2) &amp; "%: " &amp;D5</f>
        <v xml:space="preserve">0%: </v>
      </c>
      <c r="D6" s="13" t="s">
        <v>805</v>
      </c>
      <c r="E6" s="523">
        <v>0</v>
      </c>
      <c r="F6" s="528">
        <f>160+26.8+49.29</f>
        <v>236.09</v>
      </c>
      <c r="H6" s="305">
        <f>27.92+35.6+35.49+35.63+35.05+33.2+33.2</f>
        <v>236.08999999999997</v>
      </c>
      <c r="J6" s="305"/>
      <c r="L6" s="305"/>
      <c r="N6" s="305"/>
      <c r="O6" s="274">
        <f>SUM(E6:F6)-SUM(G6:N6)</f>
        <v>0</v>
      </c>
      <c r="P6" s="274" t="str">
        <f t="shared" ref="P6:P25" si="0">D6</f>
        <v>Car Petrol / commuting</v>
      </c>
      <c r="Q6" s="282">
        <f>IF(O6&lt;0,O6*-1,0)</f>
        <v>0</v>
      </c>
      <c r="R6" s="243"/>
      <c r="S6" s="243" t="s">
        <v>3447</v>
      </c>
      <c r="T6" s="243"/>
    </row>
    <row r="7" spans="1:24" ht="15" customHeight="1">
      <c r="B7" s="734"/>
      <c r="C7" s="734"/>
      <c r="D7" s="13" t="s">
        <v>169</v>
      </c>
      <c r="E7" s="523">
        <v>0</v>
      </c>
      <c r="F7" s="523">
        <f>428.98+45.87+32.78+19.73</f>
        <v>527.36</v>
      </c>
      <c r="H7" s="305">
        <f>28.98+12.65+99.1+4.25+37.15+7.72+4.9+106+10.15+15.84+24.48+8.99+12.27+(101.68-20)+8+1.65</f>
        <v>463.80999999999995</v>
      </c>
      <c r="J7" s="305">
        <f>9.3+42.73+7.44+4.08</f>
        <v>63.55</v>
      </c>
      <c r="L7" s="305"/>
      <c r="N7" s="305"/>
      <c r="O7" s="274">
        <f>SUM(E7:F7)-SUM(G7:N7)</f>
        <v>0</v>
      </c>
      <c r="P7" s="274" t="str">
        <f t="shared" si="0"/>
        <v>Food</v>
      </c>
      <c r="Q7" s="282">
        <f>IF(O7&lt;0,O7*-1,0)</f>
        <v>0</v>
      </c>
      <c r="R7" s="243" t="s">
        <v>3446</v>
      </c>
      <c r="S7">
        <f>Q7-45.87</f>
        <v>-45.87</v>
      </c>
    </row>
    <row r="8" spans="1:24" ht="15" customHeight="1">
      <c r="B8" s="734"/>
      <c r="C8" s="734"/>
      <c r="D8" s="13" t="s">
        <v>153</v>
      </c>
      <c r="E8" s="523">
        <v>0</v>
      </c>
      <c r="F8" s="523">
        <f>120-26.8</f>
        <v>93.2</v>
      </c>
      <c r="H8" s="305"/>
      <c r="J8" s="305">
        <f>23.9+19.4+26.5+23.4</f>
        <v>93.199999999999989</v>
      </c>
      <c r="L8" s="305"/>
      <c r="N8" s="305"/>
      <c r="O8" s="274">
        <f>SUM(E8:F8)-SUM(G8:N8)</f>
        <v>0</v>
      </c>
      <c r="P8" s="274" t="str">
        <f t="shared" si="0"/>
        <v>Luna</v>
      </c>
      <c r="Q8" s="282">
        <f>IF(O8&lt;0,O8*-1,0)</f>
        <v>0</v>
      </c>
      <c r="R8" t="s">
        <v>3448</v>
      </c>
      <c r="S8" s="243">
        <f>S7-T38</f>
        <v>-45.87</v>
      </c>
    </row>
    <row r="9" spans="1:24" ht="15" customHeight="1">
      <c r="B9" s="734"/>
      <c r="C9" s="734"/>
      <c r="D9" s="13" t="s">
        <v>954</v>
      </c>
      <c r="E9" s="523">
        <v>0</v>
      </c>
      <c r="F9" s="523">
        <v>18</v>
      </c>
      <c r="H9" s="305"/>
      <c r="J9" s="305">
        <v>18</v>
      </c>
      <c r="L9" s="305"/>
      <c r="N9" s="305"/>
      <c r="O9" s="274">
        <f>SUM(E9:F9)-SUM(G9:N9)</f>
        <v>0</v>
      </c>
      <c r="P9" s="274" t="str">
        <f t="shared" si="0"/>
        <v>Haircut</v>
      </c>
      <c r="Q9" s="282"/>
      <c r="R9" t="s">
        <v>3449</v>
      </c>
      <c r="S9" s="243">
        <f>S8-50</f>
        <v>-95.87</v>
      </c>
    </row>
    <row r="10" spans="1:24" ht="15" customHeight="1">
      <c r="B10" s="734"/>
      <c r="C10" s="734"/>
      <c r="D10" s="13" t="s">
        <v>3421</v>
      </c>
      <c r="E10" s="523">
        <v>0</v>
      </c>
      <c r="F10" s="523">
        <v>0</v>
      </c>
      <c r="H10" s="305"/>
      <c r="J10" s="305"/>
      <c r="L10" s="305"/>
      <c r="N10" s="305"/>
      <c r="O10" s="274">
        <f>SUM(E10:F10)-SUM(G10:N10)</f>
        <v>0</v>
      </c>
      <c r="P10" s="274" t="str">
        <f t="shared" si="0"/>
        <v>Skin Budget</v>
      </c>
      <c r="Q10" s="282"/>
    </row>
    <row r="11" spans="1:24" ht="15" customHeight="1">
      <c r="B11" s="734"/>
      <c r="C11" s="734"/>
      <c r="D11" s="13" t="s">
        <v>189</v>
      </c>
      <c r="E11" s="735">
        <f>SUM(F12:F25)</f>
        <v>2747.9599999999996</v>
      </c>
      <c r="F11" s="735"/>
      <c r="G11" s="243"/>
      <c r="H11" s="305"/>
      <c r="J11" s="305"/>
      <c r="L11" s="305"/>
      <c r="N11" s="305"/>
      <c r="O11" s="274"/>
      <c r="P11" s="274" t="str">
        <f t="shared" si="0"/>
        <v>Direct debits</v>
      </c>
      <c r="Q11" s="282"/>
      <c r="R11" s="243"/>
      <c r="T11" s="243"/>
    </row>
    <row r="12" spans="1:24" ht="15" customHeight="1" outlineLevel="1">
      <c r="B12" s="734"/>
      <c r="C12" s="734"/>
      <c r="D12" s="201" t="s">
        <v>595</v>
      </c>
      <c r="E12" s="523">
        <v>0</v>
      </c>
      <c r="F12" s="523">
        <v>838</v>
      </c>
      <c r="G12">
        <v>838</v>
      </c>
      <c r="H12" s="305"/>
      <c r="J12" s="305"/>
      <c r="L12" s="304"/>
      <c r="N12" s="305"/>
      <c r="O12" s="274">
        <f t="shared" ref="O12:O25" si="1">SUM(E12:F12)-SUM(G12:N12)</f>
        <v>0</v>
      </c>
      <c r="P12" s="274" t="str">
        <f t="shared" si="0"/>
        <v>Mortgage</v>
      </c>
      <c r="Q12" s="282">
        <f t="shared" ref="Q12:Q25" si="2">IF(O12&lt;0,O12*-1,0)</f>
        <v>0</v>
      </c>
      <c r="R12" s="243"/>
    </row>
    <row r="13" spans="1:24" ht="15" customHeight="1" outlineLevel="1">
      <c r="B13" s="734"/>
      <c r="C13" s="734"/>
      <c r="D13" s="201" t="s">
        <v>596</v>
      </c>
      <c r="E13" s="523">
        <v>0</v>
      </c>
      <c r="F13" s="523">
        <v>176</v>
      </c>
      <c r="G13">
        <v>176</v>
      </c>
      <c r="H13" s="305"/>
      <c r="J13" s="305"/>
      <c r="L13" s="305"/>
      <c r="N13" s="305"/>
      <c r="O13" s="274">
        <f t="shared" si="1"/>
        <v>0</v>
      </c>
      <c r="P13" s="274" t="str">
        <f t="shared" si="0"/>
        <v>Council tax</v>
      </c>
      <c r="Q13" s="282">
        <f t="shared" si="2"/>
        <v>0</v>
      </c>
    </row>
    <row r="14" spans="1:24" ht="15" customHeight="1" outlineLevel="1">
      <c r="B14" s="734"/>
      <c r="C14" s="734"/>
      <c r="D14" s="201" t="s">
        <v>1002</v>
      </c>
      <c r="E14" s="523">
        <v>0</v>
      </c>
      <c r="F14" s="523">
        <f>49+92.79</f>
        <v>141.79000000000002</v>
      </c>
      <c r="G14">
        <f>49+92.79</f>
        <v>141.79000000000002</v>
      </c>
      <c r="H14" s="305"/>
      <c r="J14" s="305"/>
      <c r="L14" s="305"/>
      <c r="N14" s="305"/>
      <c r="O14" s="274">
        <f t="shared" si="1"/>
        <v>0</v>
      </c>
      <c r="P14" s="274" t="str">
        <f t="shared" si="0"/>
        <v>Utilities (G,W,E,HTB)</v>
      </c>
      <c r="Q14" s="282">
        <f t="shared" si="2"/>
        <v>0</v>
      </c>
    </row>
    <row r="15" spans="1:24" ht="15" customHeight="1" outlineLevel="1">
      <c r="B15" s="734"/>
      <c r="C15" s="734"/>
      <c r="D15" s="201" t="s">
        <v>996</v>
      </c>
      <c r="E15" s="523">
        <v>0</v>
      </c>
      <c r="F15" s="523">
        <v>28.52</v>
      </c>
      <c r="H15" s="305"/>
      <c r="J15" s="305">
        <v>28.52</v>
      </c>
      <c r="L15" s="305"/>
      <c r="N15" s="305"/>
      <c r="O15" s="274">
        <f t="shared" si="1"/>
        <v>0</v>
      </c>
      <c r="P15" s="274" t="str">
        <f t="shared" si="0"/>
        <v>Home Insurance</v>
      </c>
      <c r="Q15" s="282">
        <f t="shared" si="2"/>
        <v>0</v>
      </c>
    </row>
    <row r="16" spans="1:24" ht="15" customHeight="1" outlineLevel="1">
      <c r="B16" s="734"/>
      <c r="C16" s="734"/>
      <c r="D16" s="201" t="s">
        <v>1056</v>
      </c>
      <c r="E16" s="523">
        <v>0</v>
      </c>
      <c r="F16" s="523">
        <f>27.97+22.99</f>
        <v>50.959999999999994</v>
      </c>
      <c r="G16">
        <f>24.99+27.97</f>
        <v>52.959999999999994</v>
      </c>
      <c r="H16" s="305"/>
      <c r="J16" s="305"/>
      <c r="L16" s="305"/>
      <c r="N16" s="305"/>
      <c r="O16" s="274">
        <f t="shared" si="1"/>
        <v>-2</v>
      </c>
      <c r="P16" s="274" t="str">
        <f t="shared" si="0"/>
        <v>Pet Health / Insurance</v>
      </c>
      <c r="Q16" s="282">
        <f t="shared" si="2"/>
        <v>2</v>
      </c>
      <c r="U16" s="11"/>
    </row>
    <row r="17" spans="2:19" ht="15" customHeight="1" outlineLevel="1">
      <c r="B17" s="734"/>
      <c r="C17" s="734"/>
      <c r="D17" s="201" t="s">
        <v>1057</v>
      </c>
      <c r="E17" s="523">
        <v>0</v>
      </c>
      <c r="F17" s="523">
        <f>30.8+62.08-5</f>
        <v>87.88</v>
      </c>
      <c r="G17">
        <v>87.88</v>
      </c>
      <c r="H17" s="305"/>
      <c r="J17" s="305"/>
      <c r="L17" s="305"/>
      <c r="N17" s="305"/>
      <c r="O17" s="274">
        <f t="shared" si="1"/>
        <v>0</v>
      </c>
      <c r="P17" s="274" t="str">
        <f t="shared" si="0"/>
        <v>Life / Income Insurance</v>
      </c>
      <c r="Q17" s="282">
        <f t="shared" si="2"/>
        <v>0</v>
      </c>
    </row>
    <row r="18" spans="2:19" ht="15" customHeight="1" outlineLevel="1">
      <c r="B18" s="734"/>
      <c r="C18" s="734"/>
      <c r="D18" s="201" t="s">
        <v>602</v>
      </c>
      <c r="E18" s="523">
        <v>0</v>
      </c>
      <c r="F18" s="523">
        <v>40</v>
      </c>
      <c r="G18">
        <v>40</v>
      </c>
      <c r="H18" s="305"/>
      <c r="J18" s="305"/>
      <c r="L18" s="305"/>
      <c r="N18" s="305"/>
      <c r="O18" s="274">
        <f t="shared" si="1"/>
        <v>0</v>
      </c>
      <c r="P18" s="274" t="str">
        <f t="shared" si="0"/>
        <v>Broadband / TV</v>
      </c>
      <c r="Q18" s="282">
        <f t="shared" si="2"/>
        <v>0</v>
      </c>
    </row>
    <row r="19" spans="2:19" ht="15" customHeight="1" outlineLevel="1">
      <c r="B19" s="734"/>
      <c r="C19" s="734"/>
      <c r="D19" s="201" t="s">
        <v>788</v>
      </c>
      <c r="E19" s="523">
        <v>0</v>
      </c>
      <c r="F19" s="523">
        <f>29.1+5.25</f>
        <v>34.35</v>
      </c>
      <c r="G19">
        <v>34.35</v>
      </c>
      <c r="H19" s="305"/>
      <c r="J19" s="305"/>
      <c r="L19" s="305"/>
      <c r="N19" s="305"/>
      <c r="O19" s="274">
        <f t="shared" si="1"/>
        <v>0</v>
      </c>
      <c r="P19" s="274" t="str">
        <f t="shared" si="0"/>
        <v>Matt Phone</v>
      </c>
      <c r="Q19" s="282">
        <f t="shared" si="2"/>
        <v>0</v>
      </c>
    </row>
    <row r="20" spans="2:19" ht="15" customHeight="1" outlineLevel="1">
      <c r="B20" s="734"/>
      <c r="C20" s="734"/>
      <c r="D20" s="201" t="s">
        <v>690</v>
      </c>
      <c r="E20" s="523">
        <v>0</v>
      </c>
      <c r="F20" s="523">
        <f>14.43+46.29+271.59+487.35+58.85+17.09</f>
        <v>895.6</v>
      </c>
      <c r="G20">
        <f>46.29+58.85+14.43+17.06+271.59+487.35</f>
        <v>895.56999999999994</v>
      </c>
      <c r="H20" s="305"/>
      <c r="J20" s="305"/>
      <c r="L20" s="305"/>
      <c r="N20" s="305"/>
      <c r="O20" s="274">
        <f t="shared" si="1"/>
        <v>3.0000000000086402E-2</v>
      </c>
      <c r="P20" s="274" t="str">
        <f t="shared" si="0"/>
        <v>Cars</v>
      </c>
      <c r="Q20" s="282">
        <f t="shared" si="2"/>
        <v>0</v>
      </c>
    </row>
    <row r="21" spans="2:19" ht="15" customHeight="1" outlineLevel="1">
      <c r="B21" s="734"/>
      <c r="C21" s="734"/>
      <c r="D21" s="201" t="s">
        <v>944</v>
      </c>
      <c r="E21" s="523">
        <v>0</v>
      </c>
      <c r="F21" s="523">
        <v>15</v>
      </c>
      <c r="G21">
        <v>15</v>
      </c>
      <c r="H21" s="305"/>
      <c r="J21" s="305"/>
      <c r="L21" s="305"/>
      <c r="N21" s="305"/>
      <c r="O21" s="274">
        <f t="shared" si="1"/>
        <v>0</v>
      </c>
      <c r="P21" s="274" t="str">
        <f t="shared" si="0"/>
        <v>Windows</v>
      </c>
      <c r="Q21" s="282">
        <f t="shared" si="2"/>
        <v>0</v>
      </c>
      <c r="R21" s="243"/>
    </row>
    <row r="22" spans="2:19" ht="15" customHeight="1" outlineLevel="1">
      <c r="B22" s="7"/>
      <c r="C22" s="7"/>
      <c r="D22" s="201" t="s">
        <v>920</v>
      </c>
      <c r="E22" s="523">
        <v>0</v>
      </c>
      <c r="F22" s="523">
        <f>48.22+137.5+24.82</f>
        <v>210.54</v>
      </c>
      <c r="G22">
        <f>137.5+48.22+24.82</f>
        <v>210.54</v>
      </c>
      <c r="H22" s="305"/>
      <c r="J22" s="305"/>
      <c r="L22" s="305"/>
      <c r="N22" s="305"/>
      <c r="O22" s="274">
        <f t="shared" si="1"/>
        <v>0</v>
      </c>
      <c r="P22" s="274" t="str">
        <f t="shared" si="0"/>
        <v>Finance</v>
      </c>
      <c r="Q22" s="282">
        <f t="shared" si="2"/>
        <v>0</v>
      </c>
      <c r="R22" s="243"/>
    </row>
    <row r="23" spans="2:19" ht="15" customHeight="1" outlineLevel="1">
      <c r="B23" s="7"/>
      <c r="C23" s="7"/>
      <c r="D23" s="201" t="s">
        <v>2909</v>
      </c>
      <c r="E23" s="523">
        <v>0</v>
      </c>
      <c r="F23" s="523">
        <v>45.79</v>
      </c>
      <c r="G23">
        <v>45.79</v>
      </c>
      <c r="H23" s="305"/>
      <c r="J23" s="305"/>
      <c r="L23" s="305"/>
      <c r="N23" s="305"/>
      <c r="O23" s="274">
        <f t="shared" si="1"/>
        <v>0</v>
      </c>
      <c r="P23" s="274" t="str">
        <f t="shared" si="0"/>
        <v>Kris Phone</v>
      </c>
      <c r="Q23" s="282"/>
      <c r="R23" s="243"/>
      <c r="S23" s="11"/>
    </row>
    <row r="24" spans="2:19" ht="15" customHeight="1" outlineLevel="1">
      <c r="B24" s="7"/>
      <c r="C24" s="7"/>
      <c r="D24" s="201" t="s">
        <v>3420</v>
      </c>
      <c r="E24" s="523">
        <v>0</v>
      </c>
      <c r="F24" s="523">
        <f>100.16</f>
        <v>100.16</v>
      </c>
      <c r="G24">
        <v>100.16</v>
      </c>
      <c r="H24" s="305"/>
      <c r="J24" s="305"/>
      <c r="L24" s="305"/>
      <c r="N24" s="305"/>
      <c r="O24" s="274">
        <f t="shared" si="1"/>
        <v>0</v>
      </c>
      <c r="P24" s="274" t="str">
        <f t="shared" si="0"/>
        <v>Health Insurance</v>
      </c>
      <c r="Q24" s="282"/>
      <c r="R24" s="243"/>
      <c r="S24" s="11"/>
    </row>
    <row r="25" spans="2:19" ht="15" customHeight="1" outlineLevel="1">
      <c r="B25" s="7"/>
      <c r="C25" s="7"/>
      <c r="D25" s="201" t="s">
        <v>781</v>
      </c>
      <c r="E25" s="523">
        <v>0</v>
      </c>
      <c r="F25" s="523">
        <f>10.49+18+4.99+0.99+12+20+1.95+13.95+1</f>
        <v>83.37</v>
      </c>
      <c r="G25" s="11">
        <f>1+18+1.79+12+5.99+10.49+13.4+1</f>
        <v>63.67</v>
      </c>
      <c r="H25" s="305"/>
      <c r="J25" s="305">
        <v>20</v>
      </c>
      <c r="L25" s="305"/>
      <c r="N25" s="305"/>
      <c r="O25" s="274">
        <f t="shared" si="1"/>
        <v>-0.29999999999999716</v>
      </c>
      <c r="P25" s="274" t="str">
        <f t="shared" si="0"/>
        <v>Subscriptions</v>
      </c>
      <c r="Q25" s="282">
        <f t="shared" si="2"/>
        <v>0.29999999999999716</v>
      </c>
      <c r="R25" s="243"/>
    </row>
    <row r="26" spans="2:19" ht="15" customHeight="1">
      <c r="B26" s="118"/>
      <c r="C26" s="118"/>
      <c r="D26" s="188"/>
      <c r="H26" s="305"/>
      <c r="J26" s="305"/>
      <c r="L26" s="305"/>
      <c r="N26" s="305"/>
      <c r="O26" s="273"/>
      <c r="P26" s="273"/>
      <c r="Q26" s="282"/>
    </row>
    <row r="27" spans="2:19" ht="15" customHeight="1">
      <c r="B27" s="736" t="str">
        <f>_xlfn.CONCAT("Savings - 20 - ",G48*0.2," / Actual = ",F27," (",ROUND((F27/G48)*100,2),")")</f>
        <v>Savings - 20 - 1302.484 / Actual = 246.46 (3.78)</v>
      </c>
      <c r="C27" s="736"/>
      <c r="D27" s="736"/>
      <c r="E27" s="736"/>
      <c r="F27" s="703">
        <f>F29</f>
        <v>246.46</v>
      </c>
      <c r="H27" s="305"/>
      <c r="J27" s="305"/>
      <c r="L27" s="305"/>
      <c r="N27" s="305"/>
      <c r="O27" s="274"/>
      <c r="P27" s="274"/>
      <c r="Q27" s="282"/>
    </row>
    <row r="28" spans="2:19" ht="15" customHeight="1">
      <c r="B28" s="727" t="str">
        <f>IF(ISNUMBER((SEARCH("Over",C$5))),"Operating under budget","Operating over budget")</f>
        <v>Operating over budget</v>
      </c>
      <c r="C28" s="727"/>
      <c r="D28" s="705"/>
      <c r="E28" s="703" t="s">
        <v>1451</v>
      </c>
      <c r="F28" s="703" t="s">
        <v>650</v>
      </c>
      <c r="H28" s="305"/>
      <c r="J28" s="305"/>
      <c r="L28" s="305"/>
      <c r="N28" s="305"/>
      <c r="O28" s="285">
        <f>O29</f>
        <v>1.4210854715202004E-14</v>
      </c>
      <c r="P28" s="285" t="s">
        <v>895</v>
      </c>
      <c r="Q28" s="282">
        <f>SUM(Q29:Q29)</f>
        <v>0</v>
      </c>
      <c r="S28" s="243"/>
    </row>
    <row r="29" spans="2:19" ht="15" customHeight="1" outlineLevel="1">
      <c r="B29" s="7" t="str">
        <f>"20% : " &amp; E$48*0.2</f>
        <v>20% : 2220.9</v>
      </c>
      <c r="C29" s="7" t="str">
        <f>"20% : " &amp; E$48*0.2</f>
        <v>20% : 2220.9</v>
      </c>
      <c r="D29" s="300" t="s">
        <v>183</v>
      </c>
      <c r="E29" s="523">
        <v>0</v>
      </c>
      <c r="F29" s="523">
        <f>SUM(F30:F30)</f>
        <v>246.46</v>
      </c>
      <c r="G29" s="243"/>
      <c r="H29" s="305"/>
      <c r="J29" s="305"/>
      <c r="L29" s="305"/>
      <c r="N29" s="305"/>
      <c r="O29" s="274">
        <f>SUM(O30:O30)</f>
        <v>1.4210854715202004E-14</v>
      </c>
      <c r="P29" s="274" t="str">
        <f t="shared" ref="P29:P30" si="3">D29</f>
        <v>Savings</v>
      </c>
      <c r="Q29" s="282">
        <v>0</v>
      </c>
      <c r="R29" s="495"/>
      <c r="S29" s="243"/>
    </row>
    <row r="30" spans="2:19" ht="15" customHeight="1" outlineLevel="1">
      <c r="B30" s="7"/>
      <c r="C30" s="7"/>
      <c r="D30" s="300" t="s">
        <v>3311</v>
      </c>
      <c r="E30" s="523">
        <f>-42.42-24.25</f>
        <v>-66.67</v>
      </c>
      <c r="F30" s="523">
        <f>50-48.91+245.37</f>
        <v>246.46</v>
      </c>
      <c r="H30" s="305">
        <f>46.72+19</f>
        <v>65.72</v>
      </c>
      <c r="J30" s="305">
        <f>111.77</f>
        <v>111.77</v>
      </c>
      <c r="L30" s="305"/>
      <c r="N30" s="315"/>
      <c r="O30" s="274">
        <f>SUM(E30:F30)-SUM(G30:N30)-Q48</f>
        <v>1.4210854715202004E-14</v>
      </c>
      <c r="P30" s="274" t="str">
        <f t="shared" si="3"/>
        <v>Monthly Contingency</v>
      </c>
      <c r="Q30" s="282"/>
      <c r="S30" s="353">
        <f>O30+19+50+18+Q7</f>
        <v>87.000000000000014</v>
      </c>
    </row>
    <row r="31" spans="2:19" ht="15" customHeight="1">
      <c r="B31" s="118"/>
      <c r="C31" s="118"/>
      <c r="H31" s="305"/>
      <c r="J31" s="305"/>
      <c r="L31" s="305"/>
      <c r="N31" s="305"/>
      <c r="O31" s="273"/>
      <c r="P31" s="273"/>
      <c r="Q31" s="282"/>
      <c r="R31" s="243"/>
    </row>
    <row r="32" spans="2:19" ht="15" customHeight="1">
      <c r="B32" s="727" t="str">
        <f>_xlfn.CONCAT("Wants - 30 - ",G48*0.3," / Actual = ",F32," (",ROUND((F32/G48)*100,2),")")</f>
        <v>Wants - 30 - 1953.726 / Actual = 2643.35 (40.59)</v>
      </c>
      <c r="C32" s="727"/>
      <c r="D32" s="727"/>
      <c r="E32" s="727"/>
      <c r="F32" s="704">
        <f>(E$48-F4-F27-E47)</f>
        <v>2643.3499999999995</v>
      </c>
      <c r="H32" s="305"/>
      <c r="J32" s="305"/>
      <c r="L32" s="305"/>
      <c r="N32" s="305"/>
      <c r="O32" s="273"/>
      <c r="P32" s="273"/>
      <c r="Q32" s="282"/>
    </row>
    <row r="33" spans="2:20" ht="15" customHeight="1">
      <c r="B33" s="727" t="str">
        <f>IF(ISNUMBER((SEARCH("Over",B$5))),"Operating under budget","Operating over budget")</f>
        <v>Operating over budget</v>
      </c>
      <c r="C33" s="727"/>
      <c r="D33" s="705"/>
      <c r="E33" s="320" t="s">
        <v>1451</v>
      </c>
      <c r="F33" s="319" t="s">
        <v>650</v>
      </c>
      <c r="H33" s="305"/>
      <c r="J33" s="305"/>
      <c r="L33" s="305"/>
      <c r="N33" s="305"/>
      <c r="O33" s="285">
        <f>0</f>
        <v>0</v>
      </c>
      <c r="P33" s="285" t="s">
        <v>899</v>
      </c>
      <c r="Q33" s="282">
        <f>SUM(Q34:Q34)</f>
        <v>0</v>
      </c>
      <c r="S33" s="11"/>
    </row>
    <row r="34" spans="2:20" ht="18" outlineLevel="1">
      <c r="B34" s="7"/>
      <c r="C34" s="284"/>
      <c r="D34" s="13" t="s">
        <v>922</v>
      </c>
      <c r="E34" s="523">
        <v>0</v>
      </c>
      <c r="F34" s="523">
        <f>F32-F46-F45-F38-F37-F35</f>
        <v>430.85999999999967</v>
      </c>
      <c r="G34" s="11">
        <v>9.99</v>
      </c>
      <c r="H34" s="305">
        <f>40.95+10.51+(48.98-34.99)+8.7+(29.99+34.99)+56.24+(14.99+14.99+19.99)+5+1.45+3.25+18.9+10.1+9.99+2.99+10.38+0.33+12.58+0.76</f>
        <v>321.07</v>
      </c>
      <c r="J34" s="305">
        <f>2.8+26.47+5+7+12+4+8+14.2+3.55+10.38+6.2</f>
        <v>99.6</v>
      </c>
      <c r="L34" s="305"/>
      <c r="N34" s="305"/>
      <c r="O34" s="274">
        <f>(SUM(E34:F34)-SUM(G34:N34))</f>
        <v>0.19999999999970441</v>
      </c>
      <c r="P34" s="274" t="str">
        <f t="shared" ref="P34:P46" si="4">D34</f>
        <v>Matt Fun</v>
      </c>
      <c r="Q34" s="271">
        <f>IF(F34-SUM(G34:N34)&lt;=0,(F34-SUM(G34:N34))*-1,0)</f>
        <v>0</v>
      </c>
      <c r="S34" s="11"/>
    </row>
    <row r="35" spans="2:20" ht="18" outlineLevel="1">
      <c r="B35" s="7"/>
      <c r="C35" s="284"/>
      <c r="D35" s="13" t="s">
        <v>3439</v>
      </c>
      <c r="E35" s="523">
        <v>0</v>
      </c>
      <c r="F35" s="523">
        <f>464.5-9.13-49.29-32.78</f>
        <v>373.29999999999995</v>
      </c>
      <c r="G35" s="11"/>
      <c r="H35" s="305"/>
      <c r="J35" s="305">
        <f>3.3+2+2+6+360</f>
        <v>373.3</v>
      </c>
      <c r="L35" s="305"/>
      <c r="N35" s="305"/>
      <c r="O35" s="274">
        <f>F35-SUM(G35:N35)</f>
        <v>0</v>
      </c>
      <c r="P35" s="274" t="str">
        <f t="shared" si="4"/>
        <v>Work do</v>
      </c>
      <c r="Q35" s="271"/>
      <c r="T35" s="11"/>
    </row>
    <row r="36" spans="2:20" ht="18" outlineLevel="1">
      <c r="B36" s="7"/>
      <c r="C36" s="284"/>
      <c r="D36" s="13" t="s">
        <v>3321</v>
      </c>
      <c r="E36" s="523">
        <v>0</v>
      </c>
      <c r="F36" s="523">
        <v>0</v>
      </c>
      <c r="G36" s="11"/>
      <c r="H36" s="305"/>
      <c r="J36" s="305"/>
      <c r="L36" s="305"/>
      <c r="N36" s="305"/>
      <c r="O36" s="274">
        <f>(SUM(E36:F36)-SUM(G36:N36))</f>
        <v>0</v>
      </c>
      <c r="P36" s="274" t="str">
        <f t="shared" si="4"/>
        <v>Bali Refund</v>
      </c>
      <c r="Q36" s="271"/>
      <c r="T36" s="11"/>
    </row>
    <row r="37" spans="2:20" ht="18" outlineLevel="1">
      <c r="B37" s="7"/>
      <c r="C37" s="284"/>
      <c r="D37" s="13" t="s">
        <v>2218</v>
      </c>
      <c r="E37" s="523">
        <v>305</v>
      </c>
      <c r="F37" s="523">
        <v>0</v>
      </c>
      <c r="G37" s="11">
        <v>305</v>
      </c>
      <c r="H37" s="305"/>
      <c r="J37" s="305"/>
      <c r="L37" s="305"/>
      <c r="N37" s="305"/>
      <c r="O37" s="274">
        <f>(SUM(E37:F37)-SUM(G37:N37))</f>
        <v>0</v>
      </c>
      <c r="P37" s="274" t="str">
        <f t="shared" si="4"/>
        <v>Coco</v>
      </c>
      <c r="Q37" s="271"/>
      <c r="S37" s="11"/>
      <c r="T37" s="243"/>
    </row>
    <row r="38" spans="2:20" ht="18" outlineLevel="1">
      <c r="B38" s="7"/>
      <c r="C38" s="284"/>
      <c r="D38" s="13" t="s">
        <v>3310</v>
      </c>
      <c r="E38" s="523">
        <f>'APR-MAY 26'!O38</f>
        <v>111.46999999999997</v>
      </c>
      <c r="F38" s="523">
        <f>'Sinking Fund'!B56+50+200</f>
        <v>1086.6599999999999</v>
      </c>
      <c r="H38" s="305"/>
      <c r="J38" s="305"/>
      <c r="L38" s="305"/>
      <c r="N38" s="305"/>
      <c r="O38" s="274">
        <f>(SUM(E38:F38)-SUM(G38:N38))-SUM(O39:O44)</f>
        <v>-2507.6499999999996</v>
      </c>
      <c r="P38" s="274" t="str">
        <f t="shared" si="4"/>
        <v>Sinking Fund</v>
      </c>
      <c r="Q38" s="271"/>
      <c r="S38" s="11"/>
      <c r="T38" s="243"/>
    </row>
    <row r="39" spans="2:20" ht="18" outlineLevel="2">
      <c r="B39" s="7"/>
      <c r="C39" s="284"/>
      <c r="D39" s="13" t="s">
        <v>2370</v>
      </c>
      <c r="E39" s="523">
        <v>0</v>
      </c>
      <c r="F39" s="523">
        <v>0</v>
      </c>
      <c r="G39" s="11">
        <f>20+20</f>
        <v>40</v>
      </c>
      <c r="H39" s="305">
        <f>79.64+55.49-16.12+15-18.89-0.61</f>
        <v>114.50999999999999</v>
      </c>
      <c r="J39" s="305">
        <f>6.99+11+9.99+16.98+(1.5+24+13.5+23.9+0.5)</f>
        <v>108.36000000000001</v>
      </c>
      <c r="L39" s="305"/>
      <c r="N39" s="305"/>
      <c r="O39" s="274">
        <f t="shared" ref="O39:O44" si="5">SUM(G39:N39)</f>
        <v>262.87</v>
      </c>
      <c r="P39" s="274" t="str">
        <f t="shared" ref="P39:P44" si="6">D39</f>
        <v>Summer Budget</v>
      </c>
      <c r="Q39" s="271"/>
      <c r="R39" s="243"/>
      <c r="S39" s="11"/>
    </row>
    <row r="40" spans="2:20" ht="18" outlineLevel="2">
      <c r="B40" s="7"/>
      <c r="C40" s="284"/>
      <c r="D40" s="13" t="s">
        <v>172</v>
      </c>
      <c r="E40" s="523">
        <v>0</v>
      </c>
      <c r="F40" s="523">
        <v>0</v>
      </c>
      <c r="G40" s="11"/>
      <c r="H40" s="305">
        <v>30.93</v>
      </c>
      <c r="J40" s="305"/>
      <c r="L40" s="305"/>
      <c r="N40" s="305"/>
      <c r="O40" s="274">
        <f t="shared" si="5"/>
        <v>30.93</v>
      </c>
      <c r="P40" s="274" t="str">
        <f t="shared" si="6"/>
        <v>Misc</v>
      </c>
      <c r="Q40" s="271"/>
      <c r="R40" s="243"/>
      <c r="S40" s="11"/>
    </row>
    <row r="41" spans="2:20" ht="18" outlineLevel="2">
      <c r="B41" s="7"/>
      <c r="C41" s="284"/>
      <c r="D41" s="13" t="s">
        <v>701</v>
      </c>
      <c r="E41" s="523">
        <v>0</v>
      </c>
      <c r="F41" s="523">
        <v>0</v>
      </c>
      <c r="G41" s="11">
        <f>20+50</f>
        <v>70</v>
      </c>
      <c r="H41" s="305">
        <f>20+28.5</f>
        <v>48.5</v>
      </c>
      <c r="J41" s="305"/>
      <c r="L41" s="305"/>
      <c r="N41" s="305"/>
      <c r="O41" s="274">
        <f t="shared" si="5"/>
        <v>118.5</v>
      </c>
      <c r="P41" s="274" t="str">
        <f t="shared" si="6"/>
        <v>Gift</v>
      </c>
      <c r="Q41" s="271"/>
      <c r="R41" s="243"/>
      <c r="S41" s="11"/>
    </row>
    <row r="42" spans="2:20" ht="18" outlineLevel="2">
      <c r="B42" s="7"/>
      <c r="C42" s="284"/>
      <c r="D42" s="13" t="s">
        <v>1808</v>
      </c>
      <c r="E42" s="523">
        <v>0</v>
      </c>
      <c r="F42" s="523">
        <v>0</v>
      </c>
      <c r="G42" s="11"/>
      <c r="H42" s="305">
        <v>95</v>
      </c>
      <c r="J42" s="305"/>
      <c r="L42" s="305"/>
      <c r="N42" s="305"/>
      <c r="O42" s="274">
        <f t="shared" si="5"/>
        <v>95</v>
      </c>
      <c r="P42" s="274" t="str">
        <f t="shared" si="6"/>
        <v>Prime</v>
      </c>
      <c r="Q42" s="271"/>
      <c r="S42" s="11"/>
    </row>
    <row r="43" spans="2:20" ht="18" outlineLevel="2">
      <c r="B43" s="7"/>
      <c r="C43" s="284"/>
      <c r="D43" s="13" t="s">
        <v>3428</v>
      </c>
      <c r="E43" s="523">
        <v>0</v>
      </c>
      <c r="F43" s="523">
        <v>0</v>
      </c>
      <c r="G43" s="11"/>
      <c r="H43" s="305">
        <f>140+286.75+(451.03*2)+173.8+173.8+451.2+140</f>
        <v>2267.6099999999997</v>
      </c>
      <c r="J43" s="305">
        <f>352.56</f>
        <v>352.56</v>
      </c>
      <c r="L43" s="305"/>
      <c r="N43" s="305"/>
      <c r="O43" s="274">
        <f t="shared" si="5"/>
        <v>2620.1699999999996</v>
      </c>
      <c r="P43" s="274" t="str">
        <f t="shared" si="6"/>
        <v>Bali 2026</v>
      </c>
      <c r="Q43" s="271"/>
      <c r="S43" s="11"/>
    </row>
    <row r="44" spans="2:20" ht="18" outlineLevel="2">
      <c r="B44" s="7"/>
      <c r="C44" s="284"/>
      <c r="D44" s="13" t="s">
        <v>2272</v>
      </c>
      <c r="E44" s="523">
        <v>0</v>
      </c>
      <c r="F44" s="523">
        <v>0</v>
      </c>
      <c r="G44" s="11">
        <v>165</v>
      </c>
      <c r="H44" s="305">
        <f>356.2+57.11</f>
        <v>413.31</v>
      </c>
      <c r="J44" s="305"/>
      <c r="L44" s="305"/>
      <c r="N44" s="305"/>
      <c r="O44" s="274">
        <f t="shared" si="5"/>
        <v>578.30999999999995</v>
      </c>
      <c r="P44" s="274" t="str">
        <f t="shared" si="6"/>
        <v>Italy</v>
      </c>
      <c r="Q44" s="271"/>
      <c r="S44" s="11"/>
    </row>
    <row r="45" spans="2:20" ht="18" outlineLevel="1">
      <c r="B45" s="7"/>
      <c r="C45" s="284"/>
      <c r="D45" s="13" t="s">
        <v>814</v>
      </c>
      <c r="E45" s="523">
        <v>4389.1899999999996</v>
      </c>
      <c r="F45" s="523">
        <v>0</v>
      </c>
      <c r="G45" s="11">
        <f>2944.12+1445.07</f>
        <v>4389.1899999999996</v>
      </c>
      <c r="H45" s="305"/>
      <c r="J45" s="305"/>
      <c r="L45" s="305"/>
      <c r="N45" s="305"/>
      <c r="O45" s="274">
        <f>SUM(E45:F45)-SUM(G45:N45)</f>
        <v>0</v>
      </c>
      <c r="P45" s="274" t="str">
        <f t="shared" si="4"/>
        <v>CC</v>
      </c>
      <c r="Q45" s="282"/>
      <c r="S45" s="11"/>
    </row>
    <row r="46" spans="2:20" ht="18" outlineLevel="1">
      <c r="B46" s="7"/>
      <c r="C46" s="284"/>
      <c r="D46" s="13" t="s">
        <v>152</v>
      </c>
      <c r="E46" s="523">
        <f>-171.16+24.25</f>
        <v>-146.91</v>
      </c>
      <c r="F46" s="523">
        <f>9.49+48.91+160+100+120+30+40+100+30+60+60+20+20-45.87</f>
        <v>752.53</v>
      </c>
      <c r="G46" s="11">
        <v>20</v>
      </c>
      <c r="H46" s="305">
        <f>-92.98+100+3.79+162+(147.95-29.99-34.99)+(95.15-14.99-14.99-19.99)+18+17.65+8.8+163.85+3.6+6.7+3.6+16+24.99+9.49-55.98-15.99+29.51+11.99+15+4.99+19.94-125.96+40+10.98+9.99+83.89 + 233.89</f>
        <v>835.8900000000001</v>
      </c>
      <c r="J46" s="305">
        <f>67.51</f>
        <v>67.510000000000005</v>
      </c>
      <c r="L46" s="305"/>
      <c r="N46" s="305"/>
      <c r="O46" s="274">
        <f>SUM(E46:F46)-SUM(G46:N46)</f>
        <v>-317.78000000000009</v>
      </c>
      <c r="P46" s="274" t="str">
        <f t="shared" si="4"/>
        <v>Kris</v>
      </c>
      <c r="Q46" s="271">
        <f>IF(F46-SUM(G46:N46)&lt;=0,(F46-SUM(G46:N46))*-1,0)</f>
        <v>170.87000000000012</v>
      </c>
    </row>
    <row r="47" spans="2:20">
      <c r="B47" s="118"/>
      <c r="C47" s="118"/>
      <c r="E47" s="523">
        <f>SUM(E36:E46)+E30</f>
        <v>4592.08</v>
      </c>
      <c r="G47" s="349"/>
      <c r="J47" s="7"/>
      <c r="L47" s="7"/>
      <c r="N47" s="7"/>
      <c r="O47" s="273"/>
      <c r="P47" s="273"/>
      <c r="Q47" s="282"/>
    </row>
    <row r="48" spans="2:20" ht="18">
      <c r="B48" s="728" t="s">
        <v>817</v>
      </c>
      <c r="C48" s="728"/>
      <c r="D48" s="728"/>
      <c r="E48" s="529">
        <f>G48+I48+K48+M48+N48+E47</f>
        <v>11104.5</v>
      </c>
      <c r="F48" s="530"/>
      <c r="G48" s="271">
        <f>3664.55+20+(1060+30)+28+160+100+120+30+40+200+100+30+60+60+20+30+464.5+50+245.37</f>
        <v>6512.42</v>
      </c>
      <c r="H48" s="282"/>
      <c r="I48" s="271"/>
      <c r="J48" s="271"/>
      <c r="K48" s="271"/>
      <c r="L48" s="271"/>
      <c r="M48" s="271"/>
      <c r="N48" s="271"/>
      <c r="O48" s="314">
        <f>ROUND(O5+O33+O28+IF(O34&lt;0,0,O34)+O46+O4+O45+O36+O37+O38+O35,2)</f>
        <v>3403.61</v>
      </c>
      <c r="P48" s="274"/>
      <c r="Q48" s="282">
        <f>SUM(Q33,Q28,Q5)</f>
        <v>2.2999999999999972</v>
      </c>
    </row>
    <row r="49" spans="2:18" ht="18">
      <c r="B49" s="118"/>
      <c r="C49" s="7"/>
      <c r="D49" s="13" t="s">
        <v>1451</v>
      </c>
      <c r="G49" s="523"/>
      <c r="H49" s="243"/>
      <c r="L49" s="243"/>
      <c r="O49" s="610">
        <f>O48-SUM(O4:O5)-O34-O28-O45+O46</f>
        <v>-3143.2099999999991</v>
      </c>
      <c r="P49" s="7" t="str">
        <f>IF(O49&lt;0, "DEFICIT", "")</f>
        <v>DEFICIT</v>
      </c>
    </row>
    <row r="50" spans="2:18" ht="14.4">
      <c r="B50" s="729"/>
      <c r="C50" s="729"/>
      <c r="D50" s="729"/>
      <c r="E50" s="729"/>
      <c r="F50" s="729"/>
      <c r="G50" s="729"/>
      <c r="H50" s="297"/>
      <c r="K50" s="729"/>
      <c r="L50" s="729"/>
      <c r="M50" s="729"/>
      <c r="N50" s="729"/>
      <c r="O50" s="729"/>
      <c r="P50" s="297"/>
    </row>
    <row r="51" spans="2:18" ht="15" customHeight="1">
      <c r="B51" s="726" t="s">
        <v>955</v>
      </c>
      <c r="C51" s="726"/>
      <c r="F51" s="348"/>
      <c r="H51" s="243"/>
      <c r="K51" s="212"/>
      <c r="L51" s="212"/>
      <c r="M51" s="243"/>
      <c r="N51" s="476" t="s">
        <v>3438</v>
      </c>
      <c r="O51" s="316">
        <v>46192</v>
      </c>
      <c r="P51" s="7">
        <f ca="1">DATEDIF(O51,NOW(),"d")</f>
        <v>59</v>
      </c>
      <c r="Q51">
        <v>20</v>
      </c>
      <c r="R51" t="s">
        <v>3275</v>
      </c>
    </row>
    <row r="52" spans="2:18">
      <c r="B52" s="523"/>
      <c r="C52" s="38"/>
      <c r="D52" t="s">
        <v>1810</v>
      </c>
      <c r="E52" t="s">
        <v>3413</v>
      </c>
      <c r="F52" s="369" t="s">
        <v>1287</v>
      </c>
      <c r="G52" t="s">
        <v>3419</v>
      </c>
      <c r="K52" s="243"/>
      <c r="L52" s="349">
        <f>O48-28.51</f>
        <v>3375.1</v>
      </c>
      <c r="N52" s="637" t="s">
        <v>3441</v>
      </c>
      <c r="O52" s="638">
        <v>46194</v>
      </c>
      <c r="P52" s="639">
        <f ca="1">DATEDIF(O52,NOW(),"d")</f>
        <v>57</v>
      </c>
      <c r="Q52" s="514">
        <v>1.65</v>
      </c>
      <c r="R52" s="514" t="s">
        <v>1099</v>
      </c>
    </row>
    <row r="53" spans="2:18" ht="16.2" customHeight="1">
      <c r="D53" t="s">
        <v>887</v>
      </c>
      <c r="E53" s="243">
        <f>'APR-MAY 26'!H4</f>
        <v>2944.1200000000003</v>
      </c>
      <c r="F53" s="501">
        <f>E53+H4</f>
        <v>7836.5599999999995</v>
      </c>
      <c r="G53" s="77">
        <v>46177</v>
      </c>
      <c r="I53" s="243"/>
      <c r="L53" s="243"/>
      <c r="M53" s="243"/>
      <c r="N53" s="358" t="s">
        <v>3442</v>
      </c>
      <c r="O53" s="638">
        <v>46194</v>
      </c>
      <c r="P53" s="639">
        <f ca="1">DATEDIF(O53,NOW(),"d")</f>
        <v>57</v>
      </c>
      <c r="Q53">
        <v>4.08</v>
      </c>
      <c r="R53" t="s">
        <v>3443</v>
      </c>
    </row>
    <row r="54" spans="2:18">
      <c r="B54" s="532"/>
      <c r="D54" t="s">
        <v>1374</v>
      </c>
      <c r="E54" s="55">
        <f>'APR-MAY 26'!J4</f>
        <v>1445.0699999999997</v>
      </c>
      <c r="F54" s="501">
        <f>E54+J4</f>
        <v>2781.4399999999996</v>
      </c>
      <c r="G54" s="77">
        <v>46181</v>
      </c>
      <c r="L54" s="243">
        <f>4403.73</f>
        <v>4403.7299999999996</v>
      </c>
      <c r="M54" s="243"/>
      <c r="N54" s="243"/>
      <c r="P54"/>
    </row>
    <row r="55" spans="2:18">
      <c r="D55" s="243"/>
      <c r="E55"/>
      <c r="F55" s="659"/>
      <c r="G55">
        <v>15</v>
      </c>
      <c r="H55" s="55" t="s">
        <v>3434</v>
      </c>
      <c r="I55" s="708"/>
      <c r="J55" s="243"/>
      <c r="K55" s="243"/>
      <c r="L55" s="349">
        <f>L54-1</f>
        <v>4402.7299999999996</v>
      </c>
      <c r="M55" s="243"/>
      <c r="N55" s="243"/>
      <c r="P55"/>
      <c r="Q55" s="243"/>
    </row>
    <row r="56" spans="2:18">
      <c r="E56" s="243"/>
      <c r="H56" s="55"/>
      <c r="I56" s="515"/>
      <c r="J56" s="243"/>
      <c r="L56" s="243">
        <f>L55+28.51</f>
        <v>4431.24</v>
      </c>
      <c r="M56" s="656"/>
      <c r="N56" s="243"/>
      <c r="O56" s="343"/>
      <c r="P56" s="292"/>
      <c r="Q56" s="212"/>
    </row>
    <row r="57" spans="2:18" ht="15" customHeight="1">
      <c r="E57" s="243"/>
      <c r="F57" s="658"/>
      <c r="H57" s="55"/>
      <c r="I57" s="243"/>
      <c r="J57" s="243"/>
      <c r="K57" s="243"/>
      <c r="L57" s="243">
        <f>L56+464.5</f>
        <v>4895.74</v>
      </c>
      <c r="M57" s="243"/>
      <c r="N57" s="243"/>
      <c r="O57" s="661"/>
      <c r="P57" s="56"/>
      <c r="Q57" s="38"/>
    </row>
    <row r="58" spans="2:18" ht="15.45" customHeight="1">
      <c r="D58" s="243"/>
      <c r="E58"/>
      <c r="F58" s="669"/>
      <c r="G58" s="369"/>
      <c r="H58" s="55"/>
      <c r="I58" s="243"/>
      <c r="J58" s="243"/>
      <c r="K58" s="243"/>
      <c r="L58" s="390">
        <f>L57+50</f>
        <v>4945.74</v>
      </c>
      <c r="M58" s="390"/>
      <c r="N58" s="390"/>
      <c r="P58"/>
    </row>
    <row r="59" spans="2:18" ht="15" customHeight="1">
      <c r="E59"/>
      <c r="F59" s="660"/>
      <c r="H59" s="55"/>
      <c r="J59" s="243"/>
      <c r="K59" s="243"/>
      <c r="L59" s="243"/>
      <c r="M59" s="243"/>
    </row>
    <row r="60" spans="2:18" ht="16.2" customHeight="1">
      <c r="E60" s="243"/>
      <c r="F60" s="660"/>
      <c r="H60" s="243"/>
      <c r="I60" s="243"/>
      <c r="J60" s="243"/>
      <c r="O60"/>
    </row>
    <row r="61" spans="2:18" ht="14.7" customHeight="1">
      <c r="B61" s="11"/>
      <c r="E61"/>
      <c r="J61" s="243"/>
      <c r="O61"/>
      <c r="P61"/>
    </row>
    <row r="62" spans="2:18">
      <c r="B62" s="11"/>
      <c r="E62" s="243"/>
      <c r="P62"/>
    </row>
    <row r="63" spans="2:18">
      <c r="B63" s="11"/>
      <c r="E63" s="243"/>
      <c r="O63"/>
      <c r="P63"/>
    </row>
    <row r="64" spans="2:18">
      <c r="M64" s="243"/>
      <c r="O64"/>
      <c r="P64"/>
    </row>
    <row r="65" spans="2:16">
      <c r="B65" s="212"/>
      <c r="C65" s="212"/>
      <c r="E65"/>
      <c r="P65"/>
    </row>
    <row r="66" spans="2:16">
      <c r="C66" s="56"/>
      <c r="E66" s="666"/>
      <c r="F66" s="660"/>
      <c r="L66" s="243"/>
      <c r="O66"/>
      <c r="P66"/>
    </row>
    <row r="67" spans="2:16" ht="15.75" customHeight="1">
      <c r="C67" s="56"/>
      <c r="D67" s="634"/>
      <c r="E67" s="666"/>
      <c r="F67" s="243"/>
      <c r="L67" s="243"/>
      <c r="M67" s="243"/>
      <c r="O67"/>
      <c r="P67"/>
    </row>
    <row r="68" spans="2:16">
      <c r="C68" s="56"/>
      <c r="E68" s="666"/>
      <c r="G68" s="426"/>
      <c r="M68" s="243"/>
      <c r="O68"/>
      <c r="P68"/>
    </row>
    <row r="69" spans="2:16">
      <c r="C69" s="56"/>
      <c r="E69" s="666"/>
      <c r="G69" s="426"/>
      <c r="O69"/>
      <c r="P69"/>
    </row>
    <row r="70" spans="2:16">
      <c r="C70" s="56"/>
      <c r="E70" s="666"/>
      <c r="G70" s="426"/>
      <c r="O70"/>
      <c r="P70"/>
    </row>
    <row r="71" spans="2:16">
      <c r="C71" s="56"/>
      <c r="E71" s="666"/>
      <c r="G71" s="426"/>
      <c r="O71"/>
      <c r="P71"/>
    </row>
    <row r="72" spans="2:16">
      <c r="C72" s="56"/>
      <c r="G72" s="426"/>
      <c r="N72" s="288"/>
      <c r="O72"/>
      <c r="P72"/>
    </row>
    <row r="73" spans="2:16">
      <c r="C73" s="56"/>
      <c r="G73" s="726"/>
      <c r="H73" s="726"/>
      <c r="L73" s="243"/>
      <c r="O73"/>
      <c r="P73"/>
    </row>
    <row r="74" spans="2:16">
      <c r="C74" s="56"/>
      <c r="I74" s="11"/>
      <c r="O74"/>
      <c r="P74"/>
    </row>
    <row r="75" spans="2:16">
      <c r="B75" s="212"/>
      <c r="C75" s="294"/>
      <c r="O75"/>
      <c r="P75"/>
    </row>
    <row r="76" spans="2:16" ht="15.45" customHeight="1">
      <c r="C76" s="56"/>
      <c r="F76"/>
      <c r="M76" s="243"/>
      <c r="O76"/>
      <c r="P76"/>
    </row>
    <row r="77" spans="2:16">
      <c r="C77" s="56"/>
      <c r="E77" s="625"/>
      <c r="F77" s="625"/>
      <c r="L77" s="459"/>
      <c r="M77" s="461"/>
      <c r="O77"/>
      <c r="P77"/>
    </row>
    <row r="78" spans="2:16">
      <c r="C78" s="56"/>
      <c r="D78" s="634"/>
      <c r="E78" s="533"/>
      <c r="L78" s="459"/>
      <c r="M78" s="461"/>
      <c r="O78"/>
      <c r="P78"/>
    </row>
    <row r="79" spans="2:16" ht="14.4">
      <c r="C79" s="56"/>
      <c r="E79" s="243"/>
      <c r="F79"/>
      <c r="L79" s="459"/>
      <c r="M79" s="461"/>
      <c r="O79"/>
      <c r="P79"/>
    </row>
    <row r="80" spans="2:16">
      <c r="C80" s="56"/>
      <c r="L80" s="188"/>
      <c r="M80" s="230"/>
      <c r="O80"/>
      <c r="P80"/>
    </row>
    <row r="81" spans="3:16">
      <c r="C81" s="56"/>
      <c r="L81" s="188"/>
      <c r="M81" s="230"/>
      <c r="O81"/>
      <c r="P81"/>
    </row>
    <row r="82" spans="3:16">
      <c r="C82" s="56"/>
      <c r="L82" s="188"/>
      <c r="M82" s="230"/>
      <c r="O82"/>
      <c r="P82"/>
    </row>
    <row r="83" spans="3:16">
      <c r="L83" s="188"/>
      <c r="M83" s="230"/>
      <c r="O83"/>
      <c r="P83"/>
    </row>
    <row r="84" spans="3:16">
      <c r="L84" s="532"/>
      <c r="M84" s="230"/>
      <c r="O84"/>
      <c r="P84"/>
    </row>
    <row r="85" spans="3:16">
      <c r="L85" s="405"/>
      <c r="M85" s="230"/>
      <c r="O85"/>
      <c r="P85"/>
    </row>
    <row r="92" spans="3:16">
      <c r="E92" s="533"/>
      <c r="F92" s="212"/>
    </row>
    <row r="93" spans="3:16" ht="14.4">
      <c r="E93"/>
      <c r="F93"/>
    </row>
    <row r="94" spans="3:16">
      <c r="F94" s="56"/>
    </row>
    <row r="95" spans="3:16">
      <c r="F95" s="56"/>
    </row>
    <row r="96" spans="3:16">
      <c r="F96" s="56"/>
      <c r="G96" s="407"/>
    </row>
    <row r="97" spans="4:16" ht="14.4">
      <c r="D97" s="621"/>
      <c r="E97" s="56"/>
      <c r="F97" s="56"/>
      <c r="G97" s="407"/>
    </row>
    <row r="98" spans="4:16" ht="14.4">
      <c r="E98" s="56"/>
      <c r="F98" s="56"/>
      <c r="G98" s="407"/>
    </row>
    <row r="99" spans="4:16" ht="14.4">
      <c r="E99" s="56"/>
      <c r="F99" s="56"/>
      <c r="G99" s="407"/>
    </row>
    <row r="100" spans="4:16">
      <c r="G100" s="407"/>
      <c r="H100" s="11"/>
      <c r="O100"/>
      <c r="P100"/>
    </row>
    <row r="101" spans="4:16">
      <c r="G101" s="407"/>
      <c r="O101"/>
      <c r="P101"/>
    </row>
    <row r="102" spans="4:16">
      <c r="G102" s="407"/>
      <c r="O102"/>
      <c r="P102"/>
    </row>
    <row r="103" spans="4:16">
      <c r="G103" s="407"/>
    </row>
  </sheetData>
  <mergeCells count="19">
    <mergeCell ref="G73:H73"/>
    <mergeCell ref="B32:E32"/>
    <mergeCell ref="B33:C33"/>
    <mergeCell ref="B48:D48"/>
    <mergeCell ref="B50:G50"/>
    <mergeCell ref="K50:O50"/>
    <mergeCell ref="B51:C51"/>
    <mergeCell ref="B5:C5"/>
    <mergeCell ref="B6:B21"/>
    <mergeCell ref="C6:C21"/>
    <mergeCell ref="E11:F11"/>
    <mergeCell ref="B27:E27"/>
    <mergeCell ref="B28:C28"/>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47CB5-5D66-7941-A1E1-29FE364C2136}">
  <dimension ref="A1:X102"/>
  <sheetViews>
    <sheetView topLeftCell="G21" zoomScaleNormal="90" workbookViewId="0">
      <selection activeCell="H36" sqref="H36"/>
    </sheetView>
  </sheetViews>
  <sheetFormatPr defaultColWidth="10.33203125" defaultRowHeight="15.6" outlineLevelRow="2"/>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 min="16384" max="16384" width="10.33203125" bestFit="1" customWidth="1"/>
  </cols>
  <sheetData>
    <row r="1" spans="1:24" ht="25.5" customHeight="1">
      <c r="A1" t="str">
        <f ca="1">UPPER(TEXT((1&amp;LEFT(B$1,3))-1,"MMM"))&amp;"-"&amp;UPPER(TEXT((1&amp;RIGHT(LEFT(B$1,7),3))-1,"MMM"))&amp;" "&amp;RIGHT(B$1,4)</f>
        <v>MAY-JUN L 26</v>
      </c>
      <c r="B1" s="730" t="str">
        <f ca="1">MID(CELL("filename",B1),FIND("]",CELL("filename",B1))+1,255)</f>
        <v>JUN-JUL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3429</v>
      </c>
      <c r="M2" s="79" t="s">
        <v>801</v>
      </c>
      <c r="N2" s="307" t="s">
        <v>1450</v>
      </c>
      <c r="O2" s="273" t="s">
        <v>10</v>
      </c>
      <c r="P2" s="273"/>
      <c r="Q2" s="283" t="s">
        <v>803</v>
      </c>
    </row>
    <row r="3" spans="1:24">
      <c r="B3" s="118"/>
      <c r="C3" s="118"/>
      <c r="D3" s="290" t="e">
        <f>"£" &amp; ROUND(O5+O33+O28+IF(#REF!&lt;0,0,#REF!)+O44+O4,2) &amp; " / " &amp; "£" &amp; E47</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",G47*0.5," / Actual = ",ROUND(F4,2)," (",ROUND((F4/G47)*100,2),")")</f>
        <v>Expenses - 50 - 3841.71 / Actual = 3468.31 (45.14)</v>
      </c>
      <c r="C4" s="727"/>
      <c r="D4" s="727"/>
      <c r="E4" s="727"/>
      <c r="F4" s="319">
        <f>ROUND(SUM(F6:F25),2)</f>
        <v>3468.31</v>
      </c>
      <c r="G4" s="243"/>
      <c r="H4" s="304">
        <f>SUM(H5:H45)</f>
        <v>2238.62</v>
      </c>
      <c r="I4" s="243">
        <f>H4+(E64*-1)</f>
        <v>4862.09</v>
      </c>
      <c r="J4" s="304">
        <f>SUM(J5:J45)</f>
        <v>2158.8200000000002</v>
      </c>
      <c r="K4" s="243"/>
      <c r="L4" s="304"/>
      <c r="M4" s="243"/>
      <c r="N4" s="304"/>
      <c r="O4" s="308">
        <f>IF(H46&lt;&gt;"PAID",H4,0)+IF(J46&lt;&gt;"PAID",J4,0)+IF(L46&lt;&gt;"PAID",L4,0)+IF(N46&lt;&gt;"PAID",N4,0)</f>
        <v>4397.4400000000005</v>
      </c>
      <c r="P4" s="309" t="s">
        <v>973</v>
      </c>
      <c r="Q4" s="408"/>
      <c r="R4" s="243"/>
      <c r="S4" s="284"/>
      <c r="T4" s="11"/>
      <c r="U4" s="390"/>
      <c r="V4" s="11"/>
      <c r="W4" s="390"/>
      <c r="X4" s="11"/>
    </row>
    <row r="5" spans="1:24" ht="15" customHeight="1">
      <c r="B5" s="733" t="str">
        <f>IF(D5&gt;E$47*0.5,ROUND(D5-E$47*0.5,2) &amp; " Over",ROUND(E$47*0.5-D5,2) &amp; " Under")</f>
        <v>5543.52 Under</v>
      </c>
      <c r="C5" s="733"/>
      <c r="D5" s="702"/>
      <c r="E5" s="321" t="s">
        <v>1451</v>
      </c>
      <c r="F5" s="321" t="s">
        <v>650</v>
      </c>
      <c r="G5" s="284"/>
      <c r="H5" s="306"/>
      <c r="I5" s="390"/>
      <c r="J5" s="306"/>
      <c r="K5" s="390"/>
      <c r="L5" s="306"/>
      <c r="M5" s="79"/>
      <c r="N5" s="305"/>
      <c r="O5" s="285">
        <f>SUMIF(O6:O25,"&gt;0")</f>
        <v>9.5300000000000864</v>
      </c>
      <c r="P5" s="285" t="s">
        <v>892</v>
      </c>
      <c r="Q5" s="282">
        <f>SUM(Q6:Q25)</f>
        <v>23.950000000000045</v>
      </c>
      <c r="R5" s="243"/>
      <c r="T5" s="243"/>
    </row>
    <row r="6" spans="1:24" ht="15" customHeight="1">
      <c r="B6" s="734" t="str">
        <f>"50%: " &amp; E$47*0.5</f>
        <v>50%: 5543.515</v>
      </c>
      <c r="C6" s="734" t="str">
        <f>ROUND((D5/E$47)*100,2) &amp; "%: " &amp;D5</f>
        <v xml:space="preserve">0%: </v>
      </c>
      <c r="D6" s="13" t="s">
        <v>805</v>
      </c>
      <c r="E6" s="523">
        <v>0</v>
      </c>
      <c r="F6" s="528">
        <f>120+15+30.46</f>
        <v>165.46</v>
      </c>
      <c r="H6" s="305">
        <f>32.2+30.98+31.01+40.06+31.21</f>
        <v>165.46</v>
      </c>
      <c r="J6" s="305"/>
      <c r="L6" s="305"/>
      <c r="N6" s="305"/>
      <c r="O6" s="274">
        <f>SUM(E6:F6)-SUM(G6:N6)</f>
        <v>0</v>
      </c>
      <c r="P6" s="274" t="str">
        <f t="shared" ref="P6:P25" si="0">D6</f>
        <v>Car Petrol / commuting</v>
      </c>
      <c r="Q6" s="282">
        <f>IF(O6&lt;0,O6*-1,0)</f>
        <v>0</v>
      </c>
      <c r="R6" s="243"/>
      <c r="S6" s="243"/>
      <c r="T6" s="243"/>
    </row>
    <row r="7" spans="1:24" ht="15" customHeight="1">
      <c r="B7" s="734"/>
      <c r="C7" s="734"/>
      <c r="D7" s="13" t="s">
        <v>169</v>
      </c>
      <c r="E7" s="523">
        <v>0</v>
      </c>
      <c r="F7" s="523">
        <v>350</v>
      </c>
      <c r="H7" s="305">
        <f>3.5+4+3.5+19.99+117.57+82.18+11.5+8.99+108.47+12.6-8.05+5.2</f>
        <v>369.45000000000005</v>
      </c>
      <c r="J7" s="305"/>
      <c r="L7" s="305"/>
      <c r="N7" s="305"/>
      <c r="O7" s="274">
        <f>SUM(E7:F7)-SUM(G7:N7)</f>
        <v>-19.450000000000045</v>
      </c>
      <c r="P7" s="274" t="str">
        <f t="shared" si="0"/>
        <v>Food</v>
      </c>
      <c r="Q7" s="282">
        <f>IF(O7&lt;0,O7*-1,0)</f>
        <v>19.450000000000045</v>
      </c>
      <c r="R7" s="243"/>
    </row>
    <row r="8" spans="1:24" ht="15" customHeight="1">
      <c r="B8" s="734"/>
      <c r="C8" s="734"/>
      <c r="D8" s="13" t="s">
        <v>153</v>
      </c>
      <c r="E8" s="523">
        <v>0</v>
      </c>
      <c r="F8" s="523">
        <f>120</f>
        <v>120</v>
      </c>
      <c r="H8" s="305">
        <f>9.71</f>
        <v>9.7100000000000009</v>
      </c>
      <c r="J8" s="305">
        <f>36.8+23.4+41.29</f>
        <v>101.49</v>
      </c>
      <c r="L8" s="305"/>
      <c r="N8" s="305"/>
      <c r="O8" s="274">
        <f>SUM(E8:F8)-SUM(G8:N8)</f>
        <v>8.8000000000000114</v>
      </c>
      <c r="P8" s="274" t="str">
        <f t="shared" si="0"/>
        <v>Luna</v>
      </c>
      <c r="Q8" s="282">
        <f>IF(O8&lt;0,O8*-1,0)</f>
        <v>0</v>
      </c>
      <c r="S8" s="243"/>
    </row>
    <row r="9" spans="1:24" ht="15" customHeight="1">
      <c r="B9" s="734"/>
      <c r="C9" s="734"/>
      <c r="D9" s="13" t="s">
        <v>954</v>
      </c>
      <c r="E9" s="523">
        <v>0</v>
      </c>
      <c r="F9" s="523">
        <v>18</v>
      </c>
      <c r="H9" s="305"/>
      <c r="J9" s="305">
        <v>18</v>
      </c>
      <c r="L9" s="305"/>
      <c r="N9" s="305"/>
      <c r="O9" s="274">
        <f>SUM(E9:F9)-SUM(G9:N9)</f>
        <v>0</v>
      </c>
      <c r="P9" s="274" t="str">
        <f t="shared" si="0"/>
        <v>Haircut</v>
      </c>
      <c r="Q9" s="282"/>
      <c r="S9" s="243"/>
    </row>
    <row r="10" spans="1:24" ht="15" customHeight="1">
      <c r="B10" s="734"/>
      <c r="C10" s="734"/>
      <c r="D10" s="13" t="s">
        <v>3421</v>
      </c>
      <c r="E10" s="523">
        <v>0</v>
      </c>
      <c r="F10" s="523">
        <v>50</v>
      </c>
      <c r="H10" s="305">
        <v>50</v>
      </c>
      <c r="J10" s="305"/>
      <c r="L10" s="305"/>
      <c r="N10" s="305"/>
      <c r="O10" s="274">
        <f>SUM(E10:F10)-SUM(G10:N10)</f>
        <v>0</v>
      </c>
      <c r="P10" s="274" t="str">
        <f t="shared" si="0"/>
        <v>Skin Budget</v>
      </c>
      <c r="Q10" s="282"/>
    </row>
    <row r="11" spans="1:24" ht="15" customHeight="1">
      <c r="B11" s="734"/>
      <c r="C11" s="734"/>
      <c r="D11" s="13" t="s">
        <v>189</v>
      </c>
      <c r="E11" s="735">
        <f>SUM(F12:F25)</f>
        <v>2764.8499999999995</v>
      </c>
      <c r="F11" s="735"/>
      <c r="G11" s="243"/>
      <c r="H11" s="305"/>
      <c r="J11" s="305"/>
      <c r="L11" s="305"/>
      <c r="N11" s="305"/>
      <c r="O11" s="274"/>
      <c r="P11" s="274" t="str">
        <f t="shared" si="0"/>
        <v>Direct debits</v>
      </c>
      <c r="Q11" s="282"/>
      <c r="R11" s="243"/>
      <c r="T11" s="243"/>
    </row>
    <row r="12" spans="1:24" ht="15" customHeight="1" outlineLevel="1">
      <c r="B12" s="734"/>
      <c r="C12" s="734"/>
      <c r="D12" s="201" t="s">
        <v>595</v>
      </c>
      <c r="E12" s="523">
        <v>0</v>
      </c>
      <c r="F12" s="523">
        <v>838</v>
      </c>
      <c r="G12">
        <v>838</v>
      </c>
      <c r="H12" s="305"/>
      <c r="J12" s="305"/>
      <c r="L12" s="304"/>
      <c r="N12" s="305"/>
      <c r="O12" s="274">
        <f t="shared" ref="O12:O25" si="1">SUM(E12:F12)-SUM(G12:N12)</f>
        <v>0</v>
      </c>
      <c r="P12" s="274" t="str">
        <f t="shared" si="0"/>
        <v>Mortgage</v>
      </c>
      <c r="Q12" s="282">
        <f t="shared" ref="Q12:Q25" si="2">IF(O12&lt;0,O12*-1,0)</f>
        <v>0</v>
      </c>
      <c r="R12" s="243"/>
    </row>
    <row r="13" spans="1:24" ht="15" customHeight="1" outlineLevel="1">
      <c r="B13" s="734"/>
      <c r="C13" s="734"/>
      <c r="D13" s="201" t="s">
        <v>596</v>
      </c>
      <c r="E13" s="523">
        <v>0</v>
      </c>
      <c r="F13" s="523">
        <v>176</v>
      </c>
      <c r="G13">
        <v>176</v>
      </c>
      <c r="H13" s="305"/>
      <c r="J13" s="305"/>
      <c r="L13" s="305"/>
      <c r="N13" s="305"/>
      <c r="O13" s="274">
        <f t="shared" si="1"/>
        <v>0</v>
      </c>
      <c r="P13" s="274" t="str">
        <f t="shared" si="0"/>
        <v>Council tax</v>
      </c>
      <c r="Q13" s="282">
        <f t="shared" si="2"/>
        <v>0</v>
      </c>
    </row>
    <row r="14" spans="1:24" ht="15" customHeight="1" outlineLevel="1">
      <c r="B14" s="734"/>
      <c r="C14" s="734"/>
      <c r="D14" s="201" t="s">
        <v>1002</v>
      </c>
      <c r="E14" s="523">
        <v>0</v>
      </c>
      <c r="F14" s="523">
        <f>49+114.76</f>
        <v>163.76</v>
      </c>
      <c r="G14">
        <f>49+114.76</f>
        <v>163.76</v>
      </c>
      <c r="H14" s="305"/>
      <c r="J14" s="305"/>
      <c r="L14" s="305"/>
      <c r="N14" s="305"/>
      <c r="O14" s="274">
        <f t="shared" si="1"/>
        <v>0</v>
      </c>
      <c r="P14" s="274" t="str">
        <f t="shared" si="0"/>
        <v>Utilities (G,W,E,HTB)</v>
      </c>
      <c r="Q14" s="282">
        <f t="shared" si="2"/>
        <v>0</v>
      </c>
    </row>
    <row r="15" spans="1:24" ht="15" customHeight="1" outlineLevel="1">
      <c r="B15" s="734"/>
      <c r="C15" s="734"/>
      <c r="D15" s="201" t="s">
        <v>996</v>
      </c>
      <c r="E15" s="523">
        <v>0</v>
      </c>
      <c r="F15" s="523">
        <v>28.51</v>
      </c>
      <c r="G15">
        <v>28.51</v>
      </c>
      <c r="H15" s="305"/>
      <c r="J15" s="305"/>
      <c r="L15" s="305"/>
      <c r="N15" s="305"/>
      <c r="O15" s="274">
        <f t="shared" si="1"/>
        <v>0</v>
      </c>
      <c r="P15" s="274" t="str">
        <f t="shared" si="0"/>
        <v>Home Insurance</v>
      </c>
      <c r="Q15" s="282">
        <f t="shared" si="2"/>
        <v>0</v>
      </c>
    </row>
    <row r="16" spans="1:24" ht="15" customHeight="1" outlineLevel="1">
      <c r="B16" s="734"/>
      <c r="C16" s="734"/>
      <c r="D16" s="201" t="s">
        <v>1056</v>
      </c>
      <c r="E16" s="523">
        <v>0</v>
      </c>
      <c r="F16" s="523">
        <f>27.97+22.99</f>
        <v>50.959999999999994</v>
      </c>
      <c r="G16">
        <f>24.99+27.97</f>
        <v>52.959999999999994</v>
      </c>
      <c r="H16" s="305"/>
      <c r="J16" s="305"/>
      <c r="L16" s="305"/>
      <c r="N16" s="305"/>
      <c r="O16" s="274">
        <f t="shared" si="1"/>
        <v>-2</v>
      </c>
      <c r="P16" s="274" t="str">
        <f t="shared" si="0"/>
        <v>Pet Health / Insurance</v>
      </c>
      <c r="Q16" s="282">
        <f t="shared" si="2"/>
        <v>2</v>
      </c>
      <c r="U16" s="11"/>
    </row>
    <row r="17" spans="2:19" ht="15" customHeight="1" outlineLevel="1">
      <c r="B17" s="734"/>
      <c r="C17" s="734"/>
      <c r="D17" s="201" t="s">
        <v>1057</v>
      </c>
      <c r="E17" s="523">
        <v>0</v>
      </c>
      <c r="F17" s="523">
        <f>30.8+62.08-5</f>
        <v>87.88</v>
      </c>
      <c r="G17">
        <v>87.88</v>
      </c>
      <c r="H17" s="305"/>
      <c r="J17" s="305"/>
      <c r="L17" s="305"/>
      <c r="N17" s="305"/>
      <c r="O17" s="274">
        <f t="shared" si="1"/>
        <v>0</v>
      </c>
      <c r="P17" s="274" t="str">
        <f t="shared" si="0"/>
        <v>Life / Income Insurance</v>
      </c>
      <c r="Q17" s="282">
        <f t="shared" si="2"/>
        <v>0</v>
      </c>
    </row>
    <row r="18" spans="2:19" ht="15" customHeight="1" outlineLevel="1">
      <c r="B18" s="734"/>
      <c r="C18" s="734"/>
      <c r="D18" s="201" t="s">
        <v>602</v>
      </c>
      <c r="E18" s="523">
        <v>0</v>
      </c>
      <c r="F18" s="523">
        <v>40</v>
      </c>
      <c r="G18">
        <v>40</v>
      </c>
      <c r="H18" s="305"/>
      <c r="J18" s="305"/>
      <c r="L18" s="305"/>
      <c r="N18" s="305"/>
      <c r="O18" s="274">
        <f t="shared" si="1"/>
        <v>0</v>
      </c>
      <c r="P18" s="274" t="str">
        <f t="shared" si="0"/>
        <v>Broadband / TV</v>
      </c>
      <c r="Q18" s="282">
        <f t="shared" si="2"/>
        <v>0</v>
      </c>
    </row>
    <row r="19" spans="2:19" ht="15" customHeight="1" outlineLevel="1">
      <c r="B19" s="734"/>
      <c r="C19" s="734"/>
      <c r="D19" s="201" t="s">
        <v>788</v>
      </c>
      <c r="E19" s="523">
        <v>0</v>
      </c>
      <c r="F19" s="523">
        <v>29.1</v>
      </c>
      <c r="G19">
        <v>31.6</v>
      </c>
      <c r="H19" s="305"/>
      <c r="J19" s="305"/>
      <c r="L19" s="305"/>
      <c r="N19" s="305"/>
      <c r="O19" s="274">
        <f t="shared" si="1"/>
        <v>-2.5</v>
      </c>
      <c r="P19" s="274" t="str">
        <f t="shared" si="0"/>
        <v>Matt Phone</v>
      </c>
      <c r="Q19" s="282">
        <f t="shared" si="2"/>
        <v>2.5</v>
      </c>
    </row>
    <row r="20" spans="2:19" ht="15" customHeight="1" outlineLevel="1">
      <c r="B20" s="734"/>
      <c r="C20" s="734"/>
      <c r="D20" s="201" t="s">
        <v>690</v>
      </c>
      <c r="E20" s="523">
        <v>0</v>
      </c>
      <c r="F20" s="523">
        <f>14.43+46.29+271.59+487.35+58.85+17.09</f>
        <v>895.6</v>
      </c>
      <c r="G20">
        <f>46.29+58.85+14.43+17.06+271.59+487.35</f>
        <v>895.56999999999994</v>
      </c>
      <c r="H20" s="305"/>
      <c r="J20" s="305"/>
      <c r="L20" s="305"/>
      <c r="N20" s="305"/>
      <c r="O20" s="274">
        <f t="shared" si="1"/>
        <v>3.0000000000086402E-2</v>
      </c>
      <c r="P20" s="274" t="str">
        <f t="shared" si="0"/>
        <v>Cars</v>
      </c>
      <c r="Q20" s="282">
        <f t="shared" si="2"/>
        <v>0</v>
      </c>
    </row>
    <row r="21" spans="2:19" ht="15" customHeight="1" outlineLevel="1">
      <c r="B21" s="734"/>
      <c r="C21" s="734"/>
      <c r="D21" s="201" t="s">
        <v>944</v>
      </c>
      <c r="E21" s="523">
        <v>0</v>
      </c>
      <c r="F21" s="523">
        <v>15</v>
      </c>
      <c r="H21" s="305"/>
      <c r="I21" s="706"/>
      <c r="J21" s="305"/>
      <c r="L21" s="305"/>
      <c r="M21">
        <v>15</v>
      </c>
      <c r="N21" s="305"/>
      <c r="O21" s="274">
        <f t="shared" si="1"/>
        <v>0</v>
      </c>
      <c r="P21" s="274" t="str">
        <f t="shared" si="0"/>
        <v>Windows</v>
      </c>
      <c r="Q21" s="282">
        <f t="shared" si="2"/>
        <v>0</v>
      </c>
      <c r="R21" s="243"/>
    </row>
    <row r="22" spans="2:19" ht="15" customHeight="1" outlineLevel="1">
      <c r="B22" s="7"/>
      <c r="C22" s="7"/>
      <c r="D22" s="201" t="s">
        <v>920</v>
      </c>
      <c r="E22" s="523">
        <v>0</v>
      </c>
      <c r="F22" s="523">
        <f>48.22+137.5+25</f>
        <v>210.72</v>
      </c>
      <c r="G22">
        <f>137.5+48.22</f>
        <v>185.72</v>
      </c>
      <c r="H22" s="305"/>
      <c r="J22" s="305"/>
      <c r="L22" s="305"/>
      <c r="M22">
        <v>25</v>
      </c>
      <c r="N22" s="305"/>
      <c r="O22" s="274">
        <f t="shared" si="1"/>
        <v>0</v>
      </c>
      <c r="P22" s="274" t="str">
        <f t="shared" si="0"/>
        <v>Finance</v>
      </c>
      <c r="Q22" s="282">
        <f t="shared" si="2"/>
        <v>0</v>
      </c>
      <c r="R22" s="243"/>
    </row>
    <row r="23" spans="2:19" ht="15" customHeight="1" outlineLevel="1">
      <c r="B23" s="7"/>
      <c r="C23" s="7"/>
      <c r="D23" s="201" t="s">
        <v>2909</v>
      </c>
      <c r="E23" s="523">
        <v>0</v>
      </c>
      <c r="F23" s="523">
        <v>45.79</v>
      </c>
      <c r="G23">
        <v>45.79</v>
      </c>
      <c r="H23" s="305"/>
      <c r="J23" s="305"/>
      <c r="L23" s="305"/>
      <c r="N23" s="305"/>
      <c r="O23" s="274">
        <f t="shared" si="1"/>
        <v>0</v>
      </c>
      <c r="P23" s="274" t="str">
        <f t="shared" si="0"/>
        <v>Kris Phone</v>
      </c>
      <c r="Q23" s="282"/>
      <c r="R23" s="243"/>
      <c r="S23" s="11"/>
    </row>
    <row r="24" spans="2:19" ht="15" customHeight="1" outlineLevel="1">
      <c r="B24" s="7"/>
      <c r="C24" s="7"/>
      <c r="D24" s="201" t="s">
        <v>3420</v>
      </c>
      <c r="E24" s="523">
        <v>0</v>
      </c>
      <c r="F24" s="523">
        <f>100.16</f>
        <v>100.16</v>
      </c>
      <c r="G24">
        <v>100.16</v>
      </c>
      <c r="H24" s="305"/>
      <c r="J24" s="305"/>
      <c r="L24" s="305"/>
      <c r="N24" s="305"/>
      <c r="O24" s="274">
        <f t="shared" si="1"/>
        <v>0</v>
      </c>
      <c r="P24" s="274" t="str">
        <f t="shared" si="0"/>
        <v>Health Insurance</v>
      </c>
      <c r="Q24" s="282"/>
      <c r="R24" s="243"/>
      <c r="S24" s="11"/>
    </row>
    <row r="25" spans="2:19" ht="15" customHeight="1" outlineLevel="1">
      <c r="B25" s="7"/>
      <c r="C25" s="7"/>
      <c r="D25" s="201" t="s">
        <v>781</v>
      </c>
      <c r="E25" s="523">
        <v>0</v>
      </c>
      <c r="F25" s="523">
        <f>10.49+18+4.99+0.99+12+20+1.95+13.95+1</f>
        <v>83.37</v>
      </c>
      <c r="G25" s="11">
        <f>12+1+18+1.79+10.49+5.99</f>
        <v>49.27</v>
      </c>
      <c r="H25" s="305"/>
      <c r="J25" s="305">
        <v>20</v>
      </c>
      <c r="L25" s="305"/>
      <c r="M25">
        <v>13.4</v>
      </c>
      <c r="N25" s="305"/>
      <c r="O25" s="274">
        <f t="shared" si="1"/>
        <v>0.69999999999998863</v>
      </c>
      <c r="P25" s="274" t="str">
        <f t="shared" si="0"/>
        <v>Subscriptions</v>
      </c>
      <c r="Q25" s="282">
        <f t="shared" si="2"/>
        <v>0</v>
      </c>
      <c r="R25" s="243"/>
    </row>
    <row r="26" spans="2:19" ht="15" customHeight="1">
      <c r="B26" s="118"/>
      <c r="C26" s="118"/>
      <c r="D26" s="188"/>
      <c r="H26" s="305"/>
      <c r="J26" s="305"/>
      <c r="L26" s="305"/>
      <c r="N26" s="305"/>
      <c r="O26" s="273"/>
      <c r="P26" s="273"/>
      <c r="Q26" s="282"/>
    </row>
    <row r="27" spans="2:19" ht="15" customHeight="1">
      <c r="B27" s="736" t="str">
        <f>_xlfn.CONCAT("Savings - 20 - ",G47*0.2," / Actual = ",F27," (",ROUND((F27/G47)*100,2),")")</f>
        <v>Savings - 20 - 1536.684 / Actual = 50 (0.65)</v>
      </c>
      <c r="C27" s="736"/>
      <c r="D27" s="736"/>
      <c r="E27" s="736"/>
      <c r="F27" s="703">
        <f>F29</f>
        <v>50</v>
      </c>
      <c r="H27" s="305"/>
      <c r="J27" s="305"/>
      <c r="L27" s="305"/>
      <c r="N27" s="305"/>
      <c r="O27" s="274"/>
      <c r="P27" s="274"/>
      <c r="Q27" s="282"/>
    </row>
    <row r="28" spans="2:19" ht="15" customHeight="1">
      <c r="B28" s="727" t="str">
        <f>IF(ISNUMBER((SEARCH("Over",C$5))),"Operating under budget","Operating over budget")</f>
        <v>Operating over budget</v>
      </c>
      <c r="C28" s="727"/>
      <c r="D28" s="705"/>
      <c r="E28" s="703" t="s">
        <v>1451</v>
      </c>
      <c r="F28" s="703" t="s">
        <v>650</v>
      </c>
      <c r="H28" s="305"/>
      <c r="J28" s="305"/>
      <c r="L28" s="305"/>
      <c r="N28" s="305"/>
      <c r="O28" s="285">
        <f>O29</f>
        <v>-1246.329999999999</v>
      </c>
      <c r="P28" s="285" t="s">
        <v>895</v>
      </c>
      <c r="Q28" s="282">
        <f>SUM(Q29:Q29)</f>
        <v>0</v>
      </c>
      <c r="S28" s="243"/>
    </row>
    <row r="29" spans="2:19" ht="15" customHeight="1" outlineLevel="1">
      <c r="B29" s="7" t="str">
        <f>"20% : " &amp; E$47*0.2</f>
        <v>20% : 2217.406</v>
      </c>
      <c r="C29" s="7" t="str">
        <f>"20% : " &amp; E$47*0.2</f>
        <v>20% : 2217.406</v>
      </c>
      <c r="D29" s="300" t="s">
        <v>183</v>
      </c>
      <c r="E29" s="523">
        <v>0</v>
      </c>
      <c r="F29" s="523">
        <f>SUM(F30:F30)</f>
        <v>50</v>
      </c>
      <c r="G29" s="243"/>
      <c r="H29" s="305"/>
      <c r="J29" s="305"/>
      <c r="L29" s="305"/>
      <c r="N29" s="305"/>
      <c r="O29" s="274">
        <f>SUM(O30:O30)</f>
        <v>-1246.329999999999</v>
      </c>
      <c r="P29" s="274" t="str">
        <f t="shared" ref="P29:P30" si="3">D29</f>
        <v>Savings</v>
      </c>
      <c r="Q29" s="282">
        <v>0</v>
      </c>
      <c r="R29" s="495"/>
      <c r="S29" s="243"/>
    </row>
    <row r="30" spans="2:19" ht="15" customHeight="1" outlineLevel="1">
      <c r="B30" s="7"/>
      <c r="C30" s="7"/>
      <c r="D30" s="300" t="s">
        <v>3311</v>
      </c>
      <c r="E30" s="523">
        <v>0</v>
      </c>
      <c r="F30" s="523">
        <v>50</v>
      </c>
      <c r="H30" s="305">
        <f>41.09+79+45</f>
        <v>165.09</v>
      </c>
      <c r="J30" s="305">
        <v>827.61</v>
      </c>
      <c r="L30" s="305"/>
      <c r="M30">
        <v>70</v>
      </c>
      <c r="N30" s="315"/>
      <c r="O30" s="274">
        <f>SUM(E30:F30)-SUM(G30:N30)-Q47</f>
        <v>-1246.329999999999</v>
      </c>
      <c r="P30" s="274" t="str">
        <f t="shared" si="3"/>
        <v>Monthly Contingency</v>
      </c>
      <c r="Q30" s="282"/>
      <c r="R30" s="243"/>
      <c r="S30" s="353"/>
    </row>
    <row r="31" spans="2:19" ht="15" customHeight="1">
      <c r="B31" s="118"/>
      <c r="C31" s="118"/>
      <c r="H31" s="305"/>
      <c r="J31" s="305"/>
      <c r="L31" s="305"/>
      <c r="N31" s="305"/>
      <c r="O31" s="273"/>
      <c r="P31" s="273"/>
      <c r="Q31" s="282"/>
      <c r="R31" s="243"/>
    </row>
    <row r="32" spans="2:19" ht="15" customHeight="1">
      <c r="B32" s="727" t="str">
        <f>_xlfn.CONCAT("Wants - 30 - ",G47*0.3," / Actual = ",F32," (",ROUND((F32/G47)*100,2),")")</f>
        <v>Wants - 30 - 2305.026 / Actual = 4165.11 (54.21)</v>
      </c>
      <c r="C32" s="727"/>
      <c r="D32" s="727"/>
      <c r="E32" s="727"/>
      <c r="F32" s="704">
        <f>(E$47-F4-F27-E46)</f>
        <v>4165.1100000000006</v>
      </c>
      <c r="H32" s="305"/>
      <c r="J32" s="305"/>
      <c r="L32" s="305"/>
      <c r="N32" s="305"/>
      <c r="O32" s="273"/>
      <c r="P32" s="273"/>
      <c r="Q32" s="282"/>
    </row>
    <row r="33" spans="2:20" ht="15" customHeight="1">
      <c r="B33" s="727" t="str">
        <f>IF(ISNUMBER((SEARCH("Over",B$5))),"Operating under budget","Operating over budget")</f>
        <v>Operating over budget</v>
      </c>
      <c r="C33" s="727"/>
      <c r="D33" s="705"/>
      <c r="E33" s="320" t="s">
        <v>1451</v>
      </c>
      <c r="F33" s="319" t="s">
        <v>650</v>
      </c>
      <c r="H33" s="305"/>
      <c r="J33" s="305"/>
      <c r="L33" s="305"/>
      <c r="N33" s="305"/>
      <c r="O33" s="285">
        <f>0</f>
        <v>0</v>
      </c>
      <c r="P33" s="285" t="s">
        <v>899</v>
      </c>
      <c r="Q33" s="282">
        <f>SUM(Q34:Q34)</f>
        <v>209.67999999999881</v>
      </c>
      <c r="S33" s="11"/>
    </row>
    <row r="34" spans="2:20" ht="18" outlineLevel="1">
      <c r="B34" s="7"/>
      <c r="C34" s="284"/>
      <c r="D34" s="13" t="s">
        <v>922</v>
      </c>
      <c r="E34" s="523">
        <v>0</v>
      </c>
      <c r="F34" s="523">
        <f>F32-F44-F43-F35</f>
        <v>255.49000000000115</v>
      </c>
      <c r="G34" s="11">
        <f>5.41+20+6.7+9.99</f>
        <v>42.1</v>
      </c>
      <c r="H34" s="305">
        <f>8.25+52.5+4.69+2.15+19+4.13+5.6+7+2.48+11+7.25+3+3.85+9.99+8.99+2.99+8.25+7+8.8+12.1+3.99+9.59+3+11.18+1.95+6.5</f>
        <v>225.23000000000005</v>
      </c>
      <c r="J34" s="305">
        <f>4.5+7.35+6.05+0.99+28.68+0.01+3.75+4.85+3.8+68.62+18.7+3.25+5.89</f>
        <v>156.43999999999997</v>
      </c>
      <c r="L34" s="305"/>
      <c r="M34">
        <f>2.9+18.5+20</f>
        <v>41.4</v>
      </c>
      <c r="N34" s="305"/>
      <c r="O34" s="274">
        <f>(SUM(E34:F34)-SUM(G34:N34))</f>
        <v>-209.67999999999881</v>
      </c>
      <c r="P34" s="274" t="str">
        <f t="shared" ref="P34:P45" si="4">D34</f>
        <v>Matt Fun</v>
      </c>
      <c r="Q34" s="271">
        <f>IF(F34-SUM(G34:N34)&lt;=0,(F34-SUM(G34:N34))*-1,0)</f>
        <v>209.67999999999881</v>
      </c>
      <c r="S34" s="11"/>
    </row>
    <row r="35" spans="2:20" ht="18" outlineLevel="1">
      <c r="B35" s="7"/>
      <c r="C35" s="284"/>
      <c r="D35" s="13" t="s">
        <v>3310</v>
      </c>
      <c r="E35" s="523">
        <v>0</v>
      </c>
      <c r="F35" s="523">
        <f>'Sinking Fund'!B56+100+100+40</f>
        <v>1076.6599999999999</v>
      </c>
      <c r="H35" s="305"/>
      <c r="J35" s="305"/>
      <c r="L35" s="305"/>
      <c r="N35" s="305"/>
      <c r="O35" s="274">
        <f>(SUM(E35:F35)-SUM(G35:N35))-SUM(O36:O42)</f>
        <v>-1579.0400000000004</v>
      </c>
      <c r="P35" s="274" t="str">
        <f t="shared" si="4"/>
        <v>Sinking Fund</v>
      </c>
      <c r="Q35" s="271"/>
      <c r="R35" s="243">
        <f>O35+E64</f>
        <v>-4202.51</v>
      </c>
      <c r="S35" s="11"/>
      <c r="T35" s="243"/>
    </row>
    <row r="36" spans="2:20" ht="18" outlineLevel="2">
      <c r="B36" s="7"/>
      <c r="C36" s="284"/>
      <c r="D36" s="13" t="s">
        <v>2370</v>
      </c>
      <c r="E36" s="523">
        <v>0</v>
      </c>
      <c r="F36" s="523">
        <v>0</v>
      </c>
      <c r="G36" s="11"/>
      <c r="H36" s="305">
        <f>26.88+13.2+33.2+124.43+15.9+122.05</f>
        <v>335.66</v>
      </c>
      <c r="J36" s="305">
        <f>6.25+41.49</f>
        <v>47.74</v>
      </c>
      <c r="L36" s="305"/>
      <c r="N36" s="305"/>
      <c r="O36" s="274">
        <f t="shared" ref="O36:O42" si="5">SUM(G36:N36)</f>
        <v>383.40000000000003</v>
      </c>
      <c r="P36" s="274" t="str">
        <f t="shared" si="4"/>
        <v>Summer Budget</v>
      </c>
      <c r="Q36" s="271"/>
      <c r="R36" s="243">
        <f>O35-E57+110</f>
        <v>-4092.51</v>
      </c>
      <c r="S36" s="11"/>
    </row>
    <row r="37" spans="2:20" ht="18" outlineLevel="2">
      <c r="B37" s="7"/>
      <c r="C37" s="284"/>
      <c r="D37" s="13" t="s">
        <v>172</v>
      </c>
      <c r="E37" s="523">
        <v>0</v>
      </c>
      <c r="F37" s="523">
        <v>0</v>
      </c>
      <c r="G37" s="11"/>
      <c r="H37" s="305"/>
      <c r="J37" s="305"/>
      <c r="L37" s="305"/>
      <c r="M37">
        <v>19.989999999999998</v>
      </c>
      <c r="N37" s="305"/>
      <c r="O37" s="274">
        <f t="shared" si="5"/>
        <v>19.989999999999998</v>
      </c>
      <c r="P37" s="274" t="str">
        <f t="shared" si="4"/>
        <v>Misc</v>
      </c>
      <c r="Q37" s="271"/>
      <c r="R37" s="243">
        <f>'Sinking Fund'!H56</f>
        <v>-3670.7599999999998</v>
      </c>
      <c r="S37" s="11">
        <f>R37-R36</f>
        <v>421.75000000000045</v>
      </c>
    </row>
    <row r="38" spans="2:20" ht="18" outlineLevel="2">
      <c r="B38" s="7"/>
      <c r="C38" s="284"/>
      <c r="D38" s="13" t="s">
        <v>701</v>
      </c>
      <c r="E38" s="523">
        <v>0</v>
      </c>
      <c r="F38" s="523">
        <v>0</v>
      </c>
      <c r="G38" s="11">
        <v>20</v>
      </c>
      <c r="H38" s="305">
        <f>(44.99+6.99)+80.95</f>
        <v>132.93</v>
      </c>
      <c r="J38" s="305">
        <f>219+199</f>
        <v>418</v>
      </c>
      <c r="L38" s="305"/>
      <c r="N38" s="305"/>
      <c r="O38" s="274">
        <f t="shared" si="5"/>
        <v>570.93000000000006</v>
      </c>
      <c r="P38" s="274" t="str">
        <f t="shared" si="4"/>
        <v>Gift</v>
      </c>
      <c r="Q38" s="271"/>
      <c r="R38" s="243"/>
      <c r="S38" s="11"/>
    </row>
    <row r="39" spans="2:20" ht="18" outlineLevel="2">
      <c r="B39" s="7"/>
      <c r="C39" s="284"/>
      <c r="D39" s="13" t="s">
        <v>3464</v>
      </c>
      <c r="E39" s="523">
        <v>0</v>
      </c>
      <c r="F39" s="523">
        <v>0</v>
      </c>
      <c r="G39" s="11">
        <v>107</v>
      </c>
      <c r="H39" s="305"/>
      <c r="J39" s="305"/>
      <c r="L39" s="305"/>
      <c r="N39" s="305"/>
      <c r="O39" s="274">
        <f t="shared" si="5"/>
        <v>107</v>
      </c>
      <c r="P39" s="274" t="str">
        <f t="shared" si="4"/>
        <v>Grounds Fee</v>
      </c>
      <c r="Q39" s="271"/>
      <c r="R39" s="243"/>
      <c r="S39" s="767" t="s">
        <v>3477</v>
      </c>
      <c r="T39" s="767"/>
    </row>
    <row r="40" spans="2:20" ht="18" outlineLevel="2">
      <c r="B40" s="7"/>
      <c r="C40" s="284"/>
      <c r="D40" s="13" t="s">
        <v>1808</v>
      </c>
      <c r="E40" s="523">
        <v>0</v>
      </c>
      <c r="F40" s="523">
        <v>0</v>
      </c>
      <c r="G40" s="11"/>
      <c r="H40" s="305"/>
      <c r="J40" s="305"/>
      <c r="L40" s="305"/>
      <c r="N40" s="305"/>
      <c r="O40" s="274">
        <f t="shared" si="5"/>
        <v>0</v>
      </c>
      <c r="P40" s="274" t="str">
        <f t="shared" si="4"/>
        <v>Prime</v>
      </c>
      <c r="Q40" s="271"/>
      <c r="S40" s="11">
        <f>O34*-1</f>
        <v>209.67999999999881</v>
      </c>
      <c r="T40" t="s">
        <v>3474</v>
      </c>
    </row>
    <row r="41" spans="2:20" ht="18" outlineLevel="2">
      <c r="B41" s="7"/>
      <c r="C41" s="284"/>
      <c r="D41" s="13" t="s">
        <v>3428</v>
      </c>
      <c r="E41" s="523">
        <v>0</v>
      </c>
      <c r="F41" s="523">
        <v>0</v>
      </c>
      <c r="G41" s="11"/>
      <c r="H41" s="305"/>
      <c r="J41" s="305"/>
      <c r="L41" s="305"/>
      <c r="N41" s="305"/>
      <c r="O41" s="274">
        <f t="shared" si="5"/>
        <v>0</v>
      </c>
      <c r="P41" s="274" t="str">
        <f t="shared" si="4"/>
        <v>Bali 2026</v>
      </c>
      <c r="Q41" s="271"/>
      <c r="S41" s="11">
        <f>200</f>
        <v>200</v>
      </c>
      <c r="T41" t="s">
        <v>3475</v>
      </c>
    </row>
    <row r="42" spans="2:20" ht="18" outlineLevel="2">
      <c r="B42" s="7"/>
      <c r="C42" s="284"/>
      <c r="D42" s="13" t="s">
        <v>3336</v>
      </c>
      <c r="E42" s="523">
        <v>0</v>
      </c>
      <c r="F42" s="523">
        <v>0</v>
      </c>
      <c r="G42" s="11">
        <f>54.57+442.23</f>
        <v>496.8</v>
      </c>
      <c r="H42" s="305">
        <f>68+81+68.25+13.63+8+18.7+5.05+296.31</f>
        <v>558.94000000000005</v>
      </c>
      <c r="J42" s="305">
        <f>10+3.5+2.9+3+11.85+36.46+16.05+102.27+24.9+6.66+75.02+14.21+55.66+4.44+69.35+42.62+39.75</f>
        <v>518.64</v>
      </c>
      <c r="L42" s="305"/>
      <c r="N42" s="305"/>
      <c r="O42" s="274">
        <f t="shared" si="5"/>
        <v>1574.38</v>
      </c>
      <c r="P42" s="274" t="str">
        <f t="shared" si="4"/>
        <v>Italy 2026</v>
      </c>
      <c r="Q42" s="271"/>
      <c r="S42" s="11">
        <v>120</v>
      </c>
      <c r="T42" t="s">
        <v>3476</v>
      </c>
    </row>
    <row r="43" spans="2:20" ht="18" outlineLevel="1">
      <c r="B43" s="7"/>
      <c r="C43" s="284"/>
      <c r="D43" s="13" t="s">
        <v>814</v>
      </c>
      <c r="E43" s="523">
        <v>3403.61</v>
      </c>
      <c r="F43" s="523">
        <f>2623.47-6.15</f>
        <v>2617.3199999999997</v>
      </c>
      <c r="G43" s="11">
        <f>4892.44+1336.37</f>
        <v>6228.8099999999995</v>
      </c>
      <c r="H43" s="305">
        <f>-83.89+-123.99</f>
        <v>-207.88</v>
      </c>
      <c r="J43" s="305"/>
      <c r="L43" s="305"/>
      <c r="N43" s="305"/>
      <c r="O43" s="274">
        <f>SUM(E43:F43)-SUM(G43:N43)</f>
        <v>0</v>
      </c>
      <c r="P43" s="274" t="str">
        <f t="shared" si="4"/>
        <v>CC</v>
      </c>
      <c r="Q43" s="282"/>
      <c r="S43" s="11"/>
    </row>
    <row r="44" spans="2:20" ht="18" outlineLevel="1">
      <c r="B44" s="7"/>
      <c r="C44" s="284"/>
      <c r="D44" s="13" t="s">
        <v>3465</v>
      </c>
      <c r="E44" s="523">
        <v>0</v>
      </c>
      <c r="F44" s="523">
        <f>9.49+70+6.15+30+50+25+25</f>
        <v>215.64</v>
      </c>
      <c r="G44" s="11"/>
      <c r="H44" s="305">
        <f>13.3+48.66+34.95+8.08+7.58+9.99+3.44+4.99+3.75+10.52+9.49+3.99+4.95+7.64+29.99+36.2</f>
        <v>237.51999999999998</v>
      </c>
      <c r="J44" s="305">
        <f>50.9</f>
        <v>50.9</v>
      </c>
      <c r="L44" s="305"/>
      <c r="N44" s="305"/>
      <c r="O44" s="274">
        <f>SUM(E44:F44)-SUM(G44:N44)</f>
        <v>-72.779999999999973</v>
      </c>
      <c r="P44" s="274" t="str">
        <f t="shared" si="4"/>
        <v>Kris (settled)</v>
      </c>
      <c r="Q44" s="271">
        <f>IF(F44-SUM(G44:N44)&lt;=0,(F44-SUM(G44:N44))*-1,0)</f>
        <v>72.779999999999973</v>
      </c>
    </row>
    <row r="45" spans="2:20" ht="18" outlineLevel="1">
      <c r="B45" s="7"/>
      <c r="C45" s="284"/>
      <c r="D45" s="13" t="s">
        <v>3466</v>
      </c>
      <c r="E45" s="523">
        <v>0</v>
      </c>
      <c r="F45" s="523">
        <v>0</v>
      </c>
      <c r="G45" s="11"/>
      <c r="H45" s="305">
        <f>121+75.51</f>
        <v>196.51</v>
      </c>
      <c r="J45" s="305"/>
      <c r="L45" s="305"/>
      <c r="N45" s="305"/>
      <c r="O45" s="274">
        <f>SUM(E45:F45)-SUM(G45:N45)</f>
        <v>-196.51</v>
      </c>
      <c r="P45" s="274" t="str">
        <f t="shared" si="4"/>
        <v>Kris (pending)</v>
      </c>
      <c r="Q45" s="271"/>
      <c r="S45" s="243"/>
    </row>
    <row r="46" spans="2:20">
      <c r="B46" s="118"/>
      <c r="C46" s="118"/>
      <c r="E46" s="523">
        <f>SUM(E35:E44)+E30</f>
        <v>3403.61</v>
      </c>
      <c r="G46" s="349"/>
      <c r="J46" s="7"/>
      <c r="L46" s="7"/>
      <c r="N46" s="7"/>
      <c r="O46" s="273"/>
      <c r="P46" s="273"/>
      <c r="Q46" s="282"/>
    </row>
    <row r="47" spans="2:20" ht="18">
      <c r="B47" s="728" t="s">
        <v>817</v>
      </c>
      <c r="C47" s="728"/>
      <c r="D47" s="728"/>
      <c r="E47" s="529">
        <f>G47+I47+K47+M47+N47+E46</f>
        <v>11087.03</v>
      </c>
      <c r="F47" s="530"/>
      <c r="G47" s="271">
        <f>3664.95+20+(1060+30+70)+2623.47+30+50+50+60+25</f>
        <v>7683.42</v>
      </c>
      <c r="H47" s="282"/>
      <c r="I47" s="271"/>
      <c r="J47" s="271"/>
      <c r="K47" s="271"/>
      <c r="L47" s="271"/>
      <c r="M47" s="271"/>
      <c r="N47" s="271"/>
      <c r="O47" s="314">
        <f>ROUND(O5+O33+O28+IF(O34&lt;0,0,O34)+O44+O45+O4+O43+O35,2)</f>
        <v>1312.31</v>
      </c>
      <c r="P47" s="274"/>
      <c r="Q47" s="282">
        <f>SUM(Q33,Q28,Q5)</f>
        <v>233.62999999999886</v>
      </c>
    </row>
    <row r="48" spans="2:20" ht="18">
      <c r="B48" s="118"/>
      <c r="C48" s="7"/>
      <c r="D48" s="13" t="s">
        <v>1451</v>
      </c>
      <c r="G48" s="523"/>
      <c r="H48" s="243"/>
      <c r="L48" s="243"/>
      <c r="O48" s="343">
        <f>O47-SUM(O4:O5)-O34-O28-O43+O44+O45</f>
        <v>-1907.9400000000023</v>
      </c>
      <c r="P48" s="7" t="str">
        <f>IF(O48&lt;0, "DEFICIT", "")</f>
        <v>DEFICIT</v>
      </c>
    </row>
    <row r="49" spans="2:18" ht="14.4">
      <c r="B49" s="729"/>
      <c r="C49" s="729"/>
      <c r="D49" s="729"/>
      <c r="E49" s="729"/>
      <c r="F49" s="729"/>
      <c r="G49" s="729"/>
      <c r="H49" s="297"/>
      <c r="K49" s="729"/>
      <c r="L49" s="729"/>
      <c r="M49" s="729"/>
      <c r="N49" s="729"/>
      <c r="O49" s="729"/>
      <c r="P49" s="297"/>
    </row>
    <row r="50" spans="2:18" ht="15" customHeight="1">
      <c r="B50" s="726" t="s">
        <v>955</v>
      </c>
      <c r="C50" s="726"/>
      <c r="F50" s="348"/>
      <c r="H50" s="243"/>
      <c r="K50" s="212"/>
      <c r="L50" s="212"/>
      <c r="M50" s="243"/>
      <c r="N50" s="476" t="s">
        <v>3479</v>
      </c>
      <c r="O50" s="316">
        <v>46227</v>
      </c>
      <c r="P50" s="7">
        <f ca="1">DATEDIF(O50,NOW(),"d")</f>
        <v>24</v>
      </c>
      <c r="Q50">
        <v>122</v>
      </c>
      <c r="R50" t="s">
        <v>3275</v>
      </c>
    </row>
    <row r="51" spans="2:18">
      <c r="B51" s="523"/>
      <c r="C51" s="38"/>
      <c r="D51" t="s">
        <v>1810</v>
      </c>
      <c r="E51" t="s">
        <v>3413</v>
      </c>
      <c r="F51" s="369" t="s">
        <v>1287</v>
      </c>
      <c r="G51" t="s">
        <v>3419</v>
      </c>
      <c r="L51" s="349"/>
      <c r="N51" s="637" t="s">
        <v>3472</v>
      </c>
      <c r="O51" s="638">
        <v>46220</v>
      </c>
      <c r="P51" s="639">
        <f ca="1">DATEDIF(O51,NOW(),"d")</f>
        <v>31</v>
      </c>
      <c r="Q51" s="514">
        <v>122</v>
      </c>
      <c r="R51" s="514" t="s">
        <v>2203</v>
      </c>
    </row>
    <row r="52" spans="2:18" ht="16.2" customHeight="1">
      <c r="D52" t="s">
        <v>887</v>
      </c>
      <c r="E52" s="243">
        <f>'MAY-JUN 26'!H4</f>
        <v>4892.4399999999996</v>
      </c>
      <c r="F52" s="501">
        <f>E52+H4</f>
        <v>7131.0599999999995</v>
      </c>
      <c r="G52" s="77">
        <v>46177</v>
      </c>
      <c r="I52" s="243"/>
      <c r="L52" s="243"/>
      <c r="M52" s="243"/>
      <c r="N52" s="358" t="s">
        <v>3473</v>
      </c>
      <c r="O52" s="638">
        <v>46220</v>
      </c>
      <c r="P52" s="639">
        <f ca="1">DATEDIF(O52,NOW(),"d")</f>
        <v>31</v>
      </c>
      <c r="Q52">
        <v>68.62</v>
      </c>
      <c r="R52" t="s">
        <v>3277</v>
      </c>
    </row>
    <row r="53" spans="2:18">
      <c r="B53" s="532"/>
      <c r="D53" t="s">
        <v>1374</v>
      </c>
      <c r="E53" s="55">
        <f>'MAY-JUN 26'!J4</f>
        <v>1336.3700000000001</v>
      </c>
      <c r="F53" s="501">
        <f>E53+J4</f>
        <v>3495.1900000000005</v>
      </c>
      <c r="G53" s="77">
        <v>46181</v>
      </c>
      <c r="L53" s="243"/>
      <c r="M53" s="243"/>
      <c r="N53" s="243"/>
      <c r="P53"/>
    </row>
    <row r="54" spans="2:18">
      <c r="D54" t="s">
        <v>3457</v>
      </c>
      <c r="E54" s="243">
        <v>-201.73</v>
      </c>
      <c r="F54" s="659"/>
      <c r="G54">
        <v>15</v>
      </c>
      <c r="H54" s="55" t="s">
        <v>3434</v>
      </c>
      <c r="I54" s="708"/>
      <c r="J54" s="243"/>
      <c r="K54" s="243"/>
      <c r="L54" s="349"/>
      <c r="M54" s="243"/>
      <c r="N54" s="243"/>
      <c r="P54"/>
      <c r="Q54" s="243"/>
    </row>
    <row r="55" spans="2:18">
      <c r="D55" s="243" t="s">
        <v>1287</v>
      </c>
      <c r="E55" s="243">
        <f>SUM(E52:E54)</f>
        <v>6027.08</v>
      </c>
      <c r="H55" s="55"/>
      <c r="I55" s="515"/>
      <c r="J55" s="243"/>
      <c r="L55" s="243"/>
      <c r="M55" s="656"/>
      <c r="N55" s="243"/>
      <c r="O55" s="343"/>
      <c r="P55" s="292"/>
      <c r="Q55" s="212"/>
    </row>
    <row r="56" spans="2:18" ht="15" customHeight="1">
      <c r="D56" t="s">
        <v>1352</v>
      </c>
      <c r="E56" s="523">
        <f>E43</f>
        <v>3403.61</v>
      </c>
      <c r="F56" s="658"/>
      <c r="H56" s="55"/>
      <c r="I56" s="243"/>
      <c r="J56" s="243"/>
      <c r="K56" s="243"/>
      <c r="M56" s="243"/>
      <c r="N56" s="243"/>
      <c r="O56" s="661">
        <f>5002.5+500-250.13+29.43</f>
        <v>5281.8</v>
      </c>
      <c r="P56" s="56"/>
      <c r="Q56" s="38"/>
    </row>
    <row r="57" spans="2:18" ht="15.45" customHeight="1">
      <c r="D57" t="s">
        <v>2812</v>
      </c>
      <c r="E57" s="523">
        <f>E55-E56</f>
        <v>2623.47</v>
      </c>
      <c r="G57" s="369"/>
      <c r="H57" s="55"/>
      <c r="I57" s="243"/>
      <c r="J57" s="243"/>
      <c r="K57" s="243"/>
      <c r="L57" s="390"/>
      <c r="M57" s="390"/>
      <c r="N57" s="390"/>
      <c r="O57" s="7">
        <f>(3664.95/O56)*100</f>
        <v>69.388276723844129</v>
      </c>
      <c r="P57"/>
    </row>
    <row r="58" spans="2:18" ht="15" customHeight="1">
      <c r="F58" s="660"/>
      <c r="H58" s="55"/>
      <c r="J58" s="243"/>
      <c r="K58" s="243"/>
      <c r="L58" s="243"/>
      <c r="M58" s="243"/>
    </row>
    <row r="59" spans="2:18" ht="16.2" customHeight="1">
      <c r="F59" s="660"/>
      <c r="H59" s="243"/>
      <c r="I59" s="243"/>
      <c r="J59" s="243"/>
      <c r="M59" s="243"/>
      <c r="O59"/>
      <c r="Q59" t="s">
        <v>3092</v>
      </c>
    </row>
    <row r="60" spans="2:18" ht="14.7" customHeight="1">
      <c r="B60" s="11"/>
      <c r="F60" s="660"/>
      <c r="J60" s="243"/>
      <c r="O60"/>
      <c r="P60"/>
      <c r="Q60" s="243">
        <v>72.78</v>
      </c>
    </row>
    <row r="61" spans="2:18">
      <c r="B61" s="11"/>
      <c r="E61" s="243"/>
      <c r="F61" s="660"/>
      <c r="P61"/>
      <c r="Q61">
        <v>196.51</v>
      </c>
    </row>
    <row r="62" spans="2:18">
      <c r="B62" s="11"/>
      <c r="E62" s="243"/>
      <c r="F62" s="660"/>
      <c r="O62"/>
      <c r="P62"/>
    </row>
    <row r="63" spans="2:18">
      <c r="D63" s="243" t="s">
        <v>3455</v>
      </c>
      <c r="E63"/>
      <c r="M63" s="243"/>
      <c r="O63"/>
      <c r="P63"/>
      <c r="Q63" t="s">
        <v>3481</v>
      </c>
    </row>
    <row r="64" spans="2:18">
      <c r="B64" s="212"/>
      <c r="C64" s="212"/>
      <c r="D64" s="331" t="s">
        <v>3454</v>
      </c>
      <c r="E64" s="643">
        <v>-2623.47</v>
      </c>
      <c r="F64" s="669"/>
      <c r="L64">
        <f>3664.95</f>
        <v>3664.95</v>
      </c>
      <c r="M64">
        <f>5051.5-L64</f>
        <v>1386.5500000000002</v>
      </c>
      <c r="P64"/>
      <c r="Q64">
        <v>418</v>
      </c>
    </row>
    <row r="65" spans="2:16">
      <c r="C65" s="56"/>
      <c r="D65" t="s">
        <v>1329</v>
      </c>
      <c r="E65" s="243"/>
      <c r="F65" s="660"/>
      <c r="K65" t="s">
        <v>389</v>
      </c>
      <c r="L65" s="243">
        <v>675</v>
      </c>
      <c r="O65"/>
      <c r="P65"/>
    </row>
    <row r="66" spans="2:16" ht="15.75" customHeight="1">
      <c r="C66" s="56"/>
      <c r="E66"/>
      <c r="F66" s="243"/>
      <c r="K66" t="s">
        <v>3478</v>
      </c>
      <c r="L66" s="243">
        <f>650+42.3</f>
        <v>692.3</v>
      </c>
      <c r="M66" s="243"/>
      <c r="O66"/>
      <c r="P66"/>
    </row>
    <row r="67" spans="2:16">
      <c r="C67" s="56"/>
      <c r="D67" s="358" t="s">
        <v>3456</v>
      </c>
      <c r="E67" s="666"/>
      <c r="G67" s="426"/>
      <c r="K67" t="s">
        <v>1741</v>
      </c>
      <c r="L67">
        <f>35*0.55</f>
        <v>19.25</v>
      </c>
      <c r="M67" s="243"/>
      <c r="O67"/>
      <c r="P67"/>
    </row>
    <row r="68" spans="2:16">
      <c r="C68" s="56"/>
      <c r="D68" s="331" t="s">
        <v>3459</v>
      </c>
      <c r="E68" s="666"/>
      <c r="G68" s="426"/>
      <c r="K68" t="s">
        <v>1147</v>
      </c>
      <c r="L68">
        <f>SUM(L64:L67)</f>
        <v>5051.5</v>
      </c>
      <c r="O68"/>
      <c r="P68"/>
    </row>
    <row r="69" spans="2:16">
      <c r="C69" s="56"/>
      <c r="D69" s="331" t="s">
        <v>3463</v>
      </c>
      <c r="E69" s="710">
        <v>46249</v>
      </c>
      <c r="G69" s="426"/>
      <c r="O69"/>
      <c r="P69"/>
    </row>
    <row r="70" spans="2:16">
      <c r="C70" s="56"/>
      <c r="E70" s="666"/>
      <c r="G70" s="426"/>
      <c r="O70"/>
      <c r="P70"/>
    </row>
    <row r="71" spans="2:16">
      <c r="C71" s="56"/>
      <c r="G71" s="426"/>
      <c r="N71" s="288"/>
      <c r="O71"/>
      <c r="P71"/>
    </row>
    <row r="72" spans="2:16">
      <c r="C72" s="56"/>
      <c r="D72" t="s">
        <v>3460</v>
      </c>
      <c r="E72" s="709" t="s">
        <v>3461</v>
      </c>
      <c r="G72" s="726"/>
      <c r="H72" s="726"/>
      <c r="L72" s="243"/>
      <c r="O72"/>
      <c r="P72"/>
    </row>
    <row r="73" spans="2:16">
      <c r="C73" s="56"/>
      <c r="E73" s="709" t="s">
        <v>3462</v>
      </c>
      <c r="I73" s="11"/>
      <c r="O73"/>
      <c r="P73"/>
    </row>
    <row r="74" spans="2:16">
      <c r="B74" s="212"/>
      <c r="C74" s="294"/>
      <c r="O74"/>
      <c r="P74"/>
    </row>
    <row r="75" spans="2:16" ht="15.45" customHeight="1">
      <c r="C75" s="56"/>
      <c r="F75"/>
      <c r="M75" s="243"/>
      <c r="O75"/>
      <c r="P75"/>
    </row>
    <row r="76" spans="2:16">
      <c r="C76" s="56"/>
      <c r="F76" s="625"/>
      <c r="L76" s="459"/>
      <c r="M76" s="461"/>
      <c r="O76"/>
      <c r="P76"/>
    </row>
    <row r="77" spans="2:16">
      <c r="C77" s="56"/>
      <c r="D77" s="634"/>
      <c r="E77" s="533"/>
      <c r="L77" s="459"/>
      <c r="M77" s="461"/>
      <c r="O77"/>
      <c r="P77"/>
    </row>
    <row r="78" spans="2:16" ht="14.4">
      <c r="C78" s="56"/>
      <c r="E78" s="243"/>
      <c r="F78"/>
      <c r="L78" s="459"/>
      <c r="M78" s="461"/>
      <c r="O78"/>
      <c r="P78"/>
    </row>
    <row r="79" spans="2:16">
      <c r="C79" s="56"/>
      <c r="L79" s="188"/>
      <c r="M79" s="230"/>
      <c r="O79"/>
      <c r="P79"/>
    </row>
    <row r="80" spans="2:16">
      <c r="C80" s="56"/>
      <c r="L80" s="188"/>
      <c r="M80" s="230"/>
      <c r="O80"/>
      <c r="P80"/>
    </row>
    <row r="81" spans="3:16">
      <c r="C81" s="56"/>
      <c r="L81" s="188"/>
      <c r="M81" s="230"/>
      <c r="O81"/>
      <c r="P81"/>
    </row>
    <row r="82" spans="3:16">
      <c r="L82" s="188"/>
      <c r="M82" s="230"/>
      <c r="O82"/>
      <c r="P82"/>
    </row>
    <row r="83" spans="3:16">
      <c r="L83" s="532"/>
      <c r="M83" s="230"/>
      <c r="O83"/>
      <c r="P83"/>
    </row>
    <row r="84" spans="3:16">
      <c r="L84" s="405"/>
      <c r="M84" s="230"/>
      <c r="O84"/>
      <c r="P84"/>
    </row>
    <row r="91" spans="3:16">
      <c r="E91" s="533"/>
      <c r="F91" s="212"/>
    </row>
    <row r="92" spans="3:16" ht="14.4">
      <c r="E92"/>
      <c r="F92"/>
    </row>
    <row r="93" spans="3:16">
      <c r="F93" s="56"/>
    </row>
    <row r="94" spans="3:16">
      <c r="F94" s="56"/>
    </row>
    <row r="95" spans="3:16">
      <c r="F95" s="56"/>
      <c r="G95" s="407"/>
    </row>
    <row r="96" spans="3:16" ht="14.4">
      <c r="D96" s="621"/>
      <c r="E96" s="56"/>
      <c r="F96" s="56"/>
      <c r="G96" s="407"/>
    </row>
    <row r="97" spans="5:16" ht="14.4">
      <c r="E97" s="56"/>
      <c r="F97" s="56"/>
      <c r="G97" s="407"/>
    </row>
    <row r="98" spans="5:16" ht="14.4">
      <c r="E98" s="56"/>
      <c r="F98" s="56"/>
      <c r="G98" s="407"/>
    </row>
    <row r="99" spans="5:16">
      <c r="G99" s="407"/>
      <c r="H99" s="11"/>
      <c r="O99"/>
      <c r="P99"/>
    </row>
    <row r="100" spans="5:16">
      <c r="G100" s="407"/>
      <c r="O100"/>
      <c r="P100"/>
    </row>
    <row r="101" spans="5:16">
      <c r="G101" s="407"/>
      <c r="O101"/>
      <c r="P101"/>
    </row>
    <row r="102" spans="5:16">
      <c r="G102" s="407"/>
    </row>
  </sheetData>
  <mergeCells count="20">
    <mergeCell ref="S39:T39"/>
    <mergeCell ref="G72:H72"/>
    <mergeCell ref="B32:E32"/>
    <mergeCell ref="B33:C33"/>
    <mergeCell ref="B47:D47"/>
    <mergeCell ref="B49:G49"/>
    <mergeCell ref="K49:O49"/>
    <mergeCell ref="B50:C50"/>
    <mergeCell ref="B28:C28"/>
    <mergeCell ref="B4:E4"/>
    <mergeCell ref="B1:O1"/>
    <mergeCell ref="G3:H3"/>
    <mergeCell ref="I3:J3"/>
    <mergeCell ref="K3:L3"/>
    <mergeCell ref="M3:N3"/>
    <mergeCell ref="B5:C5"/>
    <mergeCell ref="B6:B21"/>
    <mergeCell ref="C6:C21"/>
    <mergeCell ref="E11:F11"/>
    <mergeCell ref="B27:E27"/>
  </mergeCells>
  <pageMargins left="0.7" right="0.7" top="0.75" bottom="0.75" header="0.3" footer="0.3"/>
  <pageSetup orientation="portrait" r:id="rId1"/>
  <legacyDrawing r:id="rId2"/>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15B2-5E58-43E3-A06D-FA56204B8592}">
  <dimension ref="A1:X112"/>
  <sheetViews>
    <sheetView tabSelected="1" topLeftCell="J1" zoomScaleNormal="90" workbookViewId="0">
      <selection activeCell="Q2" sqref="Q2"/>
    </sheetView>
  </sheetViews>
  <sheetFormatPr defaultColWidth="10.33203125" defaultRowHeight="15.6" outlineLevelRow="2"/>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 min="16384" max="16384" width="10.33203125" bestFit="1" customWidth="1"/>
  </cols>
  <sheetData>
    <row r="1" spans="1:24" ht="25.5" customHeight="1">
      <c r="A1" t="str">
        <f ca="1">UPPER(TEXT((1&amp;LEFT(B$1,3))-1,"MMM"))&amp;"-"&amp;UPPER(TEXT((1&amp;RIGHT(LEFT(B$1,7),3))-1,"MMM"))&amp;" "&amp;RIGHT(B$1,4)</f>
        <v>JUN-JUL G 26</v>
      </c>
      <c r="B1" s="730" t="str">
        <f ca="1">MID(CELL("filename",B1),FIND("]",CELL("filename",B1))+1,255)</f>
        <v>JUL-AUG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3429</v>
      </c>
      <c r="M2" s="79" t="s">
        <v>801</v>
      </c>
      <c r="N2" s="307" t="s">
        <v>1450</v>
      </c>
      <c r="O2" s="273" t="s">
        <v>10</v>
      </c>
      <c r="P2" s="273"/>
      <c r="Q2" s="283" t="s">
        <v>803</v>
      </c>
    </row>
    <row r="3" spans="1:24">
      <c r="B3" s="118"/>
      <c r="C3" s="118"/>
      <c r="D3" s="290" t="e">
        <f>"£" &amp; ROUND(O5+O33+O28+IF(#REF!&lt;0,0,#REF!)+O48+O4,2) &amp; " / " &amp; "£" &amp; E51</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",G51*0.5," / Actual = ",ROUND(F4,2)," (",ROUND((F4/G51)*100,2),")")</f>
        <v>Expenses - 50 - 5380.22 / Actual = 3849.74 (35.78)</v>
      </c>
      <c r="C4" s="727"/>
      <c r="D4" s="727"/>
      <c r="E4" s="727"/>
      <c r="F4" s="319">
        <f>ROUND(SUM(F6:F25),2)</f>
        <v>3849.74</v>
      </c>
      <c r="G4" s="243"/>
      <c r="H4" s="304">
        <f>SUM(H5:H49)</f>
        <v>1456.5399999999997</v>
      </c>
      <c r="I4" s="243"/>
      <c r="J4" s="304">
        <f>SUM(J5:J48)</f>
        <v>1488.4499999999998</v>
      </c>
      <c r="K4" s="243">
        <f>J4+F70</f>
        <v>3746.0100000000016</v>
      </c>
      <c r="L4" s="304"/>
      <c r="M4" s="243"/>
      <c r="N4" s="304"/>
      <c r="O4" s="308">
        <f>IF(H50&lt;&gt;"PAID",H4,0)+IF(J50&lt;&gt;"PAID",J4,0)+IF(L50&lt;&gt;"PAID",L4,0)+IF(N50&lt;&gt;"PAID",N4,0)</f>
        <v>2944.99</v>
      </c>
      <c r="P4" s="309" t="s">
        <v>973</v>
      </c>
      <c r="Q4" s="408"/>
      <c r="R4" s="243"/>
      <c r="S4" s="284"/>
      <c r="T4" s="11"/>
      <c r="U4" s="390"/>
      <c r="V4" s="11"/>
      <c r="W4" s="390"/>
      <c r="X4" s="11"/>
    </row>
    <row r="5" spans="1:24" ht="15" customHeight="1">
      <c r="B5" s="733" t="str">
        <f>IF(D5&gt;E$51*0.5,ROUND(D5-E$51*0.5,2) &amp; " Over",ROUND(E$51*0.5-D5,2) &amp; " Under")</f>
        <v>6036.38 Under</v>
      </c>
      <c r="C5" s="733"/>
      <c r="D5" s="702"/>
      <c r="E5" s="321" t="s">
        <v>1451</v>
      </c>
      <c r="F5" s="321" t="s">
        <v>650</v>
      </c>
      <c r="G5" s="284"/>
      <c r="H5" s="306"/>
      <c r="I5" s="390"/>
      <c r="J5" s="306"/>
      <c r="K5" s="390"/>
      <c r="L5" s="306"/>
      <c r="M5" s="79"/>
      <c r="N5" s="305"/>
      <c r="O5" s="285">
        <f>SUMIF(O6:O25,"&gt;0")</f>
        <v>109.06</v>
      </c>
      <c r="P5" s="285" t="s">
        <v>892</v>
      </c>
      <c r="Q5" s="282">
        <f>SUM(Q6:Q25)</f>
        <v>68.279999999999887</v>
      </c>
      <c r="R5" s="243"/>
      <c r="T5" s="243"/>
    </row>
    <row r="6" spans="1:24" ht="15" customHeight="1">
      <c r="B6" s="734" t="str">
        <f>"50%: " &amp; E$51*0.5</f>
        <v>50%: 6036.375</v>
      </c>
      <c r="C6" s="734" t="str">
        <f>ROUND((D5/E$51)*100,2) &amp; "%: " &amp;D5</f>
        <v xml:space="preserve">0%: </v>
      </c>
      <c r="D6" s="13" t="s">
        <v>805</v>
      </c>
      <c r="E6" s="523">
        <v>0</v>
      </c>
      <c r="F6" s="528">
        <f>160+33.21</f>
        <v>193.21</v>
      </c>
      <c r="H6" s="305">
        <f>31.58+25.42+33.18+33.21+34.06+34+30.04+36.78</f>
        <v>258.27</v>
      </c>
      <c r="J6" s="305"/>
      <c r="L6" s="305"/>
      <c r="N6" s="305"/>
      <c r="O6" s="274">
        <f>SUM(E6:F6)-SUM(G6:N6)</f>
        <v>-65.059999999999974</v>
      </c>
      <c r="P6" s="274" t="str">
        <f t="shared" ref="P6:P25" si="0">D6</f>
        <v>Car Petrol / commuting</v>
      </c>
      <c r="Q6" s="282">
        <f>IF(O6&lt;0,O6*-1,0)</f>
        <v>65.059999999999974</v>
      </c>
      <c r="R6" s="243"/>
      <c r="S6" s="243"/>
      <c r="T6" s="243"/>
    </row>
    <row r="7" spans="1:24" ht="15" customHeight="1">
      <c r="B7" s="734"/>
      <c r="C7" s="734"/>
      <c r="D7" s="13" t="s">
        <v>169</v>
      </c>
      <c r="E7" s="523">
        <v>0</v>
      </c>
      <c r="F7" s="523">
        <v>400</v>
      </c>
      <c r="H7" s="305">
        <f>0.57+3.5+8.7+45.73+3.85+48.98+9.56+1.05+1.65-30+0.95+5.95+1.14+24.91+40.7+5.3+2.6+1.56+16.11+100</f>
        <v>292.81</v>
      </c>
      <c r="J7" s="305">
        <f>32.45+22.3+52.44</f>
        <v>107.19</v>
      </c>
      <c r="L7" s="305"/>
      <c r="N7" s="305"/>
      <c r="O7" s="274">
        <f>SUM(E7:F7)-SUM(G7:N7)</f>
        <v>0</v>
      </c>
      <c r="P7" s="274" t="str">
        <f t="shared" si="0"/>
        <v>Food</v>
      </c>
      <c r="Q7" s="282">
        <f>IF(O7&lt;0,O7*-1,0)</f>
        <v>0</v>
      </c>
      <c r="R7" s="243"/>
    </row>
    <row r="8" spans="1:24" ht="15" customHeight="1">
      <c r="B8" s="734"/>
      <c r="C8" s="734"/>
      <c r="D8" s="13" t="s">
        <v>153</v>
      </c>
      <c r="E8" s="523">
        <v>0</v>
      </c>
      <c r="F8" s="523">
        <f>120</f>
        <v>120</v>
      </c>
      <c r="H8" s="305"/>
      <c r="J8" s="305">
        <f>26.7+23.4+19.55+23.4</f>
        <v>93.049999999999983</v>
      </c>
      <c r="L8" s="305"/>
      <c r="N8" s="305"/>
      <c r="O8" s="274">
        <f>SUM(E8:F8)-SUM(G8:N8)</f>
        <v>26.950000000000017</v>
      </c>
      <c r="P8" s="274" t="str">
        <f t="shared" si="0"/>
        <v>Luna</v>
      </c>
      <c r="Q8" s="282">
        <f>IF(O8&lt;0,O8*-1,0)</f>
        <v>0</v>
      </c>
      <c r="S8" s="243"/>
    </row>
    <row r="9" spans="1:24" ht="15" customHeight="1">
      <c r="B9" s="734"/>
      <c r="C9" s="734"/>
      <c r="D9" s="13" t="s">
        <v>954</v>
      </c>
      <c r="E9" s="523">
        <v>0</v>
      </c>
      <c r="F9" s="523">
        <v>18</v>
      </c>
      <c r="H9" s="305"/>
      <c r="J9" s="305"/>
      <c r="L9" s="305"/>
      <c r="N9" s="305"/>
      <c r="O9" s="274">
        <f>SUM(E9:F9)-SUM(G9:N9)</f>
        <v>18</v>
      </c>
      <c r="P9" s="274" t="str">
        <f t="shared" si="0"/>
        <v>Haircut</v>
      </c>
      <c r="Q9" s="282"/>
      <c r="S9" s="243"/>
    </row>
    <row r="10" spans="1:24" ht="15" customHeight="1">
      <c r="B10" s="734"/>
      <c r="C10" s="734"/>
      <c r="D10" s="13" t="s">
        <v>3421</v>
      </c>
      <c r="E10" s="523">
        <v>0</v>
      </c>
      <c r="F10" s="523">
        <v>50</v>
      </c>
      <c r="H10" s="305"/>
      <c r="J10" s="305"/>
      <c r="L10" s="305"/>
      <c r="N10" s="305"/>
      <c r="O10" s="274">
        <f>SUM(E10:F10)-SUM(G10:N10)</f>
        <v>50</v>
      </c>
      <c r="P10" s="274" t="str">
        <f t="shared" si="0"/>
        <v>Skin Budget</v>
      </c>
      <c r="Q10" s="282"/>
    </row>
    <row r="11" spans="1:24" ht="15" customHeight="1">
      <c r="B11" s="734"/>
      <c r="C11" s="734"/>
      <c r="D11" s="13" t="s">
        <v>189</v>
      </c>
      <c r="E11" s="735">
        <f>SUM(F12:F25)</f>
        <v>3068.5299999999993</v>
      </c>
      <c r="F11" s="735"/>
      <c r="G11" s="243"/>
      <c r="H11" s="305"/>
      <c r="J11" s="305"/>
      <c r="L11" s="305"/>
      <c r="N11" s="305"/>
      <c r="O11" s="274"/>
      <c r="P11" s="274" t="str">
        <f t="shared" si="0"/>
        <v>Direct debits</v>
      </c>
      <c r="Q11" s="282"/>
      <c r="R11" s="243"/>
      <c r="T11" s="243"/>
    </row>
    <row r="12" spans="1:24" ht="15" customHeight="1" outlineLevel="1">
      <c r="B12" s="734"/>
      <c r="C12" s="734"/>
      <c r="D12" s="201" t="s">
        <v>595</v>
      </c>
      <c r="E12" s="523">
        <v>0</v>
      </c>
      <c r="F12" s="523">
        <v>838</v>
      </c>
      <c r="G12">
        <v>838</v>
      </c>
      <c r="H12" s="305"/>
      <c r="J12" s="305"/>
      <c r="L12" s="304"/>
      <c r="N12" s="305"/>
      <c r="O12" s="274">
        <f t="shared" ref="O12:O25" si="1">SUM(E12:F12)-SUM(G12:N12)</f>
        <v>0</v>
      </c>
      <c r="P12" s="274" t="str">
        <f t="shared" si="0"/>
        <v>Mortgage</v>
      </c>
      <c r="Q12" s="282">
        <f t="shared" ref="Q12:Q25" si="2">IF(O12&lt;0,O12*-1,0)</f>
        <v>0</v>
      </c>
      <c r="R12" s="243"/>
    </row>
    <row r="13" spans="1:24" ht="15" customHeight="1" outlineLevel="1">
      <c r="B13" s="734"/>
      <c r="C13" s="734"/>
      <c r="D13" s="201" t="s">
        <v>596</v>
      </c>
      <c r="E13" s="523">
        <v>0</v>
      </c>
      <c r="F13" s="523">
        <v>176</v>
      </c>
      <c r="G13">
        <v>176</v>
      </c>
      <c r="H13" s="305"/>
      <c r="J13" s="305"/>
      <c r="L13" s="305"/>
      <c r="N13" s="305"/>
      <c r="O13" s="274">
        <f t="shared" si="1"/>
        <v>0</v>
      </c>
      <c r="P13" s="274" t="str">
        <f t="shared" si="0"/>
        <v>Council tax</v>
      </c>
      <c r="Q13" s="282">
        <f t="shared" si="2"/>
        <v>0</v>
      </c>
    </row>
    <row r="14" spans="1:24" ht="15" customHeight="1" outlineLevel="1">
      <c r="B14" s="734"/>
      <c r="C14" s="734"/>
      <c r="D14" s="201" t="s">
        <v>1002</v>
      </c>
      <c r="E14" s="523">
        <v>0</v>
      </c>
      <c r="F14" s="523">
        <f>49+114.76</f>
        <v>163.76</v>
      </c>
      <c r="G14">
        <f>114.76+49</f>
        <v>163.76</v>
      </c>
      <c r="H14" s="305"/>
      <c r="J14" s="305"/>
      <c r="L14" s="305"/>
      <c r="N14" s="305"/>
      <c r="O14" s="274">
        <f t="shared" si="1"/>
        <v>0</v>
      </c>
      <c r="P14" s="274" t="str">
        <f t="shared" si="0"/>
        <v>Utilities (G,W,E,HTB)</v>
      </c>
      <c r="Q14" s="282">
        <f t="shared" si="2"/>
        <v>0</v>
      </c>
    </row>
    <row r="15" spans="1:24" ht="15" customHeight="1" outlineLevel="1">
      <c r="B15" s="734"/>
      <c r="C15" s="734"/>
      <c r="D15" s="201" t="s">
        <v>996</v>
      </c>
      <c r="E15" s="523">
        <v>0</v>
      </c>
      <c r="F15" s="523">
        <v>28.52</v>
      </c>
      <c r="G15">
        <v>28.51</v>
      </c>
      <c r="H15" s="305"/>
      <c r="J15" s="305"/>
      <c r="L15" s="305"/>
      <c r="N15" s="305"/>
      <c r="O15" s="274">
        <f t="shared" si="1"/>
        <v>9.9999999999980105E-3</v>
      </c>
      <c r="P15" s="274" t="str">
        <f t="shared" si="0"/>
        <v>Home Insurance</v>
      </c>
      <c r="Q15" s="282">
        <f t="shared" si="2"/>
        <v>0</v>
      </c>
    </row>
    <row r="16" spans="1:24" ht="15" customHeight="1" outlineLevel="1">
      <c r="B16" s="734"/>
      <c r="C16" s="734"/>
      <c r="D16" s="201" t="s">
        <v>1056</v>
      </c>
      <c r="E16" s="523">
        <v>0</v>
      </c>
      <c r="F16" s="523">
        <f>27.97+24.99</f>
        <v>52.959999999999994</v>
      </c>
      <c r="G16">
        <f>24.99+27.97</f>
        <v>52.959999999999994</v>
      </c>
      <c r="H16" s="305"/>
      <c r="J16" s="305"/>
      <c r="L16" s="305"/>
      <c r="N16" s="305"/>
      <c r="O16" s="274">
        <f t="shared" si="1"/>
        <v>0</v>
      </c>
      <c r="P16" s="274" t="str">
        <f t="shared" si="0"/>
        <v>Pet Health / Insurance</v>
      </c>
      <c r="Q16" s="282">
        <f t="shared" si="2"/>
        <v>0</v>
      </c>
      <c r="U16" s="11"/>
    </row>
    <row r="17" spans="2:19" ht="15" customHeight="1" outlineLevel="1">
      <c r="B17" s="734"/>
      <c r="C17" s="734"/>
      <c r="D17" s="201" t="s">
        <v>1057</v>
      </c>
      <c r="E17" s="523">
        <v>0</v>
      </c>
      <c r="F17" s="523">
        <f>30.8+62.08-5</f>
        <v>87.88</v>
      </c>
      <c r="G17">
        <v>87.88</v>
      </c>
      <c r="H17" s="305"/>
      <c r="J17" s="305"/>
      <c r="L17" s="305"/>
      <c r="N17" s="305"/>
      <c r="O17" s="274">
        <f t="shared" si="1"/>
        <v>0</v>
      </c>
      <c r="P17" s="274" t="str">
        <f t="shared" si="0"/>
        <v>Life / Income Insurance</v>
      </c>
      <c r="Q17" s="282">
        <f t="shared" si="2"/>
        <v>0</v>
      </c>
    </row>
    <row r="18" spans="2:19" ht="15" customHeight="1" outlineLevel="1">
      <c r="B18" s="734"/>
      <c r="C18" s="734"/>
      <c r="D18" s="201" t="s">
        <v>602</v>
      </c>
      <c r="E18" s="523">
        <v>0</v>
      </c>
      <c r="F18" s="523">
        <v>40</v>
      </c>
      <c r="G18">
        <v>40</v>
      </c>
      <c r="H18" s="305"/>
      <c r="J18" s="305"/>
      <c r="L18" s="305"/>
      <c r="N18" s="305"/>
      <c r="O18" s="274">
        <f t="shared" si="1"/>
        <v>0</v>
      </c>
      <c r="P18" s="274" t="str">
        <f t="shared" si="0"/>
        <v>Broadband / TV</v>
      </c>
      <c r="Q18" s="282">
        <f t="shared" si="2"/>
        <v>0</v>
      </c>
    </row>
    <row r="19" spans="2:19" ht="15" customHeight="1" outlineLevel="1">
      <c r="B19" s="734"/>
      <c r="C19" s="734"/>
      <c r="D19" s="201" t="s">
        <v>788</v>
      </c>
      <c r="E19" s="523">
        <v>0</v>
      </c>
      <c r="F19" s="523">
        <f>10+31.6</f>
        <v>41.6</v>
      </c>
      <c r="G19">
        <f>10+34.35</f>
        <v>44.35</v>
      </c>
      <c r="H19" s="305"/>
      <c r="J19" s="305"/>
      <c r="L19" s="305"/>
      <c r="N19" s="305"/>
      <c r="O19" s="274">
        <f t="shared" si="1"/>
        <v>-2.75</v>
      </c>
      <c r="P19" s="274" t="str">
        <f t="shared" si="0"/>
        <v>Matt Phone</v>
      </c>
      <c r="Q19" s="282">
        <f t="shared" si="2"/>
        <v>2.75</v>
      </c>
    </row>
    <row r="20" spans="2:19" ht="15" customHeight="1" outlineLevel="1">
      <c r="B20" s="734"/>
      <c r="C20" s="734"/>
      <c r="D20" s="201" t="s">
        <v>690</v>
      </c>
      <c r="E20" s="523">
        <v>0</v>
      </c>
      <c r="F20" s="523">
        <f>14.43+46.29+271.59+487.35+58.85+17.09</f>
        <v>895.6</v>
      </c>
      <c r="G20">
        <f>58.85+46.29+17.06+271.59+487.35+14.93</f>
        <v>896.06999999999994</v>
      </c>
      <c r="H20" s="305"/>
      <c r="J20" s="305"/>
      <c r="L20" s="305"/>
      <c r="N20" s="305"/>
      <c r="O20" s="274">
        <f t="shared" si="1"/>
        <v>-0.4699999999999136</v>
      </c>
      <c r="P20" s="274" t="str">
        <f t="shared" si="0"/>
        <v>Cars</v>
      </c>
      <c r="Q20" s="282">
        <f t="shared" si="2"/>
        <v>0.4699999999999136</v>
      </c>
    </row>
    <row r="21" spans="2:19" ht="15" customHeight="1" outlineLevel="1">
      <c r="B21" s="734"/>
      <c r="C21" s="734"/>
      <c r="D21" s="201" t="s">
        <v>944</v>
      </c>
      <c r="E21" s="523">
        <v>0</v>
      </c>
      <c r="F21" s="523">
        <v>15</v>
      </c>
      <c r="G21">
        <v>15</v>
      </c>
      <c r="H21" s="305"/>
      <c r="J21" s="305"/>
      <c r="L21" s="305"/>
      <c r="N21" s="305"/>
      <c r="O21" s="274">
        <f t="shared" si="1"/>
        <v>0</v>
      </c>
      <c r="P21" s="274" t="str">
        <f t="shared" si="0"/>
        <v>Windows</v>
      </c>
      <c r="Q21" s="282">
        <f t="shared" si="2"/>
        <v>0</v>
      </c>
      <c r="R21" s="243"/>
    </row>
    <row r="22" spans="2:19" ht="15" customHeight="1" outlineLevel="1">
      <c r="B22" s="7"/>
      <c r="C22" s="7"/>
      <c r="D22" s="201" t="s">
        <v>920</v>
      </c>
      <c r="E22" s="523">
        <v>0</v>
      </c>
      <c r="F22" s="523">
        <f>48.22+137.5+25+289.17</f>
        <v>499.89</v>
      </c>
      <c r="G22">
        <f>137.5+48.22+25</f>
        <v>210.72</v>
      </c>
      <c r="H22" s="305"/>
      <c r="J22" s="305">
        <v>289.17</v>
      </c>
      <c r="L22" s="305"/>
      <c r="N22" s="305"/>
      <c r="O22" s="274">
        <f t="shared" si="1"/>
        <v>0</v>
      </c>
      <c r="P22" s="274" t="str">
        <f t="shared" si="0"/>
        <v>Finance</v>
      </c>
      <c r="Q22" s="282">
        <f t="shared" si="2"/>
        <v>0</v>
      </c>
      <c r="R22" s="243"/>
    </row>
    <row r="23" spans="2:19" ht="15" customHeight="1" outlineLevel="1">
      <c r="B23" s="7"/>
      <c r="C23" s="7"/>
      <c r="D23" s="201" t="s">
        <v>2909</v>
      </c>
      <c r="E23" s="523">
        <v>0</v>
      </c>
      <c r="F23" s="523">
        <v>45.79</v>
      </c>
      <c r="G23">
        <v>45.79</v>
      </c>
      <c r="H23" s="305"/>
      <c r="J23" s="305"/>
      <c r="L23" s="305"/>
      <c r="N23" s="305"/>
      <c r="O23" s="274">
        <f t="shared" si="1"/>
        <v>0</v>
      </c>
      <c r="P23" s="274" t="str">
        <f t="shared" si="0"/>
        <v>Kris Phone</v>
      </c>
      <c r="Q23" s="282"/>
      <c r="R23" s="243"/>
      <c r="S23" s="11"/>
    </row>
    <row r="24" spans="2:19" ht="15" customHeight="1" outlineLevel="1">
      <c r="B24" s="7"/>
      <c r="C24" s="7"/>
      <c r="D24" s="201" t="s">
        <v>3420</v>
      </c>
      <c r="E24" s="523">
        <v>0</v>
      </c>
      <c r="F24" s="523">
        <f>100.16</f>
        <v>100.16</v>
      </c>
      <c r="G24">
        <v>100.16</v>
      </c>
      <c r="H24" s="305"/>
      <c r="J24" s="305"/>
      <c r="L24" s="305"/>
      <c r="N24" s="305"/>
      <c r="O24" s="274">
        <f t="shared" si="1"/>
        <v>0</v>
      </c>
      <c r="P24" s="274" t="str">
        <f t="shared" si="0"/>
        <v>Health Insurance</v>
      </c>
      <c r="Q24" s="282"/>
      <c r="R24" s="243"/>
      <c r="S24" s="11"/>
    </row>
    <row r="25" spans="2:19" ht="15" customHeight="1" outlineLevel="1">
      <c r="B25" s="7"/>
      <c r="C25" s="7"/>
      <c r="D25" s="201" t="s">
        <v>781</v>
      </c>
      <c r="E25" s="523">
        <v>0</v>
      </c>
      <c r="F25" s="523">
        <f>10.49+18+4.99+0.99+12+20+1.95+13.95+1</f>
        <v>83.37</v>
      </c>
      <c r="G25" s="11">
        <f>12+1+18+1.79+10.49+5.99</f>
        <v>49.27</v>
      </c>
      <c r="H25" s="305"/>
      <c r="J25" s="305">
        <v>20</v>
      </c>
      <c r="L25" s="305"/>
      <c r="N25" s="305"/>
      <c r="O25" s="274">
        <f t="shared" si="1"/>
        <v>14.099999999999994</v>
      </c>
      <c r="P25" s="274" t="str">
        <f t="shared" si="0"/>
        <v>Subscriptions</v>
      </c>
      <c r="Q25" s="282">
        <f t="shared" si="2"/>
        <v>0</v>
      </c>
      <c r="R25" s="243"/>
    </row>
    <row r="26" spans="2:19" ht="15" customHeight="1">
      <c r="B26" s="118"/>
      <c r="C26" s="118"/>
      <c r="D26" s="188"/>
      <c r="H26" s="305"/>
      <c r="J26" s="305"/>
      <c r="L26" s="305"/>
      <c r="N26" s="305"/>
      <c r="O26" s="273"/>
      <c r="P26" s="273"/>
      <c r="Q26" s="282"/>
    </row>
    <row r="27" spans="2:19" ht="15" customHeight="1">
      <c r="B27" s="736" t="str">
        <f>_xlfn.CONCAT("Savings - 20 - ",G51*0.2," / Actual = ",F27," (",ROUND((F27/G51)*100,2),")")</f>
        <v>Savings - 20 - 2152.088 / Actual = 50 (0.46)</v>
      </c>
      <c r="C27" s="736"/>
      <c r="D27" s="736"/>
      <c r="E27" s="736"/>
      <c r="F27" s="703">
        <f>F29</f>
        <v>50</v>
      </c>
      <c r="H27" s="305"/>
      <c r="J27" s="305"/>
      <c r="L27" s="305"/>
      <c r="N27" s="305"/>
      <c r="O27" s="274"/>
      <c r="P27" s="274"/>
      <c r="Q27" s="282"/>
    </row>
    <row r="28" spans="2:19" ht="15" customHeight="1">
      <c r="B28" s="727" t="str">
        <f>IF(ISNUMBER((SEARCH("Over",C$5))),"Operating under budget","Operating over budget")</f>
        <v>Operating over budget</v>
      </c>
      <c r="C28" s="727"/>
      <c r="D28" s="705"/>
      <c r="E28" s="703" t="s">
        <v>1451</v>
      </c>
      <c r="F28" s="703" t="s">
        <v>650</v>
      </c>
      <c r="H28" s="305"/>
      <c r="J28" s="305"/>
      <c r="L28" s="305"/>
      <c r="N28" s="305"/>
      <c r="O28" s="285">
        <f>O29</f>
        <v>-18.279999999999887</v>
      </c>
      <c r="P28" s="285" t="s">
        <v>895</v>
      </c>
      <c r="Q28" s="282">
        <f>SUM(Q29:Q29)</f>
        <v>0</v>
      </c>
      <c r="S28" s="243"/>
    </row>
    <row r="29" spans="2:19" ht="15" customHeight="1" outlineLevel="1">
      <c r="B29" s="7" t="str">
        <f>"20% : " &amp; E$51*0.2</f>
        <v>20% : 2414.55</v>
      </c>
      <c r="C29" s="7" t="str">
        <f>"20% : " &amp; E$51*0.2</f>
        <v>20% : 2414.55</v>
      </c>
      <c r="D29" s="300" t="s">
        <v>183</v>
      </c>
      <c r="E29" s="523">
        <v>0</v>
      </c>
      <c r="F29" s="523">
        <f>SUM(F30:F30)</f>
        <v>50</v>
      </c>
      <c r="G29" s="243"/>
      <c r="H29" s="305"/>
      <c r="J29" s="305"/>
      <c r="L29" s="305"/>
      <c r="N29" s="305"/>
      <c r="O29" s="274">
        <f>SUM(O30:O30)</f>
        <v>-18.279999999999887</v>
      </c>
      <c r="P29" s="274" t="str">
        <f t="shared" ref="P29:P30" si="3">D29</f>
        <v>Savings</v>
      </c>
      <c r="Q29" s="282">
        <v>0</v>
      </c>
      <c r="R29" s="495"/>
      <c r="S29" s="243"/>
    </row>
    <row r="30" spans="2:19" ht="15" customHeight="1" outlineLevel="1">
      <c r="B30" s="7"/>
      <c r="C30" s="7"/>
      <c r="D30" s="300" t="s">
        <v>3311</v>
      </c>
      <c r="E30" s="523">
        <v>0</v>
      </c>
      <c r="F30" s="523">
        <v>50</v>
      </c>
      <c r="H30" s="305"/>
      <c r="J30" s="305"/>
      <c r="L30" s="305"/>
      <c r="N30" s="315"/>
      <c r="O30" s="274">
        <f>SUM(E30:F30)-SUM(G30:N30)-Q51</f>
        <v>-18.279999999999887</v>
      </c>
      <c r="P30" s="274" t="str">
        <f t="shared" si="3"/>
        <v>Monthly Contingency</v>
      </c>
      <c r="Q30" s="282"/>
      <c r="S30" s="353"/>
    </row>
    <row r="31" spans="2:19" ht="15" customHeight="1">
      <c r="B31" s="118"/>
      <c r="C31" s="118"/>
      <c r="H31" s="305"/>
      <c r="J31" s="305"/>
      <c r="L31" s="305"/>
      <c r="N31" s="305"/>
      <c r="O31" s="273"/>
      <c r="P31" s="273"/>
      <c r="Q31" s="282"/>
      <c r="R31" s="243"/>
    </row>
    <row r="32" spans="2:19" ht="15" customHeight="1">
      <c r="B32" s="727" t="str">
        <f>_xlfn.CONCAT("Wants - 30 - ",G51*0.3," / Actual = ",F32," (",ROUND((F32/G51)*100,2),")")</f>
        <v>Wants - 30 - 3228.132 / Actual = 6860.7 (63.76)</v>
      </c>
      <c r="C32" s="727"/>
      <c r="D32" s="727"/>
      <c r="E32" s="727"/>
      <c r="F32" s="704">
        <f>(E$51-F4-F27-E50)</f>
        <v>6860.7000000000007</v>
      </c>
      <c r="H32" s="305"/>
      <c r="J32" s="305"/>
      <c r="L32" s="305"/>
      <c r="N32" s="305"/>
      <c r="O32" s="273"/>
      <c r="P32" s="273"/>
      <c r="Q32" s="282"/>
    </row>
    <row r="33" spans="2:20" ht="15" customHeight="1">
      <c r="B33" s="727" t="str">
        <f>IF(ISNUMBER((SEARCH("Over",B$5))),"Operating under budget","Operating over budget")</f>
        <v>Operating over budget</v>
      </c>
      <c r="C33" s="727"/>
      <c r="D33" s="705"/>
      <c r="E33" s="320" t="s">
        <v>1451</v>
      </c>
      <c r="F33" s="319" t="s">
        <v>650</v>
      </c>
      <c r="H33" s="305"/>
      <c r="J33" s="305"/>
      <c r="L33" s="305"/>
      <c r="N33" s="305"/>
      <c r="O33" s="285">
        <f>0</f>
        <v>0</v>
      </c>
      <c r="P33" s="285" t="s">
        <v>899</v>
      </c>
      <c r="Q33" s="282">
        <f>SUM(Q34:Q34)</f>
        <v>0</v>
      </c>
      <c r="S33" s="11"/>
    </row>
    <row r="34" spans="2:20" ht="18" outlineLevel="1">
      <c r="B34" s="7"/>
      <c r="C34" s="284"/>
      <c r="D34" s="13" t="s">
        <v>922</v>
      </c>
      <c r="E34" s="523">
        <v>0</v>
      </c>
      <c r="F34" s="523">
        <f>F32-F48-F47-F37-F36-F35</f>
        <v>532.68000000000256</v>
      </c>
      <c r="G34" s="11">
        <f>3.8+9.99+0.3+5.3+10.9+1.7+2.5+6.05</f>
        <v>40.539999999999992</v>
      </c>
      <c r="H34" s="305">
        <f>(217-201)+4.95+1.4+25+57.99+(29.68-16.11)+8.93+9.99+17+19.24+19.97</f>
        <v>194.04000000000002</v>
      </c>
      <c r="J34" s="305">
        <f>3.55+10.6+15+17.2+4.97+4.97+12.45+31.7+2.5</f>
        <v>102.94</v>
      </c>
      <c r="L34" s="305"/>
      <c r="N34" s="305"/>
      <c r="O34" s="274">
        <f>(SUM(E34:F34)-SUM(G34:N34))-O35</f>
        <v>14.440000000002584</v>
      </c>
      <c r="P34" s="274" t="str">
        <f t="shared" ref="P34:P49" si="4">D34</f>
        <v>Matt Fun</v>
      </c>
      <c r="Q34" s="271">
        <f>IF(F34-SUM(G34:N34)&lt;=0,(F34-SUM(G34:N34))*-1,0)</f>
        <v>0</v>
      </c>
      <c r="S34" s="11"/>
    </row>
    <row r="35" spans="2:20" ht="18" outlineLevel="1">
      <c r="B35" s="7"/>
      <c r="C35" s="284"/>
      <c r="D35" s="13" t="s">
        <v>3520</v>
      </c>
      <c r="E35" s="523">
        <v>0</v>
      </c>
      <c r="F35" s="523">
        <v>0</v>
      </c>
      <c r="G35" s="11">
        <f>5.1+6.6</f>
        <v>11.7</v>
      </c>
      <c r="H35" s="305">
        <f>10.85+8.2+35.8</f>
        <v>54.849999999999994</v>
      </c>
      <c r="J35" s="305">
        <f>16.69+16+74+7.48</f>
        <v>114.17</v>
      </c>
      <c r="L35" s="305"/>
      <c r="N35" s="305"/>
      <c r="O35" s="274">
        <f>(SUM(G35:N35))</f>
        <v>180.72</v>
      </c>
      <c r="P35" s="274" t="str">
        <f t="shared" si="4"/>
        <v>Seaside</v>
      </c>
      <c r="Q35" s="271"/>
      <c r="S35" s="11"/>
    </row>
    <row r="36" spans="2:20" ht="18" outlineLevel="1">
      <c r="B36" s="7"/>
      <c r="C36" s="284"/>
      <c r="D36" s="13" t="s">
        <v>3484</v>
      </c>
      <c r="E36" s="523">
        <v>0</v>
      </c>
      <c r="F36" s="523">
        <f>50+100+76.1+26.88</f>
        <v>252.98</v>
      </c>
      <c r="G36" s="11">
        <f>100+20+30+5.95+20.93</f>
        <v>176.88</v>
      </c>
      <c r="H36" s="305">
        <f>16.9</f>
        <v>16.899999999999999</v>
      </c>
      <c r="J36" s="305">
        <f>18.4+11.8+4.5+11.1+3.5+9.9</f>
        <v>59.2</v>
      </c>
      <c r="L36" s="305"/>
      <c r="N36" s="305"/>
      <c r="O36" s="274">
        <f>(SUM(E36:F36)-SUM(G36:N36))</f>
        <v>-2.8421709430404007E-14</v>
      </c>
      <c r="P36" s="274" t="str">
        <f t="shared" si="4"/>
        <v>Charlotte Wedding</v>
      </c>
      <c r="Q36" s="271"/>
      <c r="S36" s="11"/>
    </row>
    <row r="37" spans="2:20" ht="18" outlineLevel="1">
      <c r="B37" s="7"/>
      <c r="C37" s="284"/>
      <c r="D37" s="13" t="s">
        <v>3310</v>
      </c>
      <c r="E37" s="523">
        <v>0</v>
      </c>
      <c r="F37" s="523">
        <v>42</v>
      </c>
      <c r="H37" s="305"/>
      <c r="J37" s="305"/>
      <c r="L37" s="305"/>
      <c r="N37" s="305"/>
      <c r="O37" s="274">
        <f>(SUM(E37:F37)-SUM(G37:N37))-SUM(O38:O46)</f>
        <v>-696.13999999999987</v>
      </c>
      <c r="P37" s="274" t="str">
        <f t="shared" si="4"/>
        <v>Sinking Fund</v>
      </c>
      <c r="Q37" s="271"/>
      <c r="S37" s="11"/>
      <c r="T37" s="243"/>
    </row>
    <row r="38" spans="2:20" ht="18" outlineLevel="2">
      <c r="B38" s="7"/>
      <c r="C38" s="284"/>
      <c r="D38" s="13" t="s">
        <v>2370</v>
      </c>
      <c r="E38" s="523">
        <v>0</v>
      </c>
      <c r="F38" s="523">
        <v>0</v>
      </c>
      <c r="G38" s="11"/>
      <c r="H38" s="305">
        <v>30</v>
      </c>
      <c r="J38" s="305">
        <f>31.4+1.4+5+18</f>
        <v>55.8</v>
      </c>
      <c r="L38" s="305"/>
      <c r="N38" s="305"/>
      <c r="O38" s="274">
        <f t="shared" ref="O38:O46" si="5">SUM(G38:N38)</f>
        <v>85.8</v>
      </c>
      <c r="P38" s="274" t="str">
        <f t="shared" si="4"/>
        <v>Summer Budget</v>
      </c>
      <c r="Q38" s="271"/>
      <c r="R38" s="243"/>
      <c r="S38" s="11">
        <f>(130-O38)+O34</f>
        <v>58.640000000002587</v>
      </c>
      <c r="T38" t="s">
        <v>3530</v>
      </c>
    </row>
    <row r="39" spans="2:20" ht="18" outlineLevel="2">
      <c r="B39" s="7"/>
      <c r="C39" s="284"/>
      <c r="D39" s="13" t="s">
        <v>690</v>
      </c>
      <c r="E39" s="523">
        <v>0</v>
      </c>
      <c r="F39" s="523">
        <v>0</v>
      </c>
      <c r="G39" s="11"/>
      <c r="H39" s="305">
        <v>71.239999999999995</v>
      </c>
      <c r="J39" s="305"/>
      <c r="L39" s="305"/>
      <c r="N39" s="305"/>
      <c r="O39" s="274">
        <f t="shared" si="5"/>
        <v>71.239999999999995</v>
      </c>
      <c r="P39" s="274" t="str">
        <f t="shared" si="4"/>
        <v>Cars</v>
      </c>
      <c r="Q39" s="271"/>
      <c r="R39" s="243"/>
      <c r="S39" s="11"/>
    </row>
    <row r="40" spans="2:20" ht="18" outlineLevel="2">
      <c r="B40" s="7"/>
      <c r="C40" s="284"/>
      <c r="D40" s="13" t="s">
        <v>172</v>
      </c>
      <c r="E40" s="523">
        <v>0</v>
      </c>
      <c r="F40" s="523">
        <v>0</v>
      </c>
      <c r="G40" s="11">
        <v>46.25</v>
      </c>
      <c r="H40" s="305"/>
      <c r="J40" s="305"/>
      <c r="L40" s="305"/>
      <c r="N40" s="305"/>
      <c r="O40" s="274">
        <f t="shared" si="5"/>
        <v>46.25</v>
      </c>
      <c r="P40" s="274" t="str">
        <f t="shared" si="4"/>
        <v>Misc</v>
      </c>
      <c r="Q40" s="271"/>
      <c r="R40" s="243"/>
      <c r="S40" s="11"/>
    </row>
    <row r="41" spans="2:20" ht="18" outlineLevel="2">
      <c r="B41" s="7"/>
      <c r="C41" s="284"/>
      <c r="D41" s="13" t="s">
        <v>701</v>
      </c>
      <c r="E41" s="523">
        <v>0</v>
      </c>
      <c r="F41" s="523">
        <v>0</v>
      </c>
      <c r="G41" s="11"/>
      <c r="H41" s="305"/>
      <c r="J41" s="305">
        <f>20</f>
        <v>20</v>
      </c>
      <c r="L41" s="305"/>
      <c r="N41" s="305"/>
      <c r="O41" s="274">
        <f t="shared" si="5"/>
        <v>20</v>
      </c>
      <c r="P41" s="274" t="str">
        <f t="shared" si="4"/>
        <v>Gift</v>
      </c>
      <c r="Q41" s="271"/>
      <c r="R41" s="243"/>
      <c r="S41" s="11"/>
    </row>
    <row r="42" spans="2:20" ht="18" outlineLevel="2">
      <c r="B42" s="7"/>
      <c r="C42" s="284"/>
      <c r="D42" s="13" t="s">
        <v>1808</v>
      </c>
      <c r="E42" s="523">
        <v>0</v>
      </c>
      <c r="F42" s="523">
        <v>0</v>
      </c>
      <c r="G42" s="11"/>
      <c r="H42" s="305"/>
      <c r="J42" s="305"/>
      <c r="L42" s="305"/>
      <c r="N42" s="305"/>
      <c r="O42" s="274">
        <f t="shared" si="5"/>
        <v>0</v>
      </c>
      <c r="P42" s="274" t="str">
        <f t="shared" si="4"/>
        <v>Prime</v>
      </c>
      <c r="Q42" s="271"/>
      <c r="S42" s="11"/>
    </row>
    <row r="43" spans="2:20" ht="18" outlineLevel="2">
      <c r="B43" s="7"/>
      <c r="C43" s="284"/>
      <c r="D43" s="13" t="s">
        <v>3505</v>
      </c>
      <c r="E43" s="523">
        <v>0</v>
      </c>
      <c r="F43" s="523">
        <v>0</v>
      </c>
      <c r="G43" s="11"/>
      <c r="H43" s="305">
        <f>(394.5*2)-440-440-200.08-121</f>
        <v>-412.08000000000004</v>
      </c>
      <c r="J43" s="305">
        <v>626.92999999999995</v>
      </c>
      <c r="L43" s="305"/>
      <c r="N43" s="305"/>
      <c r="O43" s="274">
        <f t="shared" si="5"/>
        <v>214.84999999999991</v>
      </c>
      <c r="P43" s="274" t="str">
        <f t="shared" si="4"/>
        <v>Barbados 2027</v>
      </c>
      <c r="Q43" s="271"/>
      <c r="S43" s="11"/>
    </row>
    <row r="44" spans="2:20" ht="18" outlineLevel="2">
      <c r="B44" s="7"/>
      <c r="C44" s="284"/>
      <c r="D44" s="13" t="s">
        <v>3527</v>
      </c>
      <c r="E44" s="523">
        <v>0</v>
      </c>
      <c r="F44" s="523">
        <v>0</v>
      </c>
      <c r="G44" s="11"/>
      <c r="H44" s="305">
        <v>300</v>
      </c>
      <c r="J44" s="305"/>
      <c r="L44" s="305"/>
      <c r="N44" s="305"/>
      <c r="O44" s="274">
        <f t="shared" si="5"/>
        <v>300</v>
      </c>
      <c r="P44" s="274" t="str">
        <f t="shared" si="4"/>
        <v>Membership Fee</v>
      </c>
      <c r="Q44" s="271"/>
      <c r="S44" s="11"/>
    </row>
    <row r="45" spans="2:20" ht="18" outlineLevel="2">
      <c r="B45" s="7"/>
      <c r="C45" s="284"/>
      <c r="D45" s="13" t="s">
        <v>3428</v>
      </c>
      <c r="E45" s="523">
        <v>0</v>
      </c>
      <c r="F45" s="523">
        <v>0</v>
      </c>
      <c r="G45" s="11"/>
      <c r="H45" s="305"/>
      <c r="J45" s="305"/>
      <c r="L45" s="305"/>
      <c r="N45" s="305"/>
      <c r="O45" s="274">
        <f t="shared" si="5"/>
        <v>0</v>
      </c>
      <c r="P45" s="274" t="str">
        <f t="shared" si="4"/>
        <v>Bali 2026</v>
      </c>
      <c r="Q45" s="271"/>
      <c r="S45" s="11"/>
    </row>
    <row r="46" spans="2:20" ht="18" outlineLevel="2">
      <c r="B46" s="7"/>
      <c r="C46" s="284"/>
      <c r="D46" s="13" t="s">
        <v>2272</v>
      </c>
      <c r="E46" s="523">
        <v>0</v>
      </c>
      <c r="F46" s="523">
        <v>0</v>
      </c>
      <c r="G46" s="11"/>
      <c r="H46" s="305"/>
      <c r="J46" s="305"/>
      <c r="L46" s="305"/>
      <c r="N46" s="305"/>
      <c r="O46" s="274">
        <f t="shared" si="5"/>
        <v>0</v>
      </c>
      <c r="P46" s="274" t="str">
        <f t="shared" si="4"/>
        <v>Italy</v>
      </c>
      <c r="Q46" s="271"/>
      <c r="S46" s="11"/>
    </row>
    <row r="47" spans="2:20" ht="18" outlineLevel="1">
      <c r="B47" s="7"/>
      <c r="C47" s="284"/>
      <c r="D47" s="13" t="s">
        <v>814</v>
      </c>
      <c r="E47" s="523">
        <v>1312.31</v>
      </c>
      <c r="F47" s="523">
        <f>E61+E66+E68+E69+E70+110+105+2257.56+13.95</f>
        <v>5469.5499999999984</v>
      </c>
      <c r="G47" s="11">
        <f>4862.09+2158.82</f>
        <v>7020.91</v>
      </c>
      <c r="H47" s="305">
        <f>15.95+-36</f>
        <v>-20.05</v>
      </c>
      <c r="J47" s="305">
        <v>-219</v>
      </c>
      <c r="L47" s="305"/>
      <c r="N47" s="305"/>
      <c r="O47" s="274">
        <f>SUM(E47:F47)-SUM(G47:N47)</f>
        <v>0</v>
      </c>
      <c r="P47" s="274" t="str">
        <f t="shared" si="4"/>
        <v>CC</v>
      </c>
      <c r="Q47" s="282"/>
      <c r="S47" s="11"/>
    </row>
    <row r="48" spans="2:20" ht="18" outlineLevel="1">
      <c r="B48" s="7"/>
      <c r="C48" s="284"/>
      <c r="D48" s="13" t="s">
        <v>152</v>
      </c>
      <c r="E48" s="523">
        <v>0</v>
      </c>
      <c r="F48" s="523">
        <f>9.49+50+162+45+120+110+40+27</f>
        <v>563.49</v>
      </c>
      <c r="G48" s="11">
        <v>20</v>
      </c>
      <c r="H48" s="305">
        <f>(184.4-55.2)+28.26+21.95+162+45+4.25+5.83+39.99+(180-162)+14.95+5+7.12+9.49-(143.8-121)+0.33</f>
        <v>468.56999999999994</v>
      </c>
      <c r="J48" s="305">
        <f>120+99</f>
        <v>219</v>
      </c>
      <c r="L48" s="305"/>
      <c r="N48" s="305"/>
      <c r="O48" s="274">
        <f>SUM(E48:F48)-SUM(G48:N48)</f>
        <v>-144.07999999999993</v>
      </c>
      <c r="P48" s="274" t="str">
        <f t="shared" si="4"/>
        <v>Kris</v>
      </c>
      <c r="Q48" s="271">
        <f>IF(F48-SUM(G48:N48)&lt;=0,(F48-SUM(G48:N48))*-1,0)</f>
        <v>144.07999999999993</v>
      </c>
    </row>
    <row r="49" spans="2:18" ht="18" outlineLevel="1">
      <c r="B49" s="7"/>
      <c r="C49" s="284"/>
      <c r="D49" s="13" t="s">
        <v>3532</v>
      </c>
      <c r="G49" s="11"/>
      <c r="H49" s="305">
        <f>39.99+162</f>
        <v>201.99</v>
      </c>
      <c r="J49" s="305"/>
      <c r="L49" s="305"/>
      <c r="N49" s="305"/>
      <c r="O49" s="274">
        <f>SUM(E49:F49)-SUM(G49:N49)</f>
        <v>-201.99</v>
      </c>
      <c r="P49" s="274" t="str">
        <f t="shared" si="4"/>
        <v>Kris Refunds Pending</v>
      </c>
      <c r="Q49" s="271"/>
    </row>
    <row r="50" spans="2:18">
      <c r="B50" s="118"/>
      <c r="C50" s="118"/>
      <c r="E50" s="523">
        <f>SUM(E37:E48)+E30</f>
        <v>1312.31</v>
      </c>
      <c r="G50" s="349"/>
      <c r="J50" s="7"/>
      <c r="L50" s="7"/>
      <c r="N50" s="7"/>
      <c r="O50" s="273"/>
      <c r="P50" s="273"/>
      <c r="Q50" s="282"/>
    </row>
    <row r="51" spans="2:18" ht="18">
      <c r="B51" s="728" t="s">
        <v>817</v>
      </c>
      <c r="C51" s="728"/>
      <c r="D51" s="728"/>
      <c r="E51" s="529">
        <f>G51+I51+K51+M51+N51+E50</f>
        <v>12072.75</v>
      </c>
      <c r="F51" s="530"/>
      <c r="G51" s="271">
        <f>5051.5+20+(1060+20)+1062.7+(110+105+50+162)+45+120+280+2257.56+110+100+40+57+25+27+42+15.68</f>
        <v>10760.44</v>
      </c>
      <c r="H51" s="282"/>
      <c r="I51" s="271"/>
      <c r="J51" s="271"/>
      <c r="K51" s="271"/>
      <c r="L51" s="271"/>
      <c r="M51" s="271"/>
      <c r="N51" s="271"/>
      <c r="O51" s="314">
        <f>ROUND(O5+O33+O28+IF(O34&lt;0,0,O34)+O48+O4+O47+O37+O36+O49,2)</f>
        <v>2008</v>
      </c>
      <c r="P51" s="274"/>
      <c r="Q51" s="282">
        <f>SUM(Q33,Q28,Q5)</f>
        <v>68.279999999999887</v>
      </c>
    </row>
    <row r="52" spans="2:18" ht="18">
      <c r="B52" s="118"/>
      <c r="C52" s="7"/>
      <c r="D52" s="13" t="s">
        <v>1451</v>
      </c>
      <c r="G52" s="523"/>
      <c r="H52" s="243"/>
      <c r="L52" s="243"/>
      <c r="O52" s="610">
        <f>O51-SUM(O4:O5)-O34-O28-O47+O48</f>
        <v>-1186.2900000000022</v>
      </c>
      <c r="P52" s="7" t="str">
        <f>IF(O52&lt;0, "DEFICIT", "")</f>
        <v>DEFICIT</v>
      </c>
    </row>
    <row r="53" spans="2:18" ht="14.4">
      <c r="B53" s="729"/>
      <c r="C53" s="729"/>
      <c r="D53" s="729"/>
      <c r="E53" s="729"/>
      <c r="F53" s="729"/>
      <c r="G53" s="729"/>
      <c r="H53" s="297"/>
      <c r="K53" s="729"/>
      <c r="L53" s="729"/>
      <c r="M53" s="729"/>
      <c r="N53" s="729"/>
      <c r="O53" s="729"/>
      <c r="P53" s="297"/>
    </row>
    <row r="54" spans="2:18" ht="15" customHeight="1">
      <c r="B54" s="726" t="s">
        <v>955</v>
      </c>
      <c r="C54" s="726"/>
      <c r="F54" s="348"/>
      <c r="H54" s="243"/>
      <c r="I54">
        <f>14.95+7.12</f>
        <v>22.07</v>
      </c>
      <c r="K54" s="212"/>
      <c r="L54" s="212"/>
      <c r="M54" s="243"/>
      <c r="N54" s="476" t="s">
        <v>3535</v>
      </c>
      <c r="O54" s="316">
        <v>46251</v>
      </c>
      <c r="P54" s="7">
        <f ca="1">DATEDIF(O54,NOW(),"d")</f>
        <v>0</v>
      </c>
      <c r="Q54">
        <v>6.05</v>
      </c>
      <c r="R54" t="s">
        <v>2833</v>
      </c>
    </row>
    <row r="55" spans="2:18">
      <c r="B55" s="523"/>
      <c r="C55" s="38"/>
      <c r="D55" t="s">
        <v>1810</v>
      </c>
      <c r="E55" t="s">
        <v>3413</v>
      </c>
      <c r="F55" s="369" t="s">
        <v>1287</v>
      </c>
      <c r="G55" t="s">
        <v>3419</v>
      </c>
      <c r="H55">
        <f>180-18</f>
        <v>162</v>
      </c>
      <c r="I55" s="243">
        <f>143.8-E71</f>
        <v>22.800000000000011</v>
      </c>
      <c r="K55" s="243"/>
      <c r="L55" s="349">
        <f>1399.79-1399.46</f>
        <v>0.32999999999992724</v>
      </c>
      <c r="N55" s="637" t="s">
        <v>3536</v>
      </c>
      <c r="O55" s="638">
        <v>46251</v>
      </c>
      <c r="P55" s="639">
        <f ca="1">DATEDIF(O55,NOW(),"d")</f>
        <v>0</v>
      </c>
      <c r="Q55" s="514">
        <v>19.97</v>
      </c>
      <c r="R55" s="514" t="s">
        <v>3537</v>
      </c>
    </row>
    <row r="56" spans="2:18" ht="16.2" customHeight="1">
      <c r="D56" s="358" t="s">
        <v>887</v>
      </c>
      <c r="E56" s="501">
        <f>'JUN-JUL 26'!H4</f>
        <v>2238.62</v>
      </c>
      <c r="F56" s="501">
        <f>E56+H4+E77</f>
        <v>6318.6299999999992</v>
      </c>
      <c r="G56" s="77">
        <v>46177</v>
      </c>
      <c r="I56" s="243"/>
      <c r="J56" s="243">
        <f>O34+O5+O30</f>
        <v>105.2200000000027</v>
      </c>
      <c r="L56" s="243"/>
      <c r="M56" s="243"/>
      <c r="N56" s="358" t="s">
        <v>3538</v>
      </c>
      <c r="O56" s="638">
        <v>46251</v>
      </c>
      <c r="P56" s="639">
        <f ca="1">DATEDIF(O56,NOW(),"d")</f>
        <v>0</v>
      </c>
      <c r="Q56">
        <v>2.5</v>
      </c>
      <c r="R56" t="s">
        <v>3539</v>
      </c>
    </row>
    <row r="57" spans="2:18">
      <c r="B57" s="532"/>
      <c r="D57" s="358" t="s">
        <v>1374</v>
      </c>
      <c r="E57" s="723">
        <f>'JUN-JUL 26'!J4</f>
        <v>2158.8200000000002</v>
      </c>
      <c r="F57" s="501">
        <f>E57+J4</f>
        <v>3647.27</v>
      </c>
      <c r="G57" s="77">
        <v>46181</v>
      </c>
      <c r="J57" s="243">
        <f>O51-J56</f>
        <v>1902.7799999999972</v>
      </c>
      <c r="L57" s="243"/>
      <c r="M57" s="243"/>
      <c r="N57" s="243"/>
      <c r="P57"/>
    </row>
    <row r="58" spans="2:18">
      <c r="D58" s="501" t="s">
        <v>3288</v>
      </c>
      <c r="E58" s="501">
        <f>E56+E77</f>
        <v>4862.09</v>
      </c>
      <c r="F58" s="659"/>
      <c r="G58">
        <v>15</v>
      </c>
      <c r="H58" s="55" t="s">
        <v>3434</v>
      </c>
      <c r="I58" s="708"/>
      <c r="J58" s="243">
        <f>J57-H4-K4</f>
        <v>-3299.7700000000041</v>
      </c>
      <c r="K58" s="243"/>
      <c r="L58" s="349"/>
      <c r="M58" s="243"/>
      <c r="N58" s="243"/>
      <c r="P58"/>
      <c r="Q58" s="243"/>
    </row>
    <row r="59" spans="2:18">
      <c r="D59" t="s">
        <v>1352</v>
      </c>
      <c r="F59" s="523">
        <v>1310.31</v>
      </c>
      <c r="H59" s="55"/>
      <c r="I59" s="515" t="s">
        <v>3534</v>
      </c>
      <c r="J59" s="243">
        <f>J58+39.99+180+15+99.99</f>
        <v>-2964.7900000000045</v>
      </c>
      <c r="L59" s="243"/>
      <c r="M59" s="656"/>
      <c r="N59" s="243"/>
      <c r="O59" s="343"/>
      <c r="P59"/>
      <c r="Q59" s="212"/>
    </row>
    <row r="60" spans="2:18" ht="15" customHeight="1">
      <c r="D60" t="s">
        <v>2812</v>
      </c>
      <c r="F60" s="523">
        <f>(SUM(E56:E57)+E77)-F59</f>
        <v>5710.6</v>
      </c>
      <c r="G60" s="243"/>
      <c r="H60" s="648"/>
      <c r="I60" s="243"/>
      <c r="J60">
        <v>2997.98</v>
      </c>
      <c r="K60" s="243" t="s">
        <v>1901</v>
      </c>
      <c r="M60" s="243"/>
      <c r="N60" s="243"/>
      <c r="O60" s="661"/>
      <c r="P60" s="56"/>
      <c r="Q60" s="38"/>
    </row>
    <row r="61" spans="2:18" ht="15.45" customHeight="1">
      <c r="D61" s="358" t="s">
        <v>3480</v>
      </c>
      <c r="E61" s="650">
        <f>SUM('JUN-JUL 26'!H30:N30)</f>
        <v>1062.7</v>
      </c>
      <c r="F61" s="712">
        <f t="shared" ref="F61:F63" si="6">F60-E61</f>
        <v>4647.9000000000005</v>
      </c>
      <c r="G61" s="369"/>
      <c r="H61" s="648"/>
      <c r="I61" s="243"/>
      <c r="K61" s="243"/>
      <c r="L61" s="390"/>
      <c r="M61" s="390"/>
      <c r="N61" s="390"/>
      <c r="P61"/>
    </row>
    <row r="62" spans="2:18" ht="15" customHeight="1">
      <c r="D62" s="358" t="s">
        <v>3490</v>
      </c>
      <c r="E62" s="501">
        <f>110</f>
        <v>110</v>
      </c>
      <c r="F62" s="712">
        <f t="shared" si="6"/>
        <v>4537.9000000000005</v>
      </c>
      <c r="H62" s="648"/>
      <c r="J62" s="243"/>
      <c r="K62" s="243"/>
      <c r="L62" s="243"/>
      <c r="M62" s="243"/>
    </row>
    <row r="63" spans="2:18" ht="15" customHeight="1">
      <c r="D63" s="358" t="s">
        <v>3488</v>
      </c>
      <c r="E63" s="501">
        <v>75</v>
      </c>
      <c r="F63" s="712">
        <f t="shared" si="6"/>
        <v>4462.9000000000005</v>
      </c>
      <c r="H63" s="648"/>
      <c r="J63" s="725" t="s">
        <v>3519</v>
      </c>
      <c r="K63" s="725"/>
      <c r="L63" s="725"/>
      <c r="M63" s="725"/>
    </row>
    <row r="64" spans="2:18" ht="15" customHeight="1">
      <c r="D64" s="358" t="s">
        <v>3491</v>
      </c>
      <c r="E64" s="501">
        <v>30</v>
      </c>
      <c r="F64" s="712">
        <f>F63-E64</f>
        <v>4432.9000000000005</v>
      </c>
      <c r="H64" s="648"/>
      <c r="J64" s="243"/>
      <c r="K64" s="243">
        <f>K65/4</f>
        <v>2.5</v>
      </c>
      <c r="L64" s="243"/>
      <c r="M64" s="243"/>
    </row>
    <row r="65" spans="2:16" ht="15" customHeight="1">
      <c r="D65" s="448" t="s">
        <v>3492</v>
      </c>
      <c r="E65" s="715">
        <v>36</v>
      </c>
      <c r="F65" s="716">
        <f>F64-E65</f>
        <v>4396.9000000000005</v>
      </c>
      <c r="H65" s="648"/>
      <c r="J65" t="s">
        <v>3516</v>
      </c>
      <c r="K65" s="243">
        <v>10</v>
      </c>
      <c r="L65" s="243">
        <v>190</v>
      </c>
      <c r="M65" s="243">
        <f>L65/K64</f>
        <v>76</v>
      </c>
    </row>
    <row r="66" spans="2:16" ht="15" customHeight="1">
      <c r="D66" s="358" t="s">
        <v>3485</v>
      </c>
      <c r="E66" s="501">
        <v>199</v>
      </c>
      <c r="F66" s="712">
        <f>F65-E66</f>
        <v>4197.9000000000005</v>
      </c>
      <c r="H66" s="55"/>
      <c r="J66" t="s">
        <v>3515</v>
      </c>
      <c r="K66" s="243">
        <v>10</v>
      </c>
      <c r="L66" s="243">
        <v>180</v>
      </c>
      <c r="M66" s="243">
        <f>L66/K64</f>
        <v>72</v>
      </c>
    </row>
    <row r="67" spans="2:16" ht="16.2" customHeight="1">
      <c r="D67" s="448" t="s">
        <v>3493</v>
      </c>
      <c r="E67" s="715">
        <v>219</v>
      </c>
      <c r="F67" s="716">
        <f t="shared" ref="F67:F74" si="7">F66-E67</f>
        <v>3978.9000000000005</v>
      </c>
      <c r="G67" s="243"/>
      <c r="H67" s="243"/>
      <c r="I67" s="243"/>
      <c r="J67" s="243"/>
      <c r="L67">
        <f>SUM(L65:L66)/4</f>
        <v>92.5</v>
      </c>
      <c r="M67" t="s">
        <v>2261</v>
      </c>
      <c r="O67"/>
    </row>
    <row r="68" spans="2:16" ht="14.7" customHeight="1">
      <c r="B68" s="11"/>
      <c r="D68" s="358" t="s">
        <v>3482</v>
      </c>
      <c r="E68" s="650">
        <f>'JUN-JUL 26'!S40</f>
        <v>209.67999999999881</v>
      </c>
      <c r="F68" s="712">
        <f t="shared" si="7"/>
        <v>3769.2200000000016</v>
      </c>
      <c r="J68" s="243" t="s">
        <v>3516</v>
      </c>
      <c r="K68">
        <v>1</v>
      </c>
      <c r="O68"/>
      <c r="P68"/>
    </row>
    <row r="69" spans="2:16">
      <c r="B69" s="11"/>
      <c r="D69" s="358" t="s">
        <v>3483</v>
      </c>
      <c r="E69" s="650">
        <f>'Sinking Fund'!B56</f>
        <v>836.66</v>
      </c>
      <c r="F69" s="712">
        <f>F68-E69</f>
        <v>2932.5600000000018</v>
      </c>
      <c r="J69" s="243" t="s">
        <v>3517</v>
      </c>
      <c r="K69" s="243">
        <v>9</v>
      </c>
      <c r="O69"/>
    </row>
    <row r="70" spans="2:16">
      <c r="B70" s="11"/>
      <c r="D70" s="358" t="s">
        <v>389</v>
      </c>
      <c r="E70" s="650">
        <v>675</v>
      </c>
      <c r="F70" s="712">
        <f t="shared" si="7"/>
        <v>2257.5600000000018</v>
      </c>
      <c r="G70" s="243"/>
      <c r="J70" s="243" t="s">
        <v>3518</v>
      </c>
      <c r="K70" s="243">
        <f>K69-1</f>
        <v>8</v>
      </c>
      <c r="O70"/>
      <c r="P70"/>
    </row>
    <row r="71" spans="2:16" ht="15" customHeight="1">
      <c r="D71" s="448" t="s">
        <v>3489</v>
      </c>
      <c r="E71" s="715">
        <f>121</f>
        <v>121</v>
      </c>
      <c r="F71" s="716">
        <f>F70-E71</f>
        <v>2136.5600000000018</v>
      </c>
      <c r="H71" s="55">
        <f>(F70*-1)+O37</f>
        <v>-2953.7000000000016</v>
      </c>
      <c r="J71" s="243"/>
      <c r="K71" s="243"/>
      <c r="L71" s="243"/>
      <c r="M71" s="243"/>
    </row>
    <row r="72" spans="2:16" ht="15" customHeight="1">
      <c r="D72" s="448" t="s">
        <v>3498</v>
      </c>
      <c r="E72" s="715" t="s">
        <v>50</v>
      </c>
      <c r="F72" s="716"/>
      <c r="H72" s="55">
        <f>H71+E71</f>
        <v>-2832.7000000000016</v>
      </c>
      <c r="I72">
        <v>2997.98</v>
      </c>
      <c r="J72" s="243" t="s">
        <v>1901</v>
      </c>
      <c r="K72" s="243"/>
      <c r="L72">
        <v>10</v>
      </c>
      <c r="M72" s="243">
        <v>162</v>
      </c>
    </row>
    <row r="73" spans="2:16">
      <c r="D73" s="358" t="s">
        <v>3486</v>
      </c>
      <c r="E73" s="650">
        <f>880</f>
        <v>880</v>
      </c>
      <c r="F73" s="712">
        <f>F71-E73</f>
        <v>1256.5600000000018</v>
      </c>
      <c r="G73" s="243"/>
      <c r="H73" s="55"/>
      <c r="M73" s="243"/>
      <c r="O73"/>
      <c r="P73"/>
    </row>
    <row r="74" spans="2:16">
      <c r="B74" s="212"/>
      <c r="C74" s="212"/>
      <c r="D74" s="358" t="s">
        <v>3487</v>
      </c>
      <c r="E74" s="650">
        <v>200</v>
      </c>
      <c r="F74" s="712">
        <f t="shared" si="7"/>
        <v>1056.5600000000018</v>
      </c>
      <c r="G74" s="243"/>
      <c r="P74"/>
    </row>
    <row r="75" spans="2:16">
      <c r="C75" s="56"/>
      <c r="F75" s="660"/>
      <c r="G75" s="243"/>
      <c r="L75" s="243"/>
      <c r="O75"/>
      <c r="P75"/>
    </row>
    <row r="76" spans="2:16" ht="15.75" customHeight="1">
      <c r="C76" s="56"/>
      <c r="D76" s="243" t="s">
        <v>3455</v>
      </c>
      <c r="E76"/>
      <c r="F76" s="243"/>
      <c r="L76" s="243"/>
      <c r="M76" s="243"/>
      <c r="O76"/>
      <c r="P76"/>
    </row>
    <row r="77" spans="2:16">
      <c r="C77" s="56"/>
      <c r="D77" s="331" t="s">
        <v>3454</v>
      </c>
      <c r="E77" s="643">
        <v>2623.47</v>
      </c>
      <c r="G77" s="426"/>
      <c r="M77" s="243"/>
      <c r="O77"/>
      <c r="P77"/>
    </row>
    <row r="78" spans="2:16">
      <c r="C78" s="56"/>
      <c r="D78" s="331" t="s">
        <v>1329</v>
      </c>
      <c r="E78" s="714">
        <v>2257.56</v>
      </c>
      <c r="G78" s="426"/>
      <c r="O78"/>
      <c r="P78"/>
    </row>
    <row r="79" spans="2:16">
      <c r="C79" s="56"/>
      <c r="E79" s="666"/>
      <c r="G79" s="426"/>
      <c r="H79" s="353"/>
      <c r="O79"/>
      <c r="P79"/>
    </row>
    <row r="80" spans="2:16">
      <c r="C80" s="56"/>
      <c r="E80" s="666"/>
      <c r="G80" s="426"/>
      <c r="O80"/>
      <c r="P80"/>
    </row>
    <row r="81" spans="2:16">
      <c r="C81" s="56"/>
      <c r="G81" s="426"/>
      <c r="N81" s="288"/>
      <c r="O81"/>
      <c r="P81"/>
    </row>
    <row r="82" spans="2:16">
      <c r="C82" s="56"/>
      <c r="G82" s="726"/>
      <c r="H82" s="726"/>
      <c r="L82" s="243"/>
      <c r="O82"/>
      <c r="P82"/>
    </row>
    <row r="83" spans="2:16">
      <c r="C83" s="56"/>
      <c r="I83" s="11"/>
      <c r="O83"/>
      <c r="P83"/>
    </row>
    <row r="84" spans="2:16">
      <c r="B84" s="212"/>
      <c r="C84" s="294"/>
      <c r="O84"/>
      <c r="P84"/>
    </row>
    <row r="85" spans="2:16" ht="15.45" customHeight="1">
      <c r="C85" s="56"/>
      <c r="F85"/>
      <c r="M85" s="243"/>
      <c r="O85"/>
      <c r="P85"/>
    </row>
    <row r="86" spans="2:16">
      <c r="C86" s="56"/>
      <c r="E86" s="625"/>
      <c r="F86" s="625"/>
      <c r="L86" s="459"/>
      <c r="M86" s="461"/>
      <c r="O86"/>
      <c r="P86"/>
    </row>
    <row r="87" spans="2:16">
      <c r="C87" s="56"/>
      <c r="D87" s="634"/>
      <c r="E87" s="533"/>
      <c r="L87" s="459"/>
      <c r="M87" s="461"/>
      <c r="O87"/>
      <c r="P87"/>
    </row>
    <row r="88" spans="2:16" ht="14.4">
      <c r="C88" s="56"/>
      <c r="E88" s="243"/>
      <c r="F88"/>
      <c r="L88" s="459"/>
      <c r="M88" s="461"/>
      <c r="O88"/>
      <c r="P88"/>
    </row>
    <row r="89" spans="2:16">
      <c r="C89" s="56"/>
      <c r="L89" s="188"/>
      <c r="M89" s="230"/>
      <c r="O89"/>
      <c r="P89"/>
    </row>
    <row r="90" spans="2:16">
      <c r="C90" s="56"/>
      <c r="L90" s="188"/>
      <c r="M90" s="230"/>
      <c r="O90"/>
      <c r="P90"/>
    </row>
    <row r="91" spans="2:16">
      <c r="C91" s="56"/>
      <c r="L91" s="188"/>
      <c r="M91" s="230"/>
      <c r="O91"/>
      <c r="P91"/>
    </row>
    <row r="92" spans="2:16">
      <c r="L92" s="188"/>
      <c r="M92" s="230"/>
      <c r="O92"/>
      <c r="P92"/>
    </row>
    <row r="93" spans="2:16">
      <c r="L93" s="532"/>
      <c r="M93" s="230"/>
      <c r="O93"/>
      <c r="P93"/>
    </row>
    <row r="94" spans="2:16">
      <c r="L94" s="405"/>
      <c r="M94" s="230"/>
      <c r="O94"/>
      <c r="P94"/>
    </row>
    <row r="101" spans="4:16">
      <c r="E101" s="533"/>
      <c r="F101" s="212"/>
    </row>
    <row r="102" spans="4:16" ht="14.4">
      <c r="E102"/>
      <c r="F102"/>
    </row>
    <row r="103" spans="4:16">
      <c r="F103" s="56"/>
    </row>
    <row r="104" spans="4:16">
      <c r="F104" s="56"/>
    </row>
    <row r="105" spans="4:16">
      <c r="F105" s="56"/>
      <c r="G105" s="407"/>
    </row>
    <row r="106" spans="4:16" ht="14.4">
      <c r="D106" s="621"/>
      <c r="E106" s="56"/>
      <c r="F106" s="56"/>
      <c r="G106" s="407"/>
    </row>
    <row r="107" spans="4:16" ht="14.4">
      <c r="E107" s="56"/>
      <c r="F107" s="56"/>
      <c r="G107" s="407"/>
    </row>
    <row r="108" spans="4:16" ht="14.4">
      <c r="E108" s="56"/>
      <c r="F108" s="56"/>
      <c r="G108" s="407"/>
    </row>
    <row r="109" spans="4:16">
      <c r="G109" s="407"/>
      <c r="H109" s="11"/>
      <c r="O109"/>
      <c r="P109"/>
    </row>
    <row r="110" spans="4:16">
      <c r="G110" s="407"/>
      <c r="O110"/>
      <c r="P110"/>
    </row>
    <row r="111" spans="4:16">
      <c r="G111" s="407"/>
      <c r="O111"/>
      <c r="P111"/>
    </row>
    <row r="112" spans="4:16">
      <c r="G112" s="407"/>
    </row>
  </sheetData>
  <mergeCells count="20">
    <mergeCell ref="B28:C28"/>
    <mergeCell ref="B4:E4"/>
    <mergeCell ref="B1:O1"/>
    <mergeCell ref="G3:H3"/>
    <mergeCell ref="I3:J3"/>
    <mergeCell ref="K3:L3"/>
    <mergeCell ref="M3:N3"/>
    <mergeCell ref="B5:C5"/>
    <mergeCell ref="B6:B21"/>
    <mergeCell ref="C6:C21"/>
    <mergeCell ref="E11:F11"/>
    <mergeCell ref="B27:E27"/>
    <mergeCell ref="J63:M63"/>
    <mergeCell ref="G82:H82"/>
    <mergeCell ref="B32:E32"/>
    <mergeCell ref="B33:C33"/>
    <mergeCell ref="B51:D51"/>
    <mergeCell ref="B53:G53"/>
    <mergeCell ref="K53:O53"/>
    <mergeCell ref="B54:C54"/>
  </mergeCells>
  <pageMargins left="0.7" right="0.7" top="0.75" bottom="0.75" header="0.3" footer="0.3"/>
  <pageSetup orientation="portrait" r:id="rId1"/>
  <legacyDrawing r:id="rId2"/>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D88A5-5CB5-453D-8028-9D1B028D1AA9}">
  <dimension ref="A1:J21"/>
  <sheetViews>
    <sheetView workbookViewId="0">
      <selection activeCell="F21" sqref="D12:F21"/>
    </sheetView>
  </sheetViews>
  <sheetFormatPr defaultColWidth="8.44140625" defaultRowHeight="14.4"/>
  <cols>
    <col min="1" max="1" width="22.44140625" customWidth="1"/>
    <col min="2" max="2" width="16.109375" bestFit="1" customWidth="1"/>
    <col min="3" max="3" width="12.6640625" bestFit="1" customWidth="1"/>
    <col min="4" max="4" width="21.6640625" bestFit="1" customWidth="1"/>
  </cols>
  <sheetData>
    <row r="1" spans="1:10">
      <c r="A1" t="s">
        <v>3405</v>
      </c>
      <c r="B1" t="s">
        <v>3406</v>
      </c>
    </row>
    <row r="2" spans="1:10">
      <c r="A2" t="s">
        <v>3068</v>
      </c>
      <c r="B2" s="42">
        <v>46202</v>
      </c>
      <c r="C2" s="516">
        <v>0.2986111111111111</v>
      </c>
      <c r="D2" s="516">
        <v>0.46527777777777779</v>
      </c>
    </row>
    <row r="3" spans="1:10">
      <c r="A3" t="s">
        <v>2220</v>
      </c>
      <c r="B3" s="42">
        <v>46206</v>
      </c>
      <c r="C3" s="516">
        <v>0.83333333333333337</v>
      </c>
      <c r="D3" s="516">
        <v>0.91319444444444442</v>
      </c>
    </row>
    <row r="4" spans="1:10">
      <c r="A4" t="s">
        <v>3200</v>
      </c>
      <c r="B4">
        <f>DATEDIF(B2, B3, "D")</f>
        <v>4</v>
      </c>
    </row>
    <row r="5" spans="1:10">
      <c r="A5" t="s">
        <v>3069</v>
      </c>
    </row>
    <row r="6" spans="1:10">
      <c r="A6" s="307" t="s">
        <v>559</v>
      </c>
      <c r="B6" s="307" t="s">
        <v>1855</v>
      </c>
      <c r="C6" s="307" t="s">
        <v>3064</v>
      </c>
      <c r="D6" s="307" t="s">
        <v>3065</v>
      </c>
    </row>
    <row r="7" spans="1:10">
      <c r="A7" s="649" t="s">
        <v>2835</v>
      </c>
      <c r="B7" s="188">
        <v>32</v>
      </c>
      <c r="C7" s="648">
        <v>46129</v>
      </c>
      <c r="D7" s="188" t="s">
        <v>3319</v>
      </c>
    </row>
    <row r="8" spans="1:10">
      <c r="A8" s="649" t="s">
        <v>2868</v>
      </c>
      <c r="B8">
        <v>0</v>
      </c>
      <c r="C8" s="648"/>
      <c r="D8" s="188"/>
    </row>
    <row r="9" spans="1:10">
      <c r="A9" s="649" t="s">
        <v>2864</v>
      </c>
      <c r="B9" s="188">
        <v>0</v>
      </c>
      <c r="C9" s="648"/>
      <c r="D9" s="188"/>
    </row>
    <row r="10" spans="1:10">
      <c r="A10" s="305" t="s">
        <v>3331</v>
      </c>
      <c r="B10" s="188">
        <v>81</v>
      </c>
      <c r="C10" s="77"/>
    </row>
    <row r="11" spans="1:10">
      <c r="A11" s="305" t="s">
        <v>3453</v>
      </c>
      <c r="B11" s="188">
        <f>68+10</f>
        <v>78</v>
      </c>
      <c r="C11" s="77"/>
    </row>
    <row r="12" spans="1:10">
      <c r="A12" s="305" t="s">
        <v>1008</v>
      </c>
      <c r="B12" s="188">
        <f>50</f>
        <v>50</v>
      </c>
    </row>
    <row r="13" spans="1:10">
      <c r="A13" s="649" t="s">
        <v>3330</v>
      </c>
      <c r="B13" s="188">
        <v>230</v>
      </c>
      <c r="C13" s="648"/>
    </row>
    <row r="14" spans="1:10">
      <c r="A14" s="649" t="s">
        <v>857</v>
      </c>
      <c r="B14" s="188">
        <f>(120*4)*0.84</f>
        <v>403.2</v>
      </c>
      <c r="C14" s="648"/>
      <c r="D14" s="188"/>
    </row>
    <row r="15" spans="1:10">
      <c r="A15" s="649" t="s">
        <v>3404</v>
      </c>
      <c r="B15" s="188">
        <v>500</v>
      </c>
      <c r="C15" s="648"/>
      <c r="D15" s="188"/>
      <c r="J15" s="390"/>
    </row>
    <row r="16" spans="1:10">
      <c r="A16" s="649"/>
      <c r="C16" s="648"/>
      <c r="D16" s="188"/>
      <c r="J16" s="79"/>
    </row>
    <row r="17" spans="1:10">
      <c r="A17" s="305" t="s">
        <v>3066</v>
      </c>
      <c r="B17">
        <f>SUM(B7:B16)</f>
        <v>1374.2</v>
      </c>
      <c r="J17" s="79"/>
    </row>
    <row r="18" spans="1:10">
      <c r="A18" s="305"/>
      <c r="J18" s="79"/>
    </row>
    <row r="19" spans="1:10">
      <c r="A19" s="649" t="s">
        <v>3070</v>
      </c>
      <c r="B19">
        <f>(ROUND(B4/7,0)*140)*-1</f>
        <v>-140</v>
      </c>
      <c r="C19" s="648"/>
      <c r="D19" s="188"/>
      <c r="J19" s="7"/>
    </row>
    <row r="20" spans="1:10">
      <c r="A20" s="649" t="s">
        <v>683</v>
      </c>
      <c r="B20">
        <f>-100</f>
        <v>-100</v>
      </c>
      <c r="C20" s="648"/>
      <c r="D20" s="188"/>
    </row>
    <row r="21" spans="1:10">
      <c r="A21" s="305" t="s">
        <v>3067</v>
      </c>
      <c r="B21" s="55">
        <f>SUMIF(C7:C16,"",B7:B16)+B19+B20</f>
        <v>1102.2</v>
      </c>
      <c r="D21" s="55"/>
    </row>
  </sheetData>
  <pageMargins left="0.7" right="0.7" top="0.75" bottom="0.75" header="0.3" footer="0.3"/>
  <pageSetup paperSize="0" orientation="portrait" horizontalDpi="203" verticalDpi="203" r:id="rId1"/>
  <legacyDrawing r:id="rId2"/>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D8DFE-6519-42BD-B6B8-6DDC893A42FF}">
  <dimension ref="A1:X99"/>
  <sheetViews>
    <sheetView topLeftCell="D28" zoomScaleNormal="90" workbookViewId="0">
      <selection activeCell="F35" sqref="F35"/>
    </sheetView>
  </sheetViews>
  <sheetFormatPr defaultColWidth="10.33203125" defaultRowHeight="15.6" outlineLevelRow="2"/>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 min="16384" max="16384" width="10.33203125" bestFit="1" customWidth="1"/>
  </cols>
  <sheetData>
    <row r="1" spans="1:24" ht="25.5" customHeight="1">
      <c r="A1" t="str">
        <f ca="1">UPPER(TEXT((1&amp;LEFT(B$1,3))-1,"MMM"))&amp;"-"&amp;UPPER(TEXT((1&amp;RIGHT(LEFT(B$1,7),3))-1,"MMM"))&amp;" "&amp;RIGHT(B$1,4)</f>
        <v>JUL-AUG P 26</v>
      </c>
      <c r="B1" s="730" t="str">
        <f ca="1">MID(CELL("filename",B1),FIND("]",CELL("filename",B1))+1,255)</f>
        <v>AUG-SEP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3429</v>
      </c>
      <c r="M2" s="79" t="s">
        <v>801</v>
      </c>
      <c r="N2" s="307" t="s">
        <v>1450</v>
      </c>
      <c r="O2" s="273" t="s">
        <v>10</v>
      </c>
      <c r="P2" s="273"/>
      <c r="Q2" s="283" t="s">
        <v>803</v>
      </c>
    </row>
    <row r="3" spans="1:24">
      <c r="B3" s="118"/>
      <c r="C3" s="118"/>
      <c r="D3" s="290" t="e">
        <f>"£" &amp; ROUND(O5+O33+O28+IF(#REF!&lt;0,0,#REF!)+O46+O4,2) &amp; " / " &amp; "£" &amp; E48</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",G48*0.5," / Actual = ",ROUND(F4,2)," (",ROUND((F4/G48)*100,2),")")</f>
        <v>Expenses - 50 - 2718.25 / Actual = 3461.04 (63.66)</v>
      </c>
      <c r="C4" s="727"/>
      <c r="D4" s="727"/>
      <c r="E4" s="727"/>
      <c r="F4" s="319">
        <f>ROUND(SUM(F6:F25),2)</f>
        <v>3461.04</v>
      </c>
      <c r="G4" s="243"/>
      <c r="H4" s="304"/>
      <c r="I4" s="243"/>
      <c r="J4" s="304"/>
      <c r="K4" s="243"/>
      <c r="L4" s="304"/>
      <c r="M4" s="243"/>
      <c r="N4" s="304"/>
      <c r="O4" s="308">
        <f>IF(H47&lt;&gt;"PAID",H4,0)+IF(J47&lt;&gt;"PAID",J4,0)+IF(L47&lt;&gt;"PAID",L4,0)+IF(N47&lt;&gt;"PAID",N4,0)</f>
        <v>0</v>
      </c>
      <c r="P4" s="309" t="s">
        <v>973</v>
      </c>
      <c r="Q4" s="408"/>
      <c r="R4" s="243"/>
      <c r="S4" s="284"/>
      <c r="T4" s="11"/>
      <c r="U4" s="390"/>
      <c r="V4" s="11"/>
      <c r="W4" s="390"/>
      <c r="X4" s="11"/>
    </row>
    <row r="5" spans="1:24" ht="15" customHeight="1">
      <c r="B5" s="733" t="str">
        <f>IF(D5&gt;E$48*0.5,ROUND(D5-E$48*0.5,2) &amp; " Over",ROUND(E$48*0.5-D5,2) &amp; " Under")</f>
        <v>2718.25 Under</v>
      </c>
      <c r="C5" s="733"/>
      <c r="D5" s="702"/>
      <c r="E5" s="321" t="s">
        <v>1451</v>
      </c>
      <c r="F5" s="321" t="s">
        <v>650</v>
      </c>
      <c r="G5" s="284"/>
      <c r="H5" s="306"/>
      <c r="I5" s="390"/>
      <c r="J5" s="306"/>
      <c r="K5" s="390"/>
      <c r="L5" s="306"/>
      <c r="M5" s="79"/>
      <c r="N5" s="305"/>
      <c r="O5" s="285">
        <f>SUMIF(O6:O25,"&gt;0")</f>
        <v>3461.0399999999995</v>
      </c>
      <c r="P5" s="285" t="s">
        <v>892</v>
      </c>
      <c r="Q5" s="282">
        <f>SUM(Q6:Q25)</f>
        <v>0</v>
      </c>
      <c r="R5" s="243"/>
      <c r="T5" s="243"/>
    </row>
    <row r="6" spans="1:24" ht="15" customHeight="1">
      <c r="B6" s="734" t="str">
        <f>"50%: " &amp; E$48*0.5</f>
        <v>50%: 2718.25</v>
      </c>
      <c r="C6" s="734" t="str">
        <f>ROUND((D5/E$48)*100,2) &amp; "%: " &amp;D5</f>
        <v xml:space="preserve">0%: </v>
      </c>
      <c r="D6" s="13" t="s">
        <v>805</v>
      </c>
      <c r="E6" s="523">
        <v>0</v>
      </c>
      <c r="F6" s="528">
        <f>160</f>
        <v>160</v>
      </c>
      <c r="H6" s="305"/>
      <c r="J6" s="305"/>
      <c r="L6" s="305"/>
      <c r="N6" s="305"/>
      <c r="O6" s="274">
        <f>SUM(E6:F6)-SUM(G6:N6)</f>
        <v>160</v>
      </c>
      <c r="P6" s="274" t="str">
        <f t="shared" ref="P6:P25" si="0">D6</f>
        <v>Car Petrol / commuting</v>
      </c>
      <c r="Q6" s="282">
        <f>IF(O6&lt;0,O6*-1,0)</f>
        <v>0</v>
      </c>
      <c r="R6" s="243"/>
      <c r="S6" s="243"/>
      <c r="T6" s="243"/>
    </row>
    <row r="7" spans="1:24" ht="15" customHeight="1">
      <c r="B7" s="734"/>
      <c r="C7" s="734"/>
      <c r="D7" s="13" t="s">
        <v>169</v>
      </c>
      <c r="E7" s="523">
        <v>0</v>
      </c>
      <c r="F7" s="523">
        <v>400</v>
      </c>
      <c r="H7" s="305"/>
      <c r="J7" s="305"/>
      <c r="L7" s="305"/>
      <c r="N7" s="305"/>
      <c r="O7" s="274">
        <f>SUM(E7:F7)-SUM(G7:N7)</f>
        <v>400</v>
      </c>
      <c r="P7" s="274" t="str">
        <f t="shared" si="0"/>
        <v>Food</v>
      </c>
      <c r="Q7" s="282">
        <f>IF(O7&lt;0,O7*-1,0)</f>
        <v>0</v>
      </c>
      <c r="R7" s="243"/>
    </row>
    <row r="8" spans="1:24" ht="15" customHeight="1">
      <c r="B8" s="734"/>
      <c r="C8" s="734"/>
      <c r="D8" s="13" t="s">
        <v>153</v>
      </c>
      <c r="E8" s="523">
        <v>0</v>
      </c>
      <c r="F8" s="523">
        <f>120</f>
        <v>120</v>
      </c>
      <c r="H8" s="305"/>
      <c r="J8" s="305"/>
      <c r="L8" s="305"/>
      <c r="N8" s="305"/>
      <c r="O8" s="274">
        <f>SUM(E8:F8)-SUM(G8:N8)</f>
        <v>120</v>
      </c>
      <c r="P8" s="274" t="str">
        <f t="shared" si="0"/>
        <v>Luna</v>
      </c>
      <c r="Q8" s="282">
        <f>IF(O8&lt;0,O8*-1,0)</f>
        <v>0</v>
      </c>
      <c r="S8" s="243"/>
    </row>
    <row r="9" spans="1:24" ht="15" customHeight="1">
      <c r="B9" s="734"/>
      <c r="C9" s="734"/>
      <c r="D9" s="13" t="s">
        <v>954</v>
      </c>
      <c r="E9" s="523">
        <v>0</v>
      </c>
      <c r="F9" s="523">
        <v>18</v>
      </c>
      <c r="H9" s="305"/>
      <c r="J9" s="305"/>
      <c r="L9" s="305"/>
      <c r="N9" s="305"/>
      <c r="O9" s="274">
        <f>SUM(E9:F9)-SUM(G9:N9)</f>
        <v>18</v>
      </c>
      <c r="P9" s="274" t="str">
        <f t="shared" si="0"/>
        <v>Haircut</v>
      </c>
      <c r="Q9" s="282"/>
      <c r="S9" s="243"/>
    </row>
    <row r="10" spans="1:24" ht="15" customHeight="1">
      <c r="B10" s="734"/>
      <c r="C10" s="734"/>
      <c r="D10" s="13" t="s">
        <v>3421</v>
      </c>
      <c r="E10" s="523">
        <v>0</v>
      </c>
      <c r="F10" s="523">
        <v>50</v>
      </c>
      <c r="H10" s="305"/>
      <c r="J10" s="305"/>
      <c r="L10" s="305"/>
      <c r="N10" s="305"/>
      <c r="O10" s="274">
        <f>SUM(E10:F10)-SUM(G10:N10)</f>
        <v>50</v>
      </c>
      <c r="P10" s="274" t="str">
        <f t="shared" si="0"/>
        <v>Skin Budget</v>
      </c>
      <c r="Q10" s="282"/>
    </row>
    <row r="11" spans="1:24" ht="15" customHeight="1">
      <c r="B11" s="734"/>
      <c r="C11" s="734"/>
      <c r="D11" s="13" t="s">
        <v>189</v>
      </c>
      <c r="E11" s="735">
        <f>SUM(F12:F25)</f>
        <v>2713.0399999999995</v>
      </c>
      <c r="F11" s="735"/>
      <c r="G11" s="243"/>
      <c r="H11" s="305"/>
      <c r="J11" s="305"/>
      <c r="L11" s="305"/>
      <c r="N11" s="305"/>
      <c r="O11" s="274"/>
      <c r="P11" s="274" t="str">
        <f t="shared" si="0"/>
        <v>Direct debits</v>
      </c>
      <c r="Q11" s="282"/>
      <c r="R11" s="243"/>
      <c r="T11" s="243"/>
    </row>
    <row r="12" spans="1:24" ht="15" customHeight="1" outlineLevel="1">
      <c r="B12" s="734"/>
      <c r="C12" s="734"/>
      <c r="D12" s="201" t="s">
        <v>595</v>
      </c>
      <c r="E12" s="523">
        <v>0</v>
      </c>
      <c r="F12" s="523">
        <v>838</v>
      </c>
      <c r="H12" s="305"/>
      <c r="J12" s="305"/>
      <c r="L12" s="304"/>
      <c r="N12" s="305"/>
      <c r="O12" s="274">
        <f t="shared" ref="O12:O25" si="1">SUM(E12:F12)-SUM(G12:N12)</f>
        <v>838</v>
      </c>
      <c r="P12" s="274" t="str">
        <f t="shared" si="0"/>
        <v>Mortgage</v>
      </c>
      <c r="Q12" s="282">
        <f t="shared" ref="Q12:Q25" si="2">IF(O12&lt;0,O12*-1,0)</f>
        <v>0</v>
      </c>
      <c r="R12" s="243"/>
    </row>
    <row r="13" spans="1:24" ht="15" customHeight="1" outlineLevel="1">
      <c r="B13" s="734"/>
      <c r="C13" s="734"/>
      <c r="D13" s="201" t="s">
        <v>596</v>
      </c>
      <c r="E13" s="523">
        <v>0</v>
      </c>
      <c r="F13" s="523">
        <v>176</v>
      </c>
      <c r="H13" s="305"/>
      <c r="J13" s="305"/>
      <c r="L13" s="305"/>
      <c r="N13" s="305"/>
      <c r="O13" s="274">
        <f t="shared" si="1"/>
        <v>176</v>
      </c>
      <c r="P13" s="274" t="str">
        <f t="shared" si="0"/>
        <v>Council tax</v>
      </c>
      <c r="Q13" s="282">
        <f t="shared" si="2"/>
        <v>0</v>
      </c>
    </row>
    <row r="14" spans="1:24" ht="15" customHeight="1" outlineLevel="1">
      <c r="B14" s="734"/>
      <c r="C14" s="734"/>
      <c r="D14" s="201" t="s">
        <v>1002</v>
      </c>
      <c r="E14" s="523">
        <v>0</v>
      </c>
      <c r="F14" s="523">
        <f>49+114.76</f>
        <v>163.76</v>
      </c>
      <c r="H14" s="305"/>
      <c r="J14" s="305"/>
      <c r="L14" s="305"/>
      <c r="N14" s="305"/>
      <c r="O14" s="274">
        <f t="shared" si="1"/>
        <v>163.76</v>
      </c>
      <c r="P14" s="274" t="str">
        <f t="shared" si="0"/>
        <v>Utilities (G,W,E,HTB)</v>
      </c>
      <c r="Q14" s="282">
        <f t="shared" si="2"/>
        <v>0</v>
      </c>
    </row>
    <row r="15" spans="1:24" ht="15" customHeight="1" outlineLevel="1">
      <c r="B15" s="734"/>
      <c r="C15" s="734"/>
      <c r="D15" s="201" t="s">
        <v>996</v>
      </c>
      <c r="E15" s="523">
        <v>0</v>
      </c>
      <c r="F15" s="523">
        <v>28.52</v>
      </c>
      <c r="H15" s="305"/>
      <c r="J15" s="305"/>
      <c r="L15" s="305"/>
      <c r="N15" s="305"/>
      <c r="O15" s="274">
        <f t="shared" si="1"/>
        <v>28.52</v>
      </c>
      <c r="P15" s="274" t="str">
        <f t="shared" si="0"/>
        <v>Home Insurance</v>
      </c>
      <c r="Q15" s="282">
        <f t="shared" si="2"/>
        <v>0</v>
      </c>
    </row>
    <row r="16" spans="1:24" ht="15" customHeight="1" outlineLevel="1">
      <c r="B16" s="734"/>
      <c r="C16" s="734"/>
      <c r="D16" s="201" t="s">
        <v>1056</v>
      </c>
      <c r="E16" s="523">
        <v>0</v>
      </c>
      <c r="F16" s="523">
        <f>27.97+24.99</f>
        <v>52.959999999999994</v>
      </c>
      <c r="H16" s="305"/>
      <c r="J16" s="305"/>
      <c r="L16" s="305"/>
      <c r="N16" s="305"/>
      <c r="O16" s="274">
        <f t="shared" si="1"/>
        <v>52.959999999999994</v>
      </c>
      <c r="P16" s="274" t="str">
        <f t="shared" si="0"/>
        <v>Pet Health / Insurance</v>
      </c>
      <c r="Q16" s="282">
        <f t="shared" si="2"/>
        <v>0</v>
      </c>
      <c r="U16" s="11"/>
    </row>
    <row r="17" spans="2:19" ht="15" customHeight="1" outlineLevel="1">
      <c r="B17" s="734"/>
      <c r="C17" s="734"/>
      <c r="D17" s="201" t="s">
        <v>1057</v>
      </c>
      <c r="E17" s="523">
        <v>0</v>
      </c>
      <c r="F17" s="523">
        <f>30.8+62.08-5</f>
        <v>87.88</v>
      </c>
      <c r="H17" s="305"/>
      <c r="J17" s="305"/>
      <c r="L17" s="305"/>
      <c r="N17" s="305"/>
      <c r="O17" s="274">
        <f t="shared" si="1"/>
        <v>87.88</v>
      </c>
      <c r="P17" s="274" t="str">
        <f t="shared" si="0"/>
        <v>Life / Income Insurance</v>
      </c>
      <c r="Q17" s="282">
        <f t="shared" si="2"/>
        <v>0</v>
      </c>
    </row>
    <row r="18" spans="2:19" ht="15" customHeight="1" outlineLevel="1">
      <c r="B18" s="734"/>
      <c r="C18" s="734"/>
      <c r="D18" s="201" t="s">
        <v>602</v>
      </c>
      <c r="E18" s="523">
        <v>0</v>
      </c>
      <c r="F18" s="523">
        <v>26</v>
      </c>
      <c r="H18" s="305"/>
      <c r="J18" s="305"/>
      <c r="L18" s="305"/>
      <c r="N18" s="305"/>
      <c r="O18" s="274">
        <f t="shared" si="1"/>
        <v>26</v>
      </c>
      <c r="P18" s="274" t="str">
        <f t="shared" si="0"/>
        <v>Broadband / TV</v>
      </c>
      <c r="Q18" s="282">
        <f t="shared" si="2"/>
        <v>0</v>
      </c>
    </row>
    <row r="19" spans="2:19" ht="15" customHeight="1" outlineLevel="1">
      <c r="B19" s="734"/>
      <c r="C19" s="734"/>
      <c r="D19" s="201" t="s">
        <v>788</v>
      </c>
      <c r="E19" s="523">
        <v>0</v>
      </c>
      <c r="F19" s="523">
        <f>10</f>
        <v>10</v>
      </c>
      <c r="H19" s="305"/>
      <c r="J19" s="305"/>
      <c r="L19" s="305"/>
      <c r="N19" s="305"/>
      <c r="O19" s="274">
        <f t="shared" si="1"/>
        <v>10</v>
      </c>
      <c r="P19" s="274" t="str">
        <f t="shared" si="0"/>
        <v>Matt Phone</v>
      </c>
      <c r="Q19" s="282">
        <f t="shared" si="2"/>
        <v>0</v>
      </c>
    </row>
    <row r="20" spans="2:19" ht="15" customHeight="1" outlineLevel="1">
      <c r="B20" s="734"/>
      <c r="C20" s="734"/>
      <c r="D20" s="201" t="s">
        <v>690</v>
      </c>
      <c r="E20" s="523">
        <v>0</v>
      </c>
      <c r="F20" s="523">
        <f>14.43+46.29+271.59+487.35+58.85+17.09</f>
        <v>895.6</v>
      </c>
      <c r="H20" s="305"/>
      <c r="J20" s="305"/>
      <c r="L20" s="305"/>
      <c r="N20" s="305"/>
      <c r="O20" s="274">
        <f t="shared" si="1"/>
        <v>895.6</v>
      </c>
      <c r="P20" s="274" t="str">
        <f t="shared" si="0"/>
        <v>Cars</v>
      </c>
      <c r="Q20" s="282">
        <f t="shared" si="2"/>
        <v>0</v>
      </c>
    </row>
    <row r="21" spans="2:19" ht="15" customHeight="1" outlineLevel="1">
      <c r="B21" s="734"/>
      <c r="C21" s="734"/>
      <c r="D21" s="201" t="s">
        <v>944</v>
      </c>
      <c r="E21" s="523">
        <v>0</v>
      </c>
      <c r="F21" s="523">
        <v>15</v>
      </c>
      <c r="H21" s="305"/>
      <c r="J21" s="305"/>
      <c r="L21" s="305"/>
      <c r="N21" s="305"/>
      <c r="O21" s="274">
        <f t="shared" si="1"/>
        <v>15</v>
      </c>
      <c r="P21" s="274" t="str">
        <f t="shared" si="0"/>
        <v>Windows</v>
      </c>
      <c r="Q21" s="282">
        <f t="shared" si="2"/>
        <v>0</v>
      </c>
      <c r="R21" s="243"/>
    </row>
    <row r="22" spans="2:19" ht="15" customHeight="1" outlineLevel="1">
      <c r="B22" s="7"/>
      <c r="C22" s="7"/>
      <c r="D22" s="201" t="s">
        <v>920</v>
      </c>
      <c r="E22" s="523">
        <v>0</v>
      </c>
      <c r="F22" s="523">
        <v>190</v>
      </c>
      <c r="H22" s="305"/>
      <c r="J22" s="305"/>
      <c r="L22" s="305"/>
      <c r="N22" s="305"/>
      <c r="O22" s="274">
        <f t="shared" si="1"/>
        <v>190</v>
      </c>
      <c r="P22" s="274" t="str">
        <f t="shared" si="0"/>
        <v>Finance</v>
      </c>
      <c r="Q22" s="282">
        <f t="shared" si="2"/>
        <v>0</v>
      </c>
      <c r="R22" s="243"/>
    </row>
    <row r="23" spans="2:19" ht="15" customHeight="1" outlineLevel="1">
      <c r="B23" s="7"/>
      <c r="C23" s="7"/>
      <c r="D23" s="201" t="s">
        <v>2909</v>
      </c>
      <c r="E23" s="523">
        <v>0</v>
      </c>
      <c r="F23" s="523">
        <v>45.79</v>
      </c>
      <c r="H23" s="305"/>
      <c r="J23" s="305"/>
      <c r="L23" s="305"/>
      <c r="N23" s="305"/>
      <c r="O23" s="274">
        <f t="shared" si="1"/>
        <v>45.79</v>
      </c>
      <c r="P23" s="274" t="str">
        <f t="shared" si="0"/>
        <v>Kris Phone</v>
      </c>
      <c r="Q23" s="282"/>
      <c r="R23" s="243"/>
      <c r="S23" s="11"/>
    </row>
    <row r="24" spans="2:19" ht="15" customHeight="1" outlineLevel="1">
      <c r="B24" s="7"/>
      <c r="C24" s="7"/>
      <c r="D24" s="201" t="s">
        <v>3420</v>
      </c>
      <c r="E24" s="523">
        <v>0</v>
      </c>
      <c r="F24" s="523">
        <f>100.16</f>
        <v>100.16</v>
      </c>
      <c r="H24" s="305"/>
      <c r="J24" s="305"/>
      <c r="L24" s="305"/>
      <c r="N24" s="305"/>
      <c r="O24" s="274">
        <f t="shared" si="1"/>
        <v>100.16</v>
      </c>
      <c r="P24" s="274" t="str">
        <f t="shared" si="0"/>
        <v>Health Insurance</v>
      </c>
      <c r="Q24" s="282"/>
      <c r="R24" s="243"/>
      <c r="S24" s="11"/>
    </row>
    <row r="25" spans="2:19" ht="15" customHeight="1" outlineLevel="1">
      <c r="B25" s="7"/>
      <c r="C25" s="7"/>
      <c r="D25" s="201" t="s">
        <v>781</v>
      </c>
      <c r="E25" s="523">
        <v>0</v>
      </c>
      <c r="F25" s="523">
        <f>10.49+18+4.99+0.99+12+20+1.95+13.95+1</f>
        <v>83.37</v>
      </c>
      <c r="G25" s="11"/>
      <c r="H25" s="305"/>
      <c r="J25" s="305"/>
      <c r="L25" s="305"/>
      <c r="N25" s="305"/>
      <c r="O25" s="274">
        <f t="shared" si="1"/>
        <v>83.37</v>
      </c>
      <c r="P25" s="274" t="str">
        <f t="shared" si="0"/>
        <v>Subscriptions</v>
      </c>
      <c r="Q25" s="282">
        <f t="shared" si="2"/>
        <v>0</v>
      </c>
      <c r="R25" s="243"/>
    </row>
    <row r="26" spans="2:19" ht="15" customHeight="1">
      <c r="B26" s="118"/>
      <c r="C26" s="118"/>
      <c r="D26" s="188"/>
      <c r="H26" s="305"/>
      <c r="J26" s="305"/>
      <c r="L26" s="305"/>
      <c r="N26" s="305"/>
      <c r="O26" s="273"/>
      <c r="P26" s="273"/>
      <c r="Q26" s="282"/>
    </row>
    <row r="27" spans="2:19" ht="15" customHeight="1">
      <c r="B27" s="736" t="str">
        <f>_xlfn.CONCAT("Savings - 20 - ",G48*0.2," / Actual = ",F27," (",ROUND((F27/G48)*100,2),")")</f>
        <v>Savings - 20 - 1087.3 / Actual = 50 (0.92)</v>
      </c>
      <c r="C27" s="736"/>
      <c r="D27" s="736"/>
      <c r="E27" s="736"/>
      <c r="F27" s="703">
        <f>F29</f>
        <v>50</v>
      </c>
      <c r="H27" s="305"/>
      <c r="J27" s="305"/>
      <c r="L27" s="305"/>
      <c r="N27" s="305"/>
      <c r="O27" s="274"/>
      <c r="P27" s="274"/>
      <c r="Q27" s="282"/>
    </row>
    <row r="28" spans="2:19" ht="15" customHeight="1">
      <c r="B28" s="727" t="str">
        <f>IF(ISNUMBER((SEARCH("Over",C$5))),"Operating under budget","Operating over budget")</f>
        <v>Operating over budget</v>
      </c>
      <c r="C28" s="727"/>
      <c r="D28" s="705"/>
      <c r="E28" s="703" t="s">
        <v>1451</v>
      </c>
      <c r="F28" s="703" t="s">
        <v>650</v>
      </c>
      <c r="H28" s="305"/>
      <c r="J28" s="305"/>
      <c r="L28" s="305"/>
      <c r="N28" s="305"/>
      <c r="O28" s="285">
        <f>O29</f>
        <v>50</v>
      </c>
      <c r="P28" s="285" t="s">
        <v>895</v>
      </c>
      <c r="Q28" s="282">
        <f>SUM(Q29:Q29)</f>
        <v>0</v>
      </c>
      <c r="S28" s="243"/>
    </row>
    <row r="29" spans="2:19" ht="15" customHeight="1" outlineLevel="1">
      <c r="B29" s="7" t="str">
        <f>"20% : " &amp; E$48*0.2</f>
        <v>20% : 1087.3</v>
      </c>
      <c r="C29" s="7" t="str">
        <f>"20% : " &amp; E$48*0.2</f>
        <v>20% : 1087.3</v>
      </c>
      <c r="D29" s="300" t="s">
        <v>183</v>
      </c>
      <c r="E29" s="523">
        <v>0</v>
      </c>
      <c r="F29" s="523">
        <f>SUM(F30:F30)</f>
        <v>50</v>
      </c>
      <c r="G29" s="243"/>
      <c r="H29" s="305"/>
      <c r="J29" s="305"/>
      <c r="L29" s="305"/>
      <c r="N29" s="305"/>
      <c r="O29" s="274">
        <f>SUM(O30:O30)</f>
        <v>50</v>
      </c>
      <c r="P29" s="274" t="str">
        <f t="shared" ref="P29:P30" si="3">D29</f>
        <v>Savings</v>
      </c>
      <c r="Q29" s="282">
        <v>0</v>
      </c>
      <c r="R29" s="495"/>
      <c r="S29" s="243"/>
    </row>
    <row r="30" spans="2:19" ht="15" customHeight="1" outlineLevel="1">
      <c r="B30" s="7"/>
      <c r="C30" s="7"/>
      <c r="D30" s="300" t="s">
        <v>3311</v>
      </c>
      <c r="E30" s="523">
        <v>0</v>
      </c>
      <c r="F30" s="523">
        <v>50</v>
      </c>
      <c r="H30" s="305"/>
      <c r="J30" s="305"/>
      <c r="L30" s="305"/>
      <c r="N30" s="315"/>
      <c r="O30" s="274">
        <f>SUM(E30:F30)-SUM(G30:N30)-Q48</f>
        <v>50</v>
      </c>
      <c r="P30" s="274" t="str">
        <f t="shared" si="3"/>
        <v>Monthly Contingency</v>
      </c>
      <c r="Q30" s="282"/>
      <c r="S30" s="353">
        <f>O30+19+50+18</f>
        <v>137</v>
      </c>
    </row>
    <row r="31" spans="2:19" ht="15" customHeight="1">
      <c r="B31" s="118"/>
      <c r="C31" s="118"/>
      <c r="H31" s="305"/>
      <c r="J31" s="305"/>
      <c r="L31" s="305"/>
      <c r="N31" s="305"/>
      <c r="O31" s="273"/>
      <c r="P31" s="273"/>
      <c r="Q31" s="282"/>
      <c r="R31" s="243"/>
    </row>
    <row r="32" spans="2:19" ht="15" customHeight="1">
      <c r="B32" s="727" t="str">
        <f>_xlfn.CONCAT("Wants - 30 - ",G48*0.3," / Actual = ",F32," (",ROUND((F32/G48)*100,2),")")</f>
        <v>Wants - 30 - 1630.95 / Actual = 1925.46 (35.42)</v>
      </c>
      <c r="C32" s="727"/>
      <c r="D32" s="727"/>
      <c r="E32" s="727"/>
      <c r="F32" s="704">
        <f>(E$48-F4-F27-E47)</f>
        <v>1925.46</v>
      </c>
      <c r="H32" s="305"/>
      <c r="J32" s="305"/>
      <c r="L32" s="305"/>
      <c r="N32" s="305"/>
      <c r="O32" s="273"/>
      <c r="P32" s="273"/>
      <c r="Q32" s="282"/>
    </row>
    <row r="33" spans="2:20" ht="15" customHeight="1">
      <c r="B33" s="727" t="str">
        <f>IF(ISNUMBER((SEARCH("Over",B$5))),"Operating under budget","Operating over budget")</f>
        <v>Operating over budget</v>
      </c>
      <c r="C33" s="727"/>
      <c r="D33" s="705"/>
      <c r="E33" s="320" t="s">
        <v>1451</v>
      </c>
      <c r="F33" s="319" t="s">
        <v>650</v>
      </c>
      <c r="H33" s="305"/>
      <c r="J33" s="305"/>
      <c r="L33" s="305"/>
      <c r="N33" s="305"/>
      <c r="O33" s="285">
        <f>0</f>
        <v>0</v>
      </c>
      <c r="P33" s="285" t="s">
        <v>899</v>
      </c>
      <c r="Q33" s="282">
        <f>SUM(Q34:Q34)</f>
        <v>0</v>
      </c>
      <c r="S33" s="11"/>
    </row>
    <row r="34" spans="2:20" ht="18" outlineLevel="1">
      <c r="B34" s="7"/>
      <c r="C34" s="284"/>
      <c r="D34" s="13" t="s">
        <v>922</v>
      </c>
      <c r="E34" s="523">
        <v>0</v>
      </c>
      <c r="F34" s="523">
        <f>F32-F46-F45-F38-F37-F36-F35</f>
        <v>74.310000000000059</v>
      </c>
      <c r="G34" s="11"/>
      <c r="H34" s="305"/>
      <c r="J34" s="305"/>
      <c r="L34" s="305"/>
      <c r="N34" s="305"/>
      <c r="O34" s="274">
        <f>(SUM(E34:F34)-SUM(G34:N34))</f>
        <v>74.310000000000059</v>
      </c>
      <c r="P34" s="274" t="str">
        <f t="shared" ref="P34:P46" si="4">D34</f>
        <v>Matt Fun</v>
      </c>
      <c r="Q34" s="271">
        <f>IF(F34-SUM(G34:N34)&lt;=0,(F34-SUM(G34:N34))*-1,0)</f>
        <v>0</v>
      </c>
      <c r="S34" s="11"/>
      <c r="T34" t="s">
        <v>3444</v>
      </c>
    </row>
    <row r="35" spans="2:20" ht="18" outlineLevel="1">
      <c r="B35" s="7"/>
      <c r="C35" s="284"/>
      <c r="D35" s="13" t="s">
        <v>3531</v>
      </c>
      <c r="E35" s="523">
        <v>0</v>
      </c>
      <c r="F35" s="523">
        <v>155</v>
      </c>
      <c r="G35" s="11"/>
      <c r="H35" s="305"/>
      <c r="J35" s="305"/>
      <c r="L35" s="305"/>
      <c r="N35" s="305"/>
      <c r="O35" s="274"/>
      <c r="P35" s="274"/>
      <c r="Q35" s="271"/>
      <c r="S35" s="11"/>
    </row>
    <row r="36" spans="2:20" ht="18" outlineLevel="1">
      <c r="B36" s="7"/>
      <c r="C36" s="284"/>
      <c r="D36" s="13" t="s">
        <v>3507</v>
      </c>
      <c r="E36" s="523">
        <v>0</v>
      </c>
      <c r="F36" s="523">
        <v>150</v>
      </c>
      <c r="G36" s="11"/>
      <c r="H36" s="305"/>
      <c r="J36" s="305"/>
      <c r="L36" s="305"/>
      <c r="N36" s="305"/>
      <c r="O36" s="274">
        <f>(SUM(E36:F36)-SUM(G36:N36))</f>
        <v>150</v>
      </c>
      <c r="P36" s="274" t="str">
        <f t="shared" si="4"/>
        <v>Brid</v>
      </c>
      <c r="Q36" s="271"/>
      <c r="S36" s="11"/>
    </row>
    <row r="37" spans="2:20" ht="18" outlineLevel="1">
      <c r="B37" s="7"/>
      <c r="C37" s="284"/>
      <c r="D37" s="13" t="s">
        <v>3428</v>
      </c>
      <c r="E37" s="523">
        <v>0</v>
      </c>
      <c r="F37" s="523">
        <f>600</f>
        <v>600</v>
      </c>
      <c r="G37" s="11"/>
      <c r="H37" s="305"/>
      <c r="J37" s="305"/>
      <c r="L37" s="305"/>
      <c r="N37" s="305"/>
      <c r="O37" s="274">
        <f>(SUM(E37:F37)-SUM(G37:N37))</f>
        <v>600</v>
      </c>
      <c r="P37" s="274" t="str">
        <f t="shared" si="4"/>
        <v>Bali 2026</v>
      </c>
      <c r="Q37" s="271"/>
      <c r="S37" s="11"/>
    </row>
    <row r="38" spans="2:20" ht="18" outlineLevel="1">
      <c r="B38" s="7"/>
      <c r="C38" s="284"/>
      <c r="D38" s="13" t="s">
        <v>3310</v>
      </c>
      <c r="E38" s="523">
        <v>0</v>
      </c>
      <c r="F38" s="523">
        <f>836.66+100</f>
        <v>936.66</v>
      </c>
      <c r="H38" s="305"/>
      <c r="J38" s="305"/>
      <c r="L38" s="305"/>
      <c r="N38" s="305"/>
      <c r="O38" s="274">
        <f>(SUM(E38:F38)-SUM(G38:N38))-SUM(O39:O44)</f>
        <v>936.66</v>
      </c>
      <c r="P38" s="274" t="str">
        <f t="shared" si="4"/>
        <v>Sinking Fund</v>
      </c>
      <c r="Q38" s="271"/>
      <c r="S38" s="11" t="s">
        <v>3445</v>
      </c>
      <c r="T38" s="243" t="e">
        <f>#REF!+O34</f>
        <v>#REF!</v>
      </c>
    </row>
    <row r="39" spans="2:20" ht="18" outlineLevel="2">
      <c r="B39" s="7"/>
      <c r="C39" s="284"/>
      <c r="D39" s="13" t="s">
        <v>2370</v>
      </c>
      <c r="E39" s="523">
        <v>0</v>
      </c>
      <c r="F39" s="523">
        <v>0</v>
      </c>
      <c r="G39" s="11"/>
      <c r="H39" s="305"/>
      <c r="J39" s="305"/>
      <c r="L39" s="305"/>
      <c r="N39" s="305"/>
      <c r="O39" s="274">
        <f t="shared" ref="O39:O44" si="5">SUM(G39:N39)</f>
        <v>0</v>
      </c>
      <c r="P39" s="274" t="str">
        <f t="shared" si="4"/>
        <v>Summer Budget</v>
      </c>
      <c r="Q39" s="271"/>
      <c r="R39" s="243"/>
      <c r="S39" s="11"/>
    </row>
    <row r="40" spans="2:20" ht="18" outlineLevel="2">
      <c r="B40" s="7"/>
      <c r="C40" s="284"/>
      <c r="D40" s="13" t="s">
        <v>172</v>
      </c>
      <c r="E40" s="523">
        <v>0</v>
      </c>
      <c r="F40" s="523">
        <v>0</v>
      </c>
      <c r="G40" s="11"/>
      <c r="H40" s="305"/>
      <c r="J40" s="305"/>
      <c r="L40" s="305"/>
      <c r="N40" s="305"/>
      <c r="O40" s="274">
        <f t="shared" si="5"/>
        <v>0</v>
      </c>
      <c r="P40" s="274" t="str">
        <f t="shared" si="4"/>
        <v>Misc</v>
      </c>
      <c r="Q40" s="271"/>
      <c r="R40" s="243"/>
      <c r="S40" s="11"/>
    </row>
    <row r="41" spans="2:20" ht="18" outlineLevel="2">
      <c r="B41" s="7"/>
      <c r="C41" s="284"/>
      <c r="D41" s="13" t="s">
        <v>701</v>
      </c>
      <c r="E41" s="523">
        <v>0</v>
      </c>
      <c r="F41" s="523">
        <v>0</v>
      </c>
      <c r="G41" s="11"/>
      <c r="H41" s="305"/>
      <c r="J41" s="305"/>
      <c r="L41" s="305"/>
      <c r="N41" s="305"/>
      <c r="O41" s="274">
        <f t="shared" si="5"/>
        <v>0</v>
      </c>
      <c r="P41" s="274" t="str">
        <f t="shared" si="4"/>
        <v>Gift</v>
      </c>
      <c r="Q41" s="271"/>
      <c r="R41" s="243"/>
      <c r="S41" s="11"/>
    </row>
    <row r="42" spans="2:20" ht="18" outlineLevel="2">
      <c r="B42" s="7"/>
      <c r="C42" s="284"/>
      <c r="D42" s="13" t="s">
        <v>1808</v>
      </c>
      <c r="E42" s="523">
        <v>0</v>
      </c>
      <c r="F42" s="523">
        <v>0</v>
      </c>
      <c r="G42" s="11"/>
      <c r="H42" s="305"/>
      <c r="J42" s="305"/>
      <c r="L42" s="305"/>
      <c r="N42" s="305"/>
      <c r="O42" s="274">
        <f t="shared" si="5"/>
        <v>0</v>
      </c>
      <c r="P42" s="274" t="str">
        <f t="shared" si="4"/>
        <v>Prime</v>
      </c>
      <c r="Q42" s="271"/>
      <c r="S42" s="11"/>
    </row>
    <row r="43" spans="2:20" ht="18" outlineLevel="2">
      <c r="B43" s="7"/>
      <c r="C43" s="284"/>
      <c r="D43" s="13" t="s">
        <v>3428</v>
      </c>
      <c r="E43" s="523">
        <v>0</v>
      </c>
      <c r="F43" s="523">
        <v>0</v>
      </c>
      <c r="G43" s="11"/>
      <c r="H43" s="305"/>
      <c r="J43" s="305"/>
      <c r="L43" s="305"/>
      <c r="N43" s="305"/>
      <c r="O43" s="274">
        <f t="shared" si="5"/>
        <v>0</v>
      </c>
      <c r="P43" s="274" t="str">
        <f t="shared" si="4"/>
        <v>Bali 2026</v>
      </c>
      <c r="Q43" s="271"/>
      <c r="S43" s="11"/>
    </row>
    <row r="44" spans="2:20" ht="18" outlineLevel="2">
      <c r="B44" s="7"/>
      <c r="C44" s="284"/>
      <c r="D44" s="13" t="s">
        <v>2272</v>
      </c>
      <c r="E44" s="523">
        <v>0</v>
      </c>
      <c r="F44" s="523">
        <v>0</v>
      </c>
      <c r="G44" s="11"/>
      <c r="H44" s="305"/>
      <c r="J44" s="305"/>
      <c r="L44" s="305"/>
      <c r="N44" s="305"/>
      <c r="O44" s="274">
        <f t="shared" si="5"/>
        <v>0</v>
      </c>
      <c r="P44" s="274" t="str">
        <f t="shared" si="4"/>
        <v>Italy</v>
      </c>
      <c r="Q44" s="271"/>
      <c r="S44" s="11"/>
    </row>
    <row r="45" spans="2:20" ht="18" outlineLevel="1">
      <c r="B45" s="7"/>
      <c r="C45" s="284"/>
      <c r="D45" s="13" t="s">
        <v>814</v>
      </c>
      <c r="E45" s="523">
        <v>0</v>
      </c>
      <c r="F45" s="523">
        <v>0</v>
      </c>
      <c r="G45" s="11"/>
      <c r="H45" s="305"/>
      <c r="J45" s="305"/>
      <c r="L45" s="305"/>
      <c r="N45" s="305"/>
      <c r="O45" s="274">
        <f>SUM(E45:F45)-SUM(G45:N45)</f>
        <v>0</v>
      </c>
      <c r="P45" s="274" t="str">
        <f t="shared" si="4"/>
        <v>CC</v>
      </c>
      <c r="Q45" s="282"/>
      <c r="S45" s="11"/>
    </row>
    <row r="46" spans="2:20" ht="18" outlineLevel="1">
      <c r="B46" s="7"/>
      <c r="C46" s="284"/>
      <c r="D46" s="13" t="s">
        <v>152</v>
      </c>
      <c r="E46" s="523">
        <v>0</v>
      </c>
      <c r="F46" s="523">
        <f>9.49</f>
        <v>9.49</v>
      </c>
      <c r="G46" s="11"/>
      <c r="H46" s="305"/>
      <c r="J46" s="305"/>
      <c r="L46" s="305"/>
      <c r="N46" s="305"/>
      <c r="O46" s="274">
        <f>SUM(E46:F46)-SUM(G46:N46)</f>
        <v>9.49</v>
      </c>
      <c r="P46" s="274" t="str">
        <f t="shared" si="4"/>
        <v>Kris</v>
      </c>
      <c r="Q46" s="271">
        <f>IF(F46-SUM(G46:N46)&lt;=0,(F46-SUM(G46:N46))*-1,0)</f>
        <v>0</v>
      </c>
    </row>
    <row r="47" spans="2:20">
      <c r="B47" s="118"/>
      <c r="C47" s="118"/>
      <c r="E47" s="523">
        <f>SUM(E38:E46)+E30</f>
        <v>0</v>
      </c>
      <c r="G47" s="349"/>
      <c r="J47" s="7"/>
      <c r="L47" s="7"/>
      <c r="N47" s="7"/>
      <c r="O47" s="273"/>
      <c r="P47" s="273"/>
      <c r="Q47" s="282"/>
    </row>
    <row r="48" spans="2:20" ht="18">
      <c r="B48" s="728" t="s">
        <v>817</v>
      </c>
      <c r="C48" s="728"/>
      <c r="D48" s="728"/>
      <c r="E48" s="529">
        <f>G48+I48+K48+M48+N48+E47</f>
        <v>5436.5</v>
      </c>
      <c r="F48" s="530"/>
      <c r="G48" s="271">
        <f>(5051.5-695)+(1060+20)</f>
        <v>5436.5</v>
      </c>
      <c r="H48" s="282"/>
      <c r="I48" s="271"/>
      <c r="J48" s="271"/>
      <c r="K48" s="271"/>
      <c r="L48" s="271"/>
      <c r="M48" s="271"/>
      <c r="N48" s="271"/>
      <c r="O48" s="314">
        <f>ROUND(O5+O33+O28+IF(O34&lt;0,0,O34)+O46+O4+O45+O38,2)</f>
        <v>4531.5</v>
      </c>
      <c r="P48" s="274"/>
      <c r="Q48" s="282">
        <f>SUM(Q33,Q28,Q5)</f>
        <v>0</v>
      </c>
    </row>
    <row r="49" spans="2:18" ht="18">
      <c r="B49" s="118"/>
      <c r="C49" s="7"/>
      <c r="D49" s="13" t="s">
        <v>1451</v>
      </c>
      <c r="G49" s="523"/>
      <c r="H49" s="243"/>
      <c r="L49" s="243"/>
      <c r="O49" s="610">
        <f>O48-SUM(O4:O5)-O34-O28-O45+O46</f>
        <v>955.64000000000044</v>
      </c>
      <c r="P49" s="7" t="str">
        <f>IF(O49&lt;0, "DEFICIT", "")</f>
        <v/>
      </c>
    </row>
    <row r="50" spans="2:18" ht="14.4">
      <c r="B50" s="729"/>
      <c r="C50" s="729"/>
      <c r="D50" s="729"/>
      <c r="E50" s="729"/>
      <c r="F50" s="729"/>
      <c r="G50" s="729"/>
      <c r="H50" s="297"/>
      <c r="K50" s="729"/>
      <c r="L50" s="729"/>
      <c r="M50" s="729"/>
      <c r="N50" s="729"/>
      <c r="O50" s="729"/>
      <c r="P50" s="297"/>
    </row>
    <row r="51" spans="2:18" ht="15" customHeight="1">
      <c r="B51" s="726" t="s">
        <v>955</v>
      </c>
      <c r="C51" s="726"/>
      <c r="F51" s="348"/>
      <c r="G51" s="243"/>
      <c r="H51" s="243"/>
      <c r="K51" s="212"/>
      <c r="L51" s="212"/>
      <c r="M51" s="243"/>
      <c r="N51" s="476" t="s">
        <v>3499</v>
      </c>
      <c r="O51" s="316">
        <v>46237</v>
      </c>
      <c r="P51" s="7">
        <f ca="1">DATEDIF(O51,NOW(),"d")</f>
        <v>14</v>
      </c>
      <c r="Q51">
        <v>1.7</v>
      </c>
      <c r="R51" t="s">
        <v>3494</v>
      </c>
    </row>
    <row r="52" spans="2:18">
      <c r="B52" s="523"/>
      <c r="C52" s="38"/>
      <c r="D52" t="s">
        <v>1810</v>
      </c>
      <c r="E52" t="s">
        <v>3413</v>
      </c>
      <c r="F52" s="369" t="s">
        <v>1287</v>
      </c>
      <c r="G52" t="s">
        <v>3419</v>
      </c>
      <c r="K52" s="243"/>
      <c r="L52" s="349"/>
      <c r="N52" s="637" t="s">
        <v>3495</v>
      </c>
      <c r="O52" s="638">
        <v>46237</v>
      </c>
      <c r="P52" s="639">
        <f ca="1">DATEDIF(O52,NOW(),"d")</f>
        <v>14</v>
      </c>
      <c r="Q52" s="514">
        <v>1.05</v>
      </c>
      <c r="R52" s="514" t="s">
        <v>1099</v>
      </c>
    </row>
    <row r="53" spans="2:18" ht="16.2" customHeight="1">
      <c r="D53" t="s">
        <v>887</v>
      </c>
      <c r="E53" s="243">
        <f>'JUL-AUG 26'!H4</f>
        <v>1456.5399999999997</v>
      </c>
      <c r="F53" s="501">
        <f>E53+H4+E64</f>
        <v>1456.5399999999997</v>
      </c>
      <c r="G53" s="77">
        <v>46177</v>
      </c>
      <c r="I53" s="243"/>
      <c r="L53" s="243"/>
      <c r="M53" s="243"/>
      <c r="N53" s="358" t="s">
        <v>3496</v>
      </c>
      <c r="O53" s="638">
        <v>46237</v>
      </c>
      <c r="P53" s="639">
        <f ca="1">DATEDIF(O53,NOW(),"d")</f>
        <v>14</v>
      </c>
      <c r="Q53">
        <v>120</v>
      </c>
      <c r="R53" t="s">
        <v>3497</v>
      </c>
    </row>
    <row r="54" spans="2:18">
      <c r="B54" s="532"/>
      <c r="D54" t="s">
        <v>1374</v>
      </c>
      <c r="E54" s="55">
        <f>'JUL-AUG 26'!J4+F57</f>
        <v>3746.0099999999998</v>
      </c>
      <c r="F54" s="501">
        <f>E54+J4</f>
        <v>3746.0099999999998</v>
      </c>
      <c r="G54" s="77">
        <v>46181</v>
      </c>
      <c r="L54" s="243"/>
      <c r="M54" s="243"/>
      <c r="N54" s="243"/>
      <c r="P54"/>
    </row>
    <row r="55" spans="2:18">
      <c r="D55" s="243"/>
      <c r="E55" s="243"/>
      <c r="F55" s="659"/>
      <c r="G55">
        <v>15</v>
      </c>
      <c r="H55" s="55" t="s">
        <v>3434</v>
      </c>
      <c r="I55" s="708"/>
      <c r="J55" s="243"/>
      <c r="K55" s="243"/>
      <c r="L55" s="349"/>
      <c r="M55" s="243"/>
      <c r="N55" s="243"/>
      <c r="P55"/>
      <c r="Q55" s="243"/>
    </row>
    <row r="56" spans="2:18" ht="15.45" customHeight="1">
      <c r="D56" s="726" t="s">
        <v>1451</v>
      </c>
      <c r="E56" s="726"/>
      <c r="F56" s="726"/>
      <c r="H56" s="55"/>
      <c r="I56" s="515"/>
      <c r="J56" s="243"/>
      <c r="L56" s="243"/>
      <c r="M56" s="656"/>
      <c r="N56" s="243"/>
      <c r="O56" s="343"/>
      <c r="P56" s="292"/>
      <c r="Q56" s="212"/>
    </row>
    <row r="57" spans="2:18" ht="15" customHeight="1">
      <c r="D57" s="331" t="s">
        <v>2812</v>
      </c>
      <c r="E57" s="643"/>
      <c r="F57" s="643">
        <v>2257.56</v>
      </c>
      <c r="G57" s="243"/>
      <c r="H57" s="55"/>
      <c r="I57" s="243"/>
      <c r="J57" s="243"/>
      <c r="K57" s="243"/>
      <c r="M57" s="243"/>
      <c r="N57" s="243"/>
      <c r="O57" s="661"/>
      <c r="P57" s="56"/>
      <c r="Q57" s="38"/>
    </row>
    <row r="58" spans="2:18" ht="15" customHeight="1">
      <c r="D58" s="242" t="s">
        <v>3489</v>
      </c>
      <c r="E58" s="500">
        <f>121</f>
        <v>121</v>
      </c>
      <c r="F58" s="713">
        <f>F57-E58</f>
        <v>2136.56</v>
      </c>
      <c r="H58" s="55"/>
      <c r="J58" s="243"/>
      <c r="K58" s="243"/>
      <c r="L58" s="243"/>
      <c r="M58" s="243"/>
    </row>
    <row r="59" spans="2:18" ht="15" customHeight="1">
      <c r="D59" s="242" t="s">
        <v>3498</v>
      </c>
      <c r="E59" s="500">
        <v>0</v>
      </c>
      <c r="F59" s="722">
        <f>F58-E59</f>
        <v>2136.56</v>
      </c>
      <c r="H59" s="55">
        <f>700/12</f>
        <v>58.333333333333336</v>
      </c>
      <c r="J59" s="243"/>
      <c r="K59" s="243"/>
      <c r="L59" s="243"/>
      <c r="M59" s="243"/>
    </row>
    <row r="60" spans="2:18">
      <c r="D60" s="242" t="s">
        <v>3486</v>
      </c>
      <c r="E60" s="617">
        <f>1150</f>
        <v>1150</v>
      </c>
      <c r="F60" s="713">
        <f>F59-E60</f>
        <v>986.56</v>
      </c>
      <c r="M60" s="243"/>
      <c r="O60"/>
      <c r="P60"/>
    </row>
    <row r="61" spans="2:18">
      <c r="B61" s="212"/>
      <c r="C61" s="212"/>
      <c r="D61" s="242" t="s">
        <v>3487</v>
      </c>
      <c r="E61" s="617">
        <v>200</v>
      </c>
      <c r="F61" s="713">
        <f t="shared" ref="F61" si="6">F60-E61</f>
        <v>786.56</v>
      </c>
      <c r="G61" s="243"/>
      <c r="P61"/>
    </row>
    <row r="62" spans="2:18">
      <c r="C62" s="56"/>
      <c r="F62" s="660"/>
      <c r="G62" s="243"/>
      <c r="L62" s="243"/>
      <c r="O62"/>
      <c r="P62"/>
    </row>
    <row r="63" spans="2:18" ht="15.75" customHeight="1">
      <c r="C63" s="56"/>
      <c r="D63" s="243"/>
      <c r="E63"/>
      <c r="F63" s="243"/>
      <c r="L63" s="243"/>
      <c r="M63" s="243"/>
      <c r="O63"/>
      <c r="P63"/>
    </row>
    <row r="64" spans="2:18">
      <c r="C64" s="56"/>
      <c r="G64" s="426"/>
      <c r="M64" s="243"/>
      <c r="O64"/>
      <c r="P64"/>
    </row>
    <row r="65" spans="2:16">
      <c r="C65" s="56"/>
      <c r="E65" s="243"/>
      <c r="G65" s="426"/>
      <c r="O65"/>
      <c r="P65"/>
    </row>
    <row r="66" spans="2:16">
      <c r="C66" s="56"/>
      <c r="E66" s="666"/>
      <c r="G66" s="426"/>
      <c r="O66"/>
      <c r="P66"/>
    </row>
    <row r="67" spans="2:16">
      <c r="C67" s="56"/>
      <c r="E67" s="666"/>
      <c r="G67" s="426"/>
      <c r="O67"/>
      <c r="P67"/>
    </row>
    <row r="68" spans="2:16">
      <c r="C68" s="56"/>
      <c r="G68" s="426"/>
      <c r="N68" s="288"/>
      <c r="O68"/>
      <c r="P68"/>
    </row>
    <row r="69" spans="2:16">
      <c r="C69" s="56"/>
      <c r="G69" s="726"/>
      <c r="H69" s="726"/>
      <c r="L69" s="243"/>
      <c r="O69"/>
      <c r="P69"/>
    </row>
    <row r="70" spans="2:16">
      <c r="C70" s="56"/>
      <c r="I70" s="11"/>
      <c r="O70"/>
      <c r="P70"/>
    </row>
    <row r="71" spans="2:16">
      <c r="B71" s="212"/>
      <c r="C71" s="294"/>
      <c r="O71"/>
      <c r="P71"/>
    </row>
    <row r="72" spans="2:16" ht="15.45" customHeight="1">
      <c r="C72" s="56"/>
      <c r="F72"/>
      <c r="M72" s="243"/>
      <c r="O72"/>
      <c r="P72"/>
    </row>
    <row r="73" spans="2:16">
      <c r="C73" s="56"/>
      <c r="E73" s="625"/>
      <c r="F73" s="625"/>
      <c r="L73" s="459"/>
      <c r="M73" s="461"/>
      <c r="O73"/>
      <c r="P73"/>
    </row>
    <row r="74" spans="2:16">
      <c r="C74" s="56"/>
      <c r="D74" s="634"/>
      <c r="E74" s="533"/>
      <c r="L74" s="459"/>
      <c r="M74" s="461"/>
      <c r="O74"/>
      <c r="P74"/>
    </row>
    <row r="75" spans="2:16" ht="14.4">
      <c r="C75" s="56"/>
      <c r="E75" s="243"/>
      <c r="F75"/>
      <c r="L75" s="459"/>
      <c r="M75" s="461"/>
      <c r="O75"/>
      <c r="P75"/>
    </row>
    <row r="76" spans="2:16">
      <c r="C76" s="56"/>
      <c r="L76" s="188"/>
      <c r="M76" s="230"/>
      <c r="O76"/>
      <c r="P76"/>
    </row>
    <row r="77" spans="2:16">
      <c r="C77" s="56"/>
      <c r="L77" s="188"/>
      <c r="M77" s="230"/>
      <c r="O77"/>
      <c r="P77"/>
    </row>
    <row r="78" spans="2:16">
      <c r="C78" s="56"/>
      <c r="L78" s="188"/>
      <c r="M78" s="230"/>
      <c r="O78"/>
      <c r="P78"/>
    </row>
    <row r="79" spans="2:16">
      <c r="L79" s="188"/>
      <c r="M79" s="230"/>
      <c r="O79"/>
      <c r="P79"/>
    </row>
    <row r="80" spans="2:16">
      <c r="L80" s="532"/>
      <c r="M80" s="230"/>
      <c r="O80"/>
      <c r="P80"/>
    </row>
    <row r="81" spans="4:16">
      <c r="L81" s="405"/>
      <c r="M81" s="230"/>
      <c r="O81"/>
      <c r="P81"/>
    </row>
    <row r="88" spans="4:16">
      <c r="E88" s="533"/>
      <c r="F88" s="212"/>
    </row>
    <row r="89" spans="4:16" ht="14.4">
      <c r="E89"/>
      <c r="F89"/>
    </row>
    <row r="90" spans="4:16">
      <c r="F90" s="56"/>
    </row>
    <row r="91" spans="4:16">
      <c r="F91" s="56"/>
    </row>
    <row r="92" spans="4:16">
      <c r="F92" s="56"/>
      <c r="G92" s="407"/>
    </row>
    <row r="93" spans="4:16" ht="14.4">
      <c r="D93" s="621"/>
      <c r="E93" s="56"/>
      <c r="F93" s="56"/>
      <c r="G93" s="407"/>
    </row>
    <row r="94" spans="4:16" ht="14.4">
      <c r="E94" s="56"/>
      <c r="F94" s="56"/>
      <c r="G94" s="407"/>
    </row>
    <row r="95" spans="4:16" ht="14.4">
      <c r="E95" s="56"/>
      <c r="F95" s="56"/>
      <c r="G95" s="407"/>
    </row>
    <row r="96" spans="4:16">
      <c r="G96" s="407"/>
      <c r="H96" s="11"/>
      <c r="O96"/>
      <c r="P96"/>
    </row>
    <row r="97" spans="7:16">
      <c r="G97" s="407"/>
      <c r="O97"/>
      <c r="P97"/>
    </row>
    <row r="98" spans="7:16">
      <c r="G98" s="407"/>
      <c r="O98"/>
      <c r="P98"/>
    </row>
    <row r="99" spans="7:16">
      <c r="G99" s="407"/>
    </row>
  </sheetData>
  <mergeCells count="20">
    <mergeCell ref="G69:H69"/>
    <mergeCell ref="D56:F56"/>
    <mergeCell ref="B32:E32"/>
    <mergeCell ref="B33:C33"/>
    <mergeCell ref="B48:D48"/>
    <mergeCell ref="B50:G50"/>
    <mergeCell ref="K50:O50"/>
    <mergeCell ref="B51:C51"/>
    <mergeCell ref="B5:C5"/>
    <mergeCell ref="B6:B21"/>
    <mergeCell ref="C6:C21"/>
    <mergeCell ref="E11:F11"/>
    <mergeCell ref="B27:E27"/>
    <mergeCell ref="B28:C28"/>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28F3-E55D-4D07-B3DE-D68A43E27DB9}">
  <dimension ref="A1:X97"/>
  <sheetViews>
    <sheetView topLeftCell="D34" zoomScaleNormal="90" workbookViewId="0">
      <selection activeCell="F35" sqref="F35"/>
    </sheetView>
  </sheetViews>
  <sheetFormatPr defaultColWidth="10.33203125" defaultRowHeight="15.6" outlineLevelRow="2"/>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 min="16384" max="16384" width="10.33203125" bestFit="1" customWidth="1"/>
  </cols>
  <sheetData>
    <row r="1" spans="1:24" ht="25.5" customHeight="1">
      <c r="A1" t="str">
        <f ca="1">UPPER(TEXT((1&amp;LEFT(B$1,3))-1,"MMM"))&amp;"-"&amp;UPPER(TEXT((1&amp;RIGHT(LEFT(B$1,7),3))-1,"MMM"))&amp;" "&amp;RIGHT(B$1,4)</f>
        <v>AUG-SEP T 26</v>
      </c>
      <c r="B1" s="730" t="str">
        <f ca="1">MID(CELL("filename",B1),FIND("]",CELL("filename",B1))+1,255)</f>
        <v>SEP-OCT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3429</v>
      </c>
      <c r="M2" s="79" t="s">
        <v>801</v>
      </c>
      <c r="N2" s="307" t="s">
        <v>1450</v>
      </c>
      <c r="O2" s="273" t="s">
        <v>10</v>
      </c>
      <c r="P2" s="273"/>
      <c r="Q2" s="283" t="s">
        <v>803</v>
      </c>
    </row>
    <row r="3" spans="1:24">
      <c r="B3" s="118"/>
      <c r="C3" s="118"/>
      <c r="D3" s="290" t="e">
        <f>"£" &amp; ROUND(O5+O33+O28+IF(#REF!&lt;0,0,#REF!)+O44+O4,2) &amp; " / " &amp; "£" &amp; E46</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",G46*0.5," / Actual = ",ROUND(F4,2)," (",ROUND((F4/G46)*100,2),")")</f>
        <v>Expenses - 50 - 2718.25 / Actual = 3461.04 (63.66)</v>
      </c>
      <c r="C4" s="727"/>
      <c r="D4" s="727"/>
      <c r="E4" s="727"/>
      <c r="F4" s="319">
        <f>ROUND(SUM(F6:F25),2)</f>
        <v>3461.04</v>
      </c>
      <c r="G4" s="243"/>
      <c r="H4" s="304"/>
      <c r="I4" s="243"/>
      <c r="J4" s="304"/>
      <c r="K4" s="243"/>
      <c r="L4" s="304"/>
      <c r="M4" s="243"/>
      <c r="N4" s="304"/>
      <c r="O4" s="308">
        <f>IF(H45&lt;&gt;"PAID",H4,0)+IF(J45&lt;&gt;"PAID",J4,0)+IF(L45&lt;&gt;"PAID",L4,0)+IF(N45&lt;&gt;"PAID",N4,0)</f>
        <v>0</v>
      </c>
      <c r="P4" s="309" t="s">
        <v>973</v>
      </c>
      <c r="Q4" s="408"/>
      <c r="R4" s="243"/>
      <c r="S4" s="284"/>
      <c r="T4" s="11"/>
      <c r="U4" s="390"/>
      <c r="V4" s="11"/>
      <c r="W4" s="390"/>
      <c r="X4" s="11"/>
    </row>
    <row r="5" spans="1:24" ht="15" customHeight="1">
      <c r="B5" s="733" t="str">
        <f>IF(D5&gt;E$46*0.5,ROUND(D5-E$46*0.5,2) &amp; " Over",ROUND(E$46*0.5-D5,2) &amp; " Under")</f>
        <v>2718.25 Under</v>
      </c>
      <c r="C5" s="733"/>
      <c r="D5" s="702"/>
      <c r="E5" s="321" t="s">
        <v>1451</v>
      </c>
      <c r="F5" s="321" t="s">
        <v>650</v>
      </c>
      <c r="G5" s="284"/>
      <c r="H5" s="306"/>
      <c r="I5" s="390"/>
      <c r="J5" s="306"/>
      <c r="K5" s="390"/>
      <c r="L5" s="306"/>
      <c r="M5" s="79"/>
      <c r="N5" s="305"/>
      <c r="O5" s="285">
        <f>SUMIF(O6:O25,"&gt;0")</f>
        <v>3461.0399999999995</v>
      </c>
      <c r="P5" s="285" t="s">
        <v>892</v>
      </c>
      <c r="Q5" s="282">
        <f>SUM(Q6:Q25)</f>
        <v>0</v>
      </c>
      <c r="R5" s="243"/>
      <c r="T5" s="243"/>
    </row>
    <row r="6" spans="1:24" ht="15" customHeight="1">
      <c r="B6" s="734" t="str">
        <f>"50%: " &amp; E$46*0.5</f>
        <v>50%: 2718.25</v>
      </c>
      <c r="C6" s="734" t="str">
        <f>ROUND((D5/E$46)*100,2) &amp; "%: " &amp;D5</f>
        <v xml:space="preserve">0%: </v>
      </c>
      <c r="D6" s="13" t="s">
        <v>805</v>
      </c>
      <c r="E6" s="523">
        <v>0</v>
      </c>
      <c r="F6" s="528">
        <f>160</f>
        <v>160</v>
      </c>
      <c r="H6" s="305"/>
      <c r="J6" s="305"/>
      <c r="L6" s="305"/>
      <c r="N6" s="305"/>
      <c r="O6" s="274">
        <f>SUM(E6:F6)-SUM(G6:N6)</f>
        <v>160</v>
      </c>
      <c r="P6" s="274" t="str">
        <f t="shared" ref="P6:P25" si="0">D6</f>
        <v>Car Petrol / commuting</v>
      </c>
      <c r="Q6" s="282">
        <f>IF(O6&lt;0,O6*-1,0)</f>
        <v>0</v>
      </c>
      <c r="R6" s="243"/>
      <c r="S6" s="243"/>
      <c r="T6" s="243"/>
    </row>
    <row r="7" spans="1:24" ht="15" customHeight="1">
      <c r="B7" s="734"/>
      <c r="C7" s="734"/>
      <c r="D7" s="13" t="s">
        <v>169</v>
      </c>
      <c r="E7" s="523">
        <v>0</v>
      </c>
      <c r="F7" s="523">
        <v>400</v>
      </c>
      <c r="H7" s="305"/>
      <c r="J7" s="305"/>
      <c r="L7" s="305"/>
      <c r="N7" s="305"/>
      <c r="O7" s="274">
        <f>SUM(E7:F7)-SUM(G7:N7)</f>
        <v>400</v>
      </c>
      <c r="P7" s="274" t="str">
        <f t="shared" si="0"/>
        <v>Food</v>
      </c>
      <c r="Q7" s="282">
        <f>IF(O7&lt;0,O7*-1,0)</f>
        <v>0</v>
      </c>
      <c r="R7" s="243"/>
    </row>
    <row r="8" spans="1:24" ht="15" customHeight="1">
      <c r="B8" s="734"/>
      <c r="C8" s="734"/>
      <c r="D8" s="13" t="s">
        <v>153</v>
      </c>
      <c r="E8" s="523">
        <v>0</v>
      </c>
      <c r="F8" s="523">
        <f>120</f>
        <v>120</v>
      </c>
      <c r="H8" s="305"/>
      <c r="J8" s="305"/>
      <c r="L8" s="305"/>
      <c r="N8" s="305"/>
      <c r="O8" s="274">
        <f>SUM(E8:F8)-SUM(G8:N8)</f>
        <v>120</v>
      </c>
      <c r="P8" s="274" t="str">
        <f t="shared" si="0"/>
        <v>Luna</v>
      </c>
      <c r="Q8" s="282">
        <f>IF(O8&lt;0,O8*-1,0)</f>
        <v>0</v>
      </c>
      <c r="S8" s="243"/>
    </row>
    <row r="9" spans="1:24" ht="15" customHeight="1">
      <c r="B9" s="734"/>
      <c r="C9" s="734"/>
      <c r="D9" s="13" t="s">
        <v>954</v>
      </c>
      <c r="E9" s="523">
        <v>0</v>
      </c>
      <c r="F9" s="523">
        <v>18</v>
      </c>
      <c r="H9" s="305"/>
      <c r="J9" s="305"/>
      <c r="L9" s="305"/>
      <c r="N9" s="305"/>
      <c r="O9" s="274">
        <f>SUM(E9:F9)-SUM(G9:N9)</f>
        <v>18</v>
      </c>
      <c r="P9" s="274" t="str">
        <f t="shared" si="0"/>
        <v>Haircut</v>
      </c>
      <c r="Q9" s="282"/>
      <c r="S9" s="243"/>
    </row>
    <row r="10" spans="1:24" ht="15" customHeight="1">
      <c r="B10" s="734"/>
      <c r="C10" s="734"/>
      <c r="D10" s="13" t="s">
        <v>3421</v>
      </c>
      <c r="E10" s="523">
        <v>0</v>
      </c>
      <c r="F10" s="523">
        <v>50</v>
      </c>
      <c r="H10" s="305"/>
      <c r="J10" s="305"/>
      <c r="L10" s="305"/>
      <c r="N10" s="305"/>
      <c r="O10" s="274">
        <f>SUM(E10:F10)-SUM(G10:N10)</f>
        <v>50</v>
      </c>
      <c r="P10" s="274" t="str">
        <f t="shared" si="0"/>
        <v>Skin Budget</v>
      </c>
      <c r="Q10" s="282"/>
    </row>
    <row r="11" spans="1:24" ht="15" customHeight="1">
      <c r="B11" s="734"/>
      <c r="C11" s="734"/>
      <c r="D11" s="13" t="s">
        <v>189</v>
      </c>
      <c r="E11" s="735">
        <f>SUM(F12:F25)</f>
        <v>2713.0399999999995</v>
      </c>
      <c r="F11" s="735"/>
      <c r="G11" s="243"/>
      <c r="H11" s="305"/>
      <c r="J11" s="305"/>
      <c r="L11" s="305"/>
      <c r="N11" s="305"/>
      <c r="O11" s="274"/>
      <c r="P11" s="274" t="str">
        <f t="shared" si="0"/>
        <v>Direct debits</v>
      </c>
      <c r="Q11" s="282"/>
      <c r="R11" s="243"/>
      <c r="T11" s="243"/>
    </row>
    <row r="12" spans="1:24" ht="15" customHeight="1" outlineLevel="1">
      <c r="B12" s="734"/>
      <c r="C12" s="734"/>
      <c r="D12" s="201" t="s">
        <v>595</v>
      </c>
      <c r="E12" s="523">
        <v>0</v>
      </c>
      <c r="F12" s="523">
        <v>838</v>
      </c>
      <c r="H12" s="305"/>
      <c r="J12" s="305"/>
      <c r="L12" s="304"/>
      <c r="N12" s="305"/>
      <c r="O12" s="274">
        <f t="shared" ref="O12:O25" si="1">SUM(E12:F12)-SUM(G12:N12)</f>
        <v>838</v>
      </c>
      <c r="P12" s="274" t="str">
        <f t="shared" si="0"/>
        <v>Mortgage</v>
      </c>
      <c r="Q12" s="282">
        <f t="shared" ref="Q12:Q25" si="2">IF(O12&lt;0,O12*-1,0)</f>
        <v>0</v>
      </c>
      <c r="R12" s="243"/>
    </row>
    <row r="13" spans="1:24" ht="15" customHeight="1" outlineLevel="1">
      <c r="B13" s="734"/>
      <c r="C13" s="734"/>
      <c r="D13" s="201" t="s">
        <v>596</v>
      </c>
      <c r="E13" s="523">
        <v>0</v>
      </c>
      <c r="F13" s="523">
        <v>176</v>
      </c>
      <c r="H13" s="305"/>
      <c r="J13" s="305"/>
      <c r="L13" s="305"/>
      <c r="N13" s="305"/>
      <c r="O13" s="274">
        <f t="shared" si="1"/>
        <v>176</v>
      </c>
      <c r="P13" s="274" t="str">
        <f t="shared" si="0"/>
        <v>Council tax</v>
      </c>
      <c r="Q13" s="282">
        <f t="shared" si="2"/>
        <v>0</v>
      </c>
    </row>
    <row r="14" spans="1:24" ht="15" customHeight="1" outlineLevel="1">
      <c r="B14" s="734"/>
      <c r="C14" s="734"/>
      <c r="D14" s="201" t="s">
        <v>1002</v>
      </c>
      <c r="E14" s="523">
        <v>0</v>
      </c>
      <c r="F14" s="523">
        <f>49+114.76</f>
        <v>163.76</v>
      </c>
      <c r="H14" s="305"/>
      <c r="J14" s="305"/>
      <c r="L14" s="305"/>
      <c r="N14" s="305"/>
      <c r="O14" s="274">
        <f t="shared" si="1"/>
        <v>163.76</v>
      </c>
      <c r="P14" s="274" t="str">
        <f t="shared" si="0"/>
        <v>Utilities (G,W,E,HTB)</v>
      </c>
      <c r="Q14" s="282">
        <f t="shared" si="2"/>
        <v>0</v>
      </c>
    </row>
    <row r="15" spans="1:24" ht="15" customHeight="1" outlineLevel="1">
      <c r="B15" s="734"/>
      <c r="C15" s="734"/>
      <c r="D15" s="201" t="s">
        <v>996</v>
      </c>
      <c r="E15" s="523">
        <v>0</v>
      </c>
      <c r="F15" s="523">
        <v>28.52</v>
      </c>
      <c r="H15" s="305"/>
      <c r="J15" s="305"/>
      <c r="L15" s="305"/>
      <c r="N15" s="305"/>
      <c r="O15" s="274">
        <f t="shared" si="1"/>
        <v>28.52</v>
      </c>
      <c r="P15" s="274" t="str">
        <f t="shared" si="0"/>
        <v>Home Insurance</v>
      </c>
      <c r="Q15" s="282">
        <f t="shared" si="2"/>
        <v>0</v>
      </c>
    </row>
    <row r="16" spans="1:24" ht="15" customHeight="1" outlineLevel="1">
      <c r="B16" s="734"/>
      <c r="C16" s="734"/>
      <c r="D16" s="201" t="s">
        <v>1056</v>
      </c>
      <c r="E16" s="523">
        <v>0</v>
      </c>
      <c r="F16" s="523">
        <f>27.97+24.99</f>
        <v>52.959999999999994</v>
      </c>
      <c r="H16" s="305"/>
      <c r="J16" s="305"/>
      <c r="L16" s="305"/>
      <c r="N16" s="305"/>
      <c r="O16" s="274">
        <f t="shared" si="1"/>
        <v>52.959999999999994</v>
      </c>
      <c r="P16" s="274" t="str">
        <f t="shared" si="0"/>
        <v>Pet Health / Insurance</v>
      </c>
      <c r="Q16" s="282">
        <f t="shared" si="2"/>
        <v>0</v>
      </c>
      <c r="U16" s="11"/>
    </row>
    <row r="17" spans="2:19" ht="15" customHeight="1" outlineLevel="1">
      <c r="B17" s="734"/>
      <c r="C17" s="734"/>
      <c r="D17" s="201" t="s">
        <v>1057</v>
      </c>
      <c r="E17" s="523">
        <v>0</v>
      </c>
      <c r="F17" s="523">
        <f>30.8+62.08-5</f>
        <v>87.88</v>
      </c>
      <c r="H17" s="305"/>
      <c r="J17" s="305"/>
      <c r="L17" s="305"/>
      <c r="N17" s="305"/>
      <c r="O17" s="274">
        <f t="shared" si="1"/>
        <v>87.88</v>
      </c>
      <c r="P17" s="274" t="str">
        <f t="shared" si="0"/>
        <v>Life / Income Insurance</v>
      </c>
      <c r="Q17" s="282">
        <f t="shared" si="2"/>
        <v>0</v>
      </c>
    </row>
    <row r="18" spans="2:19" ht="15" customHeight="1" outlineLevel="1">
      <c r="B18" s="734"/>
      <c r="C18" s="734"/>
      <c r="D18" s="201" t="s">
        <v>602</v>
      </c>
      <c r="E18" s="523">
        <v>0</v>
      </c>
      <c r="F18" s="523">
        <v>26</v>
      </c>
      <c r="H18" s="305"/>
      <c r="J18" s="305"/>
      <c r="L18" s="305"/>
      <c r="N18" s="305"/>
      <c r="O18" s="274">
        <f t="shared" si="1"/>
        <v>26</v>
      </c>
      <c r="P18" s="274" t="str">
        <f t="shared" si="0"/>
        <v>Broadband / TV</v>
      </c>
      <c r="Q18" s="282">
        <f t="shared" si="2"/>
        <v>0</v>
      </c>
    </row>
    <row r="19" spans="2:19" ht="15" customHeight="1" outlineLevel="1">
      <c r="B19" s="734"/>
      <c r="C19" s="734"/>
      <c r="D19" s="201" t="s">
        <v>788</v>
      </c>
      <c r="E19" s="523">
        <v>0</v>
      </c>
      <c r="F19" s="523">
        <f>10</f>
        <v>10</v>
      </c>
      <c r="H19" s="305"/>
      <c r="J19" s="305"/>
      <c r="L19" s="305"/>
      <c r="N19" s="305"/>
      <c r="O19" s="274">
        <f t="shared" si="1"/>
        <v>10</v>
      </c>
      <c r="P19" s="274" t="str">
        <f t="shared" si="0"/>
        <v>Matt Phone</v>
      </c>
      <c r="Q19" s="282">
        <f t="shared" si="2"/>
        <v>0</v>
      </c>
    </row>
    <row r="20" spans="2:19" ht="15" customHeight="1" outlineLevel="1">
      <c r="B20" s="734"/>
      <c r="C20" s="734"/>
      <c r="D20" s="201" t="s">
        <v>690</v>
      </c>
      <c r="E20" s="523">
        <v>0</v>
      </c>
      <c r="F20" s="523">
        <f>14.43+46.29+271.59+487.35+58.85+17.09</f>
        <v>895.6</v>
      </c>
      <c r="H20" s="305"/>
      <c r="J20" s="305"/>
      <c r="L20" s="305"/>
      <c r="N20" s="305"/>
      <c r="O20" s="274">
        <f t="shared" si="1"/>
        <v>895.6</v>
      </c>
      <c r="P20" s="274" t="str">
        <f t="shared" si="0"/>
        <v>Cars</v>
      </c>
      <c r="Q20" s="282">
        <f t="shared" si="2"/>
        <v>0</v>
      </c>
    </row>
    <row r="21" spans="2:19" ht="15" customHeight="1" outlineLevel="1">
      <c r="B21" s="734"/>
      <c r="C21" s="734"/>
      <c r="D21" s="201" t="s">
        <v>944</v>
      </c>
      <c r="E21" s="523">
        <v>0</v>
      </c>
      <c r="F21" s="523">
        <v>15</v>
      </c>
      <c r="H21" s="305"/>
      <c r="J21" s="305"/>
      <c r="L21" s="305"/>
      <c r="N21" s="305"/>
      <c r="O21" s="274">
        <f t="shared" si="1"/>
        <v>15</v>
      </c>
      <c r="P21" s="274" t="str">
        <f t="shared" si="0"/>
        <v>Windows</v>
      </c>
      <c r="Q21" s="282">
        <f t="shared" si="2"/>
        <v>0</v>
      </c>
      <c r="R21" s="243"/>
    </row>
    <row r="22" spans="2:19" ht="15" customHeight="1" outlineLevel="1">
      <c r="B22" s="7"/>
      <c r="C22" s="7"/>
      <c r="D22" s="201" t="s">
        <v>920</v>
      </c>
      <c r="E22" s="523">
        <v>0</v>
      </c>
      <c r="F22" s="523">
        <v>190</v>
      </c>
      <c r="H22" s="305"/>
      <c r="J22" s="305"/>
      <c r="L22" s="305"/>
      <c r="N22" s="305"/>
      <c r="O22" s="274">
        <f t="shared" si="1"/>
        <v>190</v>
      </c>
      <c r="P22" s="274" t="str">
        <f t="shared" si="0"/>
        <v>Finance</v>
      </c>
      <c r="Q22" s="282">
        <f t="shared" si="2"/>
        <v>0</v>
      </c>
      <c r="R22" s="243"/>
    </row>
    <row r="23" spans="2:19" ht="15" customHeight="1" outlineLevel="1">
      <c r="B23" s="7"/>
      <c r="C23" s="7"/>
      <c r="D23" s="201" t="s">
        <v>2909</v>
      </c>
      <c r="E23" s="523">
        <v>0</v>
      </c>
      <c r="F23" s="523">
        <v>45.79</v>
      </c>
      <c r="H23" s="305"/>
      <c r="J23" s="305"/>
      <c r="L23" s="305"/>
      <c r="N23" s="305"/>
      <c r="O23" s="274">
        <f t="shared" si="1"/>
        <v>45.79</v>
      </c>
      <c r="P23" s="274" t="str">
        <f t="shared" si="0"/>
        <v>Kris Phone</v>
      </c>
      <c r="Q23" s="282"/>
      <c r="R23" s="243"/>
      <c r="S23" s="11"/>
    </row>
    <row r="24" spans="2:19" ht="15" customHeight="1" outlineLevel="1">
      <c r="B24" s="7"/>
      <c r="C24" s="7"/>
      <c r="D24" s="201" t="s">
        <v>3420</v>
      </c>
      <c r="E24" s="523">
        <v>0</v>
      </c>
      <c r="F24" s="523">
        <f>100.16</f>
        <v>100.16</v>
      </c>
      <c r="H24" s="305"/>
      <c r="J24" s="305"/>
      <c r="L24" s="305"/>
      <c r="N24" s="305"/>
      <c r="O24" s="274">
        <f t="shared" si="1"/>
        <v>100.16</v>
      </c>
      <c r="P24" s="274" t="str">
        <f t="shared" si="0"/>
        <v>Health Insurance</v>
      </c>
      <c r="Q24" s="282"/>
      <c r="R24" s="243"/>
      <c r="S24" s="11"/>
    </row>
    <row r="25" spans="2:19" ht="15" customHeight="1" outlineLevel="1">
      <c r="B25" s="7"/>
      <c r="C25" s="7"/>
      <c r="D25" s="201" t="s">
        <v>781</v>
      </c>
      <c r="E25" s="523">
        <v>0</v>
      </c>
      <c r="F25" s="523">
        <f>10.49+18+4.99+0.99+12+20+1.95+13.95+1</f>
        <v>83.37</v>
      </c>
      <c r="G25" s="11"/>
      <c r="H25" s="305"/>
      <c r="J25" s="305"/>
      <c r="L25" s="305"/>
      <c r="N25" s="305"/>
      <c r="O25" s="274">
        <f t="shared" si="1"/>
        <v>83.37</v>
      </c>
      <c r="P25" s="274" t="str">
        <f t="shared" si="0"/>
        <v>Subscriptions</v>
      </c>
      <c r="Q25" s="282">
        <f t="shared" si="2"/>
        <v>0</v>
      </c>
      <c r="R25" s="243"/>
    </row>
    <row r="26" spans="2:19" ht="15" customHeight="1">
      <c r="B26" s="118"/>
      <c r="C26" s="118"/>
      <c r="D26" s="188"/>
      <c r="H26" s="305"/>
      <c r="J26" s="305"/>
      <c r="L26" s="305"/>
      <c r="N26" s="305"/>
      <c r="O26" s="273"/>
      <c r="P26" s="273"/>
      <c r="Q26" s="282"/>
    </row>
    <row r="27" spans="2:19" ht="15" customHeight="1">
      <c r="B27" s="736" t="str">
        <f>_xlfn.CONCAT("Savings - 20 - ",G46*0.2," / Actual = ",F27," (",ROUND((F27/G46)*100,2),")")</f>
        <v>Savings - 20 - 1087.3 / Actual = 50 (0.92)</v>
      </c>
      <c r="C27" s="736"/>
      <c r="D27" s="736"/>
      <c r="E27" s="736"/>
      <c r="F27" s="703">
        <f>F29</f>
        <v>50</v>
      </c>
      <c r="H27" s="305"/>
      <c r="J27" s="305"/>
      <c r="L27" s="305"/>
      <c r="N27" s="305"/>
      <c r="O27" s="274"/>
      <c r="P27" s="274"/>
      <c r="Q27" s="282"/>
    </row>
    <row r="28" spans="2:19" ht="15" customHeight="1">
      <c r="B28" s="727" t="str">
        <f>IF(ISNUMBER((SEARCH("Over",C$5))),"Operating under budget","Operating over budget")</f>
        <v>Operating over budget</v>
      </c>
      <c r="C28" s="727"/>
      <c r="D28" s="705"/>
      <c r="E28" s="703" t="s">
        <v>1451</v>
      </c>
      <c r="F28" s="703" t="s">
        <v>650</v>
      </c>
      <c r="H28" s="305"/>
      <c r="J28" s="305"/>
      <c r="L28" s="305"/>
      <c r="N28" s="305"/>
      <c r="O28" s="285">
        <f>O29</f>
        <v>50</v>
      </c>
      <c r="P28" s="285" t="s">
        <v>895</v>
      </c>
      <c r="Q28" s="282">
        <f>SUM(Q29:Q29)</f>
        <v>0</v>
      </c>
      <c r="S28" s="243"/>
    </row>
    <row r="29" spans="2:19" ht="15" customHeight="1" outlineLevel="1">
      <c r="B29" s="7" t="str">
        <f>"20% : " &amp; E$46*0.2</f>
        <v>20% : 1087.3</v>
      </c>
      <c r="C29" s="7" t="str">
        <f>"20% : " &amp; E$46*0.2</f>
        <v>20% : 1087.3</v>
      </c>
      <c r="D29" s="300" t="s">
        <v>183</v>
      </c>
      <c r="E29" s="523">
        <v>0</v>
      </c>
      <c r="F29" s="523">
        <f>SUM(F30:F30)</f>
        <v>50</v>
      </c>
      <c r="G29" s="243"/>
      <c r="H29" s="305"/>
      <c r="J29" s="305"/>
      <c r="L29" s="305"/>
      <c r="N29" s="305"/>
      <c r="O29" s="274">
        <f>SUM(O30:O30)</f>
        <v>50</v>
      </c>
      <c r="P29" s="274" t="str">
        <f t="shared" ref="P29:P30" si="3">D29</f>
        <v>Savings</v>
      </c>
      <c r="Q29" s="282">
        <v>0</v>
      </c>
      <c r="R29" s="495"/>
      <c r="S29" s="243"/>
    </row>
    <row r="30" spans="2:19" ht="15" customHeight="1" outlineLevel="1">
      <c r="B30" s="7"/>
      <c r="C30" s="7"/>
      <c r="D30" s="300" t="s">
        <v>3311</v>
      </c>
      <c r="E30" s="523">
        <v>0</v>
      </c>
      <c r="F30" s="523">
        <v>50</v>
      </c>
      <c r="H30" s="305"/>
      <c r="J30" s="305"/>
      <c r="L30" s="305"/>
      <c r="N30" s="315"/>
      <c r="O30" s="274">
        <f>SUM(E30:F30)-SUM(G30:N30)-Q46</f>
        <v>50</v>
      </c>
      <c r="P30" s="274" t="str">
        <f t="shared" si="3"/>
        <v>Monthly Contingency</v>
      </c>
      <c r="Q30" s="282"/>
      <c r="S30" s="353">
        <f>O30+19+50+18</f>
        <v>137</v>
      </c>
    </row>
    <row r="31" spans="2:19" ht="15" customHeight="1">
      <c r="B31" s="118"/>
      <c r="C31" s="118"/>
      <c r="H31" s="305"/>
      <c r="J31" s="305"/>
      <c r="L31" s="305"/>
      <c r="N31" s="305"/>
      <c r="O31" s="273"/>
      <c r="P31" s="273"/>
      <c r="Q31" s="282"/>
      <c r="R31" s="243"/>
    </row>
    <row r="32" spans="2:19" ht="15" customHeight="1">
      <c r="B32" s="727" t="str">
        <f>_xlfn.CONCAT("Wants - 30 - ",G46*0.3," / Actual = ",F32," (",ROUND((F32/G46)*100,2),")")</f>
        <v>Wants - 30 - 1630.95 / Actual = 1925.46 (35.42)</v>
      </c>
      <c r="C32" s="727"/>
      <c r="D32" s="727"/>
      <c r="E32" s="727"/>
      <c r="F32" s="704">
        <f>(E$46-F4-F27-E45)</f>
        <v>1925.46</v>
      </c>
      <c r="H32" s="305"/>
      <c r="J32" s="305"/>
      <c r="L32" s="305"/>
      <c r="N32" s="305"/>
      <c r="O32" s="273"/>
      <c r="P32" s="273"/>
      <c r="Q32" s="282"/>
    </row>
    <row r="33" spans="2:20" ht="15" customHeight="1">
      <c r="B33" s="727" t="str">
        <f>IF(ISNUMBER((SEARCH("Over",B$5))),"Operating under budget","Operating over budget")</f>
        <v>Operating over budget</v>
      </c>
      <c r="C33" s="727"/>
      <c r="D33" s="705"/>
      <c r="E33" s="320" t="s">
        <v>1451</v>
      </c>
      <c r="F33" s="319" t="s">
        <v>650</v>
      </c>
      <c r="H33" s="305"/>
      <c r="J33" s="305"/>
      <c r="L33" s="305"/>
      <c r="N33" s="305"/>
      <c r="O33" s="285">
        <f>0</f>
        <v>0</v>
      </c>
      <c r="P33" s="285" t="s">
        <v>899</v>
      </c>
      <c r="Q33" s="282">
        <f>SUM(Q34:Q34)</f>
        <v>0</v>
      </c>
      <c r="S33" s="11"/>
    </row>
    <row r="34" spans="2:20" ht="18" outlineLevel="1">
      <c r="B34" s="7"/>
      <c r="C34" s="284"/>
      <c r="D34" s="13" t="s">
        <v>922</v>
      </c>
      <c r="E34" s="523">
        <v>0</v>
      </c>
      <c r="F34" s="523">
        <f>F32-F44-F43-F36-F35</f>
        <v>479.30999999999995</v>
      </c>
      <c r="G34" s="11"/>
      <c r="H34" s="305"/>
      <c r="J34" s="305"/>
      <c r="L34" s="305"/>
      <c r="N34" s="305"/>
      <c r="O34" s="274">
        <f>(SUM(E34:F34)-SUM(G34:N34))</f>
        <v>479.30999999999995</v>
      </c>
      <c r="P34" s="274" t="str">
        <f t="shared" ref="P34:P44" si="4">D34</f>
        <v>Matt Fun</v>
      </c>
      <c r="Q34" s="271">
        <f>IF(F34-SUM(G34:N34)&lt;=0,(F34-SUM(G34:N34))*-1,0)</f>
        <v>0</v>
      </c>
      <c r="S34" s="11"/>
      <c r="T34" t="s">
        <v>3444</v>
      </c>
    </row>
    <row r="35" spans="2:20" ht="18" outlineLevel="1">
      <c r="B35" s="7"/>
      <c r="C35" s="284"/>
      <c r="D35" s="13" t="s">
        <v>3505</v>
      </c>
      <c r="E35" s="523">
        <v>0</v>
      </c>
      <c r="F35" s="523">
        <v>600</v>
      </c>
      <c r="G35" s="11"/>
      <c r="H35" s="305"/>
      <c r="J35" s="305"/>
      <c r="L35" s="305"/>
      <c r="N35" s="305"/>
      <c r="O35" s="274">
        <f>(SUM(E35:F35)-SUM(G35:N35))</f>
        <v>600</v>
      </c>
      <c r="P35" s="274" t="str">
        <f t="shared" si="4"/>
        <v>Barbados 2027</v>
      </c>
      <c r="Q35" s="271"/>
      <c r="S35" s="11"/>
    </row>
    <row r="36" spans="2:20" ht="18" outlineLevel="1">
      <c r="B36" s="7"/>
      <c r="C36" s="284"/>
      <c r="D36" s="13" t="s">
        <v>3310</v>
      </c>
      <c r="E36" s="523">
        <v>0</v>
      </c>
      <c r="F36" s="523">
        <v>836.66</v>
      </c>
      <c r="H36" s="305"/>
      <c r="J36" s="305"/>
      <c r="L36" s="305"/>
      <c r="N36" s="305"/>
      <c r="O36" s="274">
        <f>(SUM(E36:F36)-SUM(G36:N36))-SUM(O37:O42)</f>
        <v>836.66</v>
      </c>
      <c r="P36" s="274" t="str">
        <f t="shared" si="4"/>
        <v>Sinking Fund</v>
      </c>
      <c r="Q36" s="271"/>
      <c r="S36" s="11" t="s">
        <v>3445</v>
      </c>
      <c r="T36" s="243" t="e">
        <f>#REF!+O34</f>
        <v>#REF!</v>
      </c>
    </row>
    <row r="37" spans="2:20" ht="18" outlineLevel="2">
      <c r="B37" s="7"/>
      <c r="C37" s="284"/>
      <c r="D37" s="13" t="s">
        <v>2370</v>
      </c>
      <c r="E37" s="523">
        <v>0</v>
      </c>
      <c r="F37" s="523">
        <v>0</v>
      </c>
      <c r="G37" s="11"/>
      <c r="H37" s="305"/>
      <c r="J37" s="305"/>
      <c r="L37" s="305"/>
      <c r="N37" s="305"/>
      <c r="O37" s="274">
        <f t="shared" ref="O37:O42" si="5">SUM(G37:N37)</f>
        <v>0</v>
      </c>
      <c r="P37" s="274" t="str">
        <f t="shared" si="4"/>
        <v>Summer Budget</v>
      </c>
      <c r="Q37" s="271"/>
      <c r="R37" s="243"/>
      <c r="S37" s="11"/>
    </row>
    <row r="38" spans="2:20" ht="18" outlineLevel="2">
      <c r="B38" s="7"/>
      <c r="C38" s="284"/>
      <c r="D38" s="13" t="s">
        <v>172</v>
      </c>
      <c r="E38" s="523">
        <v>0</v>
      </c>
      <c r="F38" s="523">
        <v>0</v>
      </c>
      <c r="G38" s="11"/>
      <c r="H38" s="305"/>
      <c r="J38" s="305"/>
      <c r="L38" s="305"/>
      <c r="N38" s="305"/>
      <c r="O38" s="274">
        <f t="shared" si="5"/>
        <v>0</v>
      </c>
      <c r="P38" s="274" t="str">
        <f t="shared" si="4"/>
        <v>Misc</v>
      </c>
      <c r="Q38" s="271"/>
      <c r="R38" s="243"/>
      <c r="S38" s="11"/>
    </row>
    <row r="39" spans="2:20" ht="18" outlineLevel="2">
      <c r="B39" s="7"/>
      <c r="C39" s="284"/>
      <c r="D39" s="13" t="s">
        <v>701</v>
      </c>
      <c r="E39" s="523">
        <v>0</v>
      </c>
      <c r="F39" s="523">
        <v>0</v>
      </c>
      <c r="G39" s="11"/>
      <c r="H39" s="305"/>
      <c r="J39" s="305"/>
      <c r="L39" s="305"/>
      <c r="N39" s="305"/>
      <c r="O39" s="274">
        <f t="shared" si="5"/>
        <v>0</v>
      </c>
      <c r="P39" s="274" t="str">
        <f t="shared" si="4"/>
        <v>Gift</v>
      </c>
      <c r="Q39" s="271"/>
      <c r="R39" s="243"/>
      <c r="S39" s="11"/>
    </row>
    <row r="40" spans="2:20" ht="18" outlineLevel="2">
      <c r="B40" s="7"/>
      <c r="C40" s="284"/>
      <c r="D40" s="13" t="s">
        <v>1808</v>
      </c>
      <c r="E40" s="523">
        <v>0</v>
      </c>
      <c r="F40" s="523">
        <v>0</v>
      </c>
      <c r="G40" s="11"/>
      <c r="H40" s="305"/>
      <c r="J40" s="305"/>
      <c r="L40" s="305"/>
      <c r="N40" s="305"/>
      <c r="O40" s="274">
        <f t="shared" si="5"/>
        <v>0</v>
      </c>
      <c r="P40" s="274" t="str">
        <f t="shared" si="4"/>
        <v>Prime</v>
      </c>
      <c r="Q40" s="271"/>
      <c r="S40" s="11"/>
    </row>
    <row r="41" spans="2:20" ht="18" outlineLevel="2">
      <c r="B41" s="7"/>
      <c r="C41" s="284"/>
      <c r="D41" s="13" t="s">
        <v>3428</v>
      </c>
      <c r="E41" s="523">
        <v>0</v>
      </c>
      <c r="F41" s="523">
        <v>0</v>
      </c>
      <c r="G41" s="11"/>
      <c r="H41" s="305"/>
      <c r="J41" s="305"/>
      <c r="L41" s="305"/>
      <c r="N41" s="305"/>
      <c r="O41" s="274">
        <f t="shared" si="5"/>
        <v>0</v>
      </c>
      <c r="P41" s="274" t="str">
        <f t="shared" si="4"/>
        <v>Bali 2026</v>
      </c>
      <c r="Q41" s="271"/>
      <c r="S41" s="11"/>
    </row>
    <row r="42" spans="2:20" ht="18" outlineLevel="2">
      <c r="B42" s="7"/>
      <c r="C42" s="284"/>
      <c r="D42" s="13" t="s">
        <v>2272</v>
      </c>
      <c r="E42" s="523">
        <v>0</v>
      </c>
      <c r="F42" s="523">
        <v>0</v>
      </c>
      <c r="G42" s="11"/>
      <c r="H42" s="305"/>
      <c r="J42" s="305"/>
      <c r="L42" s="305"/>
      <c r="N42" s="305"/>
      <c r="O42" s="274">
        <f t="shared" si="5"/>
        <v>0</v>
      </c>
      <c r="P42" s="274" t="str">
        <f t="shared" si="4"/>
        <v>Italy</v>
      </c>
      <c r="Q42" s="271"/>
      <c r="S42" s="11"/>
    </row>
    <row r="43" spans="2:20" ht="18" outlineLevel="1">
      <c r="B43" s="7"/>
      <c r="C43" s="284"/>
      <c r="D43" s="13" t="s">
        <v>814</v>
      </c>
      <c r="E43" s="523">
        <v>0</v>
      </c>
      <c r="F43" s="523">
        <v>0</v>
      </c>
      <c r="G43" s="11"/>
      <c r="H43" s="305"/>
      <c r="J43" s="305"/>
      <c r="L43" s="305"/>
      <c r="N43" s="305"/>
      <c r="O43" s="274">
        <f>SUM(E43:F43)-SUM(G43:N43)</f>
        <v>0</v>
      </c>
      <c r="P43" s="274" t="str">
        <f t="shared" si="4"/>
        <v>CC</v>
      </c>
      <c r="Q43" s="282"/>
      <c r="S43" s="11"/>
    </row>
    <row r="44" spans="2:20" ht="18" outlineLevel="1">
      <c r="B44" s="7"/>
      <c r="C44" s="284"/>
      <c r="D44" s="13" t="s">
        <v>152</v>
      </c>
      <c r="E44" s="523">
        <v>0</v>
      </c>
      <c r="F44" s="523">
        <f>9.49</f>
        <v>9.49</v>
      </c>
      <c r="G44" s="11"/>
      <c r="H44" s="305"/>
      <c r="J44" s="305"/>
      <c r="L44" s="305"/>
      <c r="N44" s="305"/>
      <c r="O44" s="274">
        <f>SUM(E44:F44)-SUM(G44:N44)</f>
        <v>9.49</v>
      </c>
      <c r="P44" s="274" t="str">
        <f t="shared" si="4"/>
        <v>Kris</v>
      </c>
      <c r="Q44" s="271">
        <f>IF(F44-SUM(G44:N44)&lt;=0,(F44-SUM(G44:N44))*-1,0)</f>
        <v>0</v>
      </c>
    </row>
    <row r="45" spans="2:20">
      <c r="B45" s="118"/>
      <c r="C45" s="118"/>
      <c r="E45" s="523">
        <f>SUM(E36:E44)+E30</f>
        <v>0</v>
      </c>
      <c r="G45" s="349"/>
      <c r="J45" s="7"/>
      <c r="L45" s="7"/>
      <c r="N45" s="7"/>
      <c r="O45" s="273"/>
      <c r="P45" s="273"/>
      <c r="Q45" s="282"/>
    </row>
    <row r="46" spans="2:20" ht="18">
      <c r="B46" s="728" t="s">
        <v>817</v>
      </c>
      <c r="C46" s="728"/>
      <c r="D46" s="728"/>
      <c r="E46" s="529">
        <f>G46+I46+K46+M46+N46+E45</f>
        <v>5436.5</v>
      </c>
      <c r="F46" s="530"/>
      <c r="G46" s="271">
        <f>(5051.5-695)+(1060+20)</f>
        <v>5436.5</v>
      </c>
      <c r="H46" s="282"/>
      <c r="I46" s="271"/>
      <c r="J46" s="271"/>
      <c r="K46" s="271"/>
      <c r="L46" s="271"/>
      <c r="M46" s="271"/>
      <c r="N46" s="271"/>
      <c r="O46" s="314">
        <f>ROUND(O5+O33+O28+IF(O34&lt;0,0,O34)+O44+O4+O43+O36,2)</f>
        <v>4836.5</v>
      </c>
      <c r="P46" s="274"/>
      <c r="Q46" s="282">
        <f>SUM(Q33,Q28,Q5)</f>
        <v>0</v>
      </c>
    </row>
    <row r="47" spans="2:20" ht="18">
      <c r="B47" s="118"/>
      <c r="C47" s="7"/>
      <c r="D47" s="13" t="s">
        <v>1451</v>
      </c>
      <c r="G47" s="523"/>
      <c r="H47" s="243"/>
      <c r="L47" s="243"/>
      <c r="O47" s="610">
        <f>O46-SUM(O4:O5)-O34-O28-O43+O44</f>
        <v>855.64000000000055</v>
      </c>
      <c r="P47" s="7" t="str">
        <f>IF(O47&lt;0, "DEFICIT", "")</f>
        <v/>
      </c>
    </row>
    <row r="48" spans="2:20" ht="14.4">
      <c r="B48" s="729"/>
      <c r="C48" s="729"/>
      <c r="D48" s="729"/>
      <c r="E48" s="729"/>
      <c r="F48" s="729"/>
      <c r="G48" s="729"/>
      <c r="H48" s="297"/>
      <c r="K48" s="729"/>
      <c r="L48" s="729"/>
      <c r="M48" s="729"/>
      <c r="N48" s="729"/>
      <c r="O48" s="729"/>
      <c r="P48" s="297"/>
    </row>
    <row r="49" spans="2:18" ht="15" customHeight="1">
      <c r="B49" s="726" t="s">
        <v>955</v>
      </c>
      <c r="C49" s="726"/>
      <c r="F49" s="348"/>
      <c r="G49" s="243"/>
      <c r="H49" s="243"/>
      <c r="K49" s="212"/>
      <c r="L49" s="212"/>
      <c r="M49" s="243"/>
      <c r="N49" s="476" t="s">
        <v>3499</v>
      </c>
      <c r="O49" s="316">
        <v>46237</v>
      </c>
      <c r="P49" s="7">
        <f ca="1">DATEDIF(O49,NOW(),"d")</f>
        <v>14</v>
      </c>
      <c r="Q49">
        <v>1.7</v>
      </c>
      <c r="R49" t="s">
        <v>3494</v>
      </c>
    </row>
    <row r="50" spans="2:18">
      <c r="B50" s="523"/>
      <c r="C50" s="38"/>
      <c r="D50" t="s">
        <v>1810</v>
      </c>
      <c r="E50" t="s">
        <v>3413</v>
      </c>
      <c r="F50" s="369" t="s">
        <v>1287</v>
      </c>
      <c r="G50" t="s">
        <v>3419</v>
      </c>
      <c r="K50" s="243"/>
      <c r="L50" s="349"/>
      <c r="N50" s="637" t="s">
        <v>3495</v>
      </c>
      <c r="O50" s="638">
        <v>46237</v>
      </c>
      <c r="P50" s="639">
        <f ca="1">DATEDIF(O50,NOW(),"d")</f>
        <v>14</v>
      </c>
      <c r="Q50" s="514">
        <v>1.05</v>
      </c>
      <c r="R50" s="514" t="s">
        <v>1099</v>
      </c>
    </row>
    <row r="51" spans="2:18" ht="16.2" customHeight="1">
      <c r="D51" t="s">
        <v>887</v>
      </c>
      <c r="E51" s="243">
        <f>'JUL-AUG 26'!H4</f>
        <v>1456.5399999999997</v>
      </c>
      <c r="F51" s="501">
        <f>E51+H4+E62</f>
        <v>1456.5399999999997</v>
      </c>
      <c r="G51" s="77">
        <v>46177</v>
      </c>
      <c r="I51" s="243"/>
      <c r="L51" s="243"/>
      <c r="M51" s="243"/>
      <c r="N51" s="358" t="s">
        <v>3496</v>
      </c>
      <c r="O51" s="638">
        <v>46237</v>
      </c>
      <c r="P51" s="639">
        <f ca="1">DATEDIF(O51,NOW(),"d")</f>
        <v>14</v>
      </c>
      <c r="Q51">
        <v>120</v>
      </c>
      <c r="R51" t="s">
        <v>3497</v>
      </c>
    </row>
    <row r="52" spans="2:18">
      <c r="B52" s="532"/>
      <c r="D52" t="s">
        <v>1374</v>
      </c>
      <c r="E52" s="55">
        <f>'JUL-AUG 26'!J4+F55</f>
        <v>3746.0099999999998</v>
      </c>
      <c r="F52" s="501">
        <f>E52+J4</f>
        <v>3746.0099999999998</v>
      </c>
      <c r="G52" s="77">
        <v>46181</v>
      </c>
      <c r="L52" s="243"/>
      <c r="M52" s="243"/>
      <c r="N52" s="243"/>
      <c r="P52"/>
    </row>
    <row r="53" spans="2:18">
      <c r="D53" s="243"/>
      <c r="E53" s="243"/>
      <c r="F53" s="659"/>
      <c r="G53">
        <v>15</v>
      </c>
      <c r="H53" s="55" t="s">
        <v>3434</v>
      </c>
      <c r="I53" s="708"/>
      <c r="J53" s="243"/>
      <c r="K53" s="243"/>
      <c r="L53" s="349"/>
      <c r="M53" s="243"/>
      <c r="N53" s="243"/>
      <c r="P53"/>
      <c r="Q53" s="243"/>
    </row>
    <row r="54" spans="2:18" ht="15.45" customHeight="1">
      <c r="D54" s="726" t="s">
        <v>1451</v>
      </c>
      <c r="E54" s="726"/>
      <c r="F54" s="726"/>
      <c r="H54" s="55"/>
      <c r="I54" s="515"/>
      <c r="J54" s="243"/>
      <c r="L54" s="243"/>
      <c r="M54" s="656"/>
      <c r="N54" s="243"/>
      <c r="O54" s="343"/>
      <c r="P54" s="292"/>
      <c r="Q54" s="212"/>
    </row>
    <row r="55" spans="2:18" ht="15" customHeight="1">
      <c r="D55" s="331" t="s">
        <v>2812</v>
      </c>
      <c r="E55" s="643"/>
      <c r="F55" s="643">
        <v>2257.56</v>
      </c>
      <c r="G55" s="243"/>
      <c r="H55" s="55"/>
      <c r="I55" s="243"/>
      <c r="J55" s="243"/>
      <c r="K55" s="243"/>
      <c r="M55" s="243"/>
      <c r="N55" s="243"/>
      <c r="O55" s="661"/>
      <c r="P55" s="56"/>
      <c r="Q55" s="38"/>
    </row>
    <row r="56" spans="2:18" ht="15" customHeight="1">
      <c r="D56" s="242" t="s">
        <v>3489</v>
      </c>
      <c r="E56" s="500">
        <f>121</f>
        <v>121</v>
      </c>
      <c r="F56" s="713">
        <f>F55-E56</f>
        <v>2136.56</v>
      </c>
      <c r="H56" s="55"/>
      <c r="J56" s="243"/>
      <c r="K56" s="243"/>
      <c r="L56" s="243"/>
      <c r="M56" s="243"/>
    </row>
    <row r="57" spans="2:18" ht="15" customHeight="1">
      <c r="D57" s="242" t="s">
        <v>3498</v>
      </c>
      <c r="E57" s="500">
        <v>0</v>
      </c>
      <c r="F57" s="722">
        <f>F56-E57</f>
        <v>2136.56</v>
      </c>
      <c r="H57" s="55"/>
      <c r="J57" s="243"/>
      <c r="K57" s="243"/>
      <c r="L57" s="243"/>
      <c r="M57" s="243"/>
    </row>
    <row r="58" spans="2:18">
      <c r="D58" s="242" t="s">
        <v>3486</v>
      </c>
      <c r="E58" s="617">
        <f>1150</f>
        <v>1150</v>
      </c>
      <c r="F58" s="713">
        <f>F57-E58</f>
        <v>986.56</v>
      </c>
      <c r="M58" s="243"/>
      <c r="O58"/>
      <c r="P58"/>
    </row>
    <row r="59" spans="2:18">
      <c r="B59" s="212"/>
      <c r="C59" s="212"/>
      <c r="D59" s="242" t="s">
        <v>3487</v>
      </c>
      <c r="E59" s="617">
        <v>200</v>
      </c>
      <c r="F59" s="713">
        <f t="shared" ref="F59" si="6">F58-E59</f>
        <v>786.56</v>
      </c>
      <c r="G59" s="243"/>
      <c r="P59"/>
    </row>
    <row r="60" spans="2:18">
      <c r="C60" s="56"/>
      <c r="F60" s="660"/>
      <c r="G60" s="243"/>
      <c r="L60" s="243"/>
      <c r="O60"/>
      <c r="P60"/>
    </row>
    <row r="61" spans="2:18" ht="15.75" customHeight="1">
      <c r="C61" s="56"/>
      <c r="D61" s="243"/>
      <c r="E61"/>
      <c r="F61" s="243"/>
      <c r="L61" s="243"/>
      <c r="M61" s="243"/>
      <c r="O61"/>
      <c r="P61"/>
    </row>
    <row r="62" spans="2:18">
      <c r="C62" s="56"/>
      <c r="G62" s="426"/>
      <c r="M62" s="243"/>
      <c r="O62"/>
      <c r="P62"/>
    </row>
    <row r="63" spans="2:18">
      <c r="C63" s="56"/>
      <c r="E63" s="243"/>
      <c r="G63" s="426"/>
      <c r="O63"/>
      <c r="P63"/>
    </row>
    <row r="64" spans="2:18">
      <c r="C64" s="56"/>
      <c r="E64" s="666"/>
      <c r="G64" s="426"/>
      <c r="O64"/>
      <c r="P64"/>
    </row>
    <row r="65" spans="2:16">
      <c r="C65" s="56"/>
      <c r="E65" s="666"/>
      <c r="G65" s="426"/>
      <c r="O65"/>
      <c r="P65"/>
    </row>
    <row r="66" spans="2:16">
      <c r="C66" s="56"/>
      <c r="G66" s="426"/>
      <c r="N66" s="288"/>
      <c r="O66"/>
      <c r="P66"/>
    </row>
    <row r="67" spans="2:16">
      <c r="C67" s="56"/>
      <c r="G67" s="726"/>
      <c r="H67" s="726"/>
      <c r="L67" s="243"/>
      <c r="O67"/>
      <c r="P67"/>
    </row>
    <row r="68" spans="2:16">
      <c r="C68" s="56"/>
      <c r="I68" s="11"/>
      <c r="O68"/>
      <c r="P68"/>
    </row>
    <row r="69" spans="2:16">
      <c r="B69" s="212"/>
      <c r="C69" s="294"/>
      <c r="O69"/>
      <c r="P69"/>
    </row>
    <row r="70" spans="2:16" ht="15.45" customHeight="1">
      <c r="C70" s="56"/>
      <c r="F70"/>
      <c r="M70" s="243"/>
      <c r="O70"/>
      <c r="P70"/>
    </row>
    <row r="71" spans="2:16">
      <c r="C71" s="56"/>
      <c r="E71" s="625"/>
      <c r="F71" s="625"/>
      <c r="L71" s="459"/>
      <c r="M71" s="461"/>
      <c r="O71"/>
      <c r="P71"/>
    </row>
    <row r="72" spans="2:16">
      <c r="C72" s="56"/>
      <c r="D72" s="634"/>
      <c r="E72" s="533"/>
      <c r="L72" s="459"/>
      <c r="M72" s="461"/>
      <c r="O72"/>
      <c r="P72"/>
    </row>
    <row r="73" spans="2:16" ht="14.4">
      <c r="C73" s="56"/>
      <c r="E73" s="243"/>
      <c r="F73"/>
      <c r="L73" s="459"/>
      <c r="M73" s="461"/>
      <c r="O73"/>
      <c r="P73"/>
    </row>
    <row r="74" spans="2:16">
      <c r="C74" s="56"/>
      <c r="L74" s="188"/>
      <c r="M74" s="230"/>
      <c r="O74"/>
      <c r="P74"/>
    </row>
    <row r="75" spans="2:16">
      <c r="C75" s="56"/>
      <c r="L75" s="188"/>
      <c r="M75" s="230"/>
      <c r="O75"/>
      <c r="P75"/>
    </row>
    <row r="76" spans="2:16">
      <c r="C76" s="56"/>
      <c r="L76" s="188"/>
      <c r="M76" s="230"/>
      <c r="O76"/>
      <c r="P76"/>
    </row>
    <row r="77" spans="2:16">
      <c r="L77" s="188"/>
      <c r="M77" s="230"/>
      <c r="O77"/>
      <c r="P77"/>
    </row>
    <row r="78" spans="2:16">
      <c r="L78" s="532"/>
      <c r="M78" s="230"/>
      <c r="O78"/>
      <c r="P78"/>
    </row>
    <row r="79" spans="2:16">
      <c r="L79" s="405"/>
      <c r="M79" s="230"/>
      <c r="O79"/>
      <c r="P79"/>
    </row>
    <row r="86" spans="4:16">
      <c r="E86" s="533"/>
      <c r="F86" s="212"/>
    </row>
    <row r="87" spans="4:16" ht="14.4">
      <c r="E87"/>
      <c r="F87"/>
    </row>
    <row r="88" spans="4:16">
      <c r="F88" s="56"/>
    </row>
    <row r="89" spans="4:16">
      <c r="F89" s="56"/>
    </row>
    <row r="90" spans="4:16">
      <c r="F90" s="56"/>
      <c r="G90" s="407"/>
    </row>
    <row r="91" spans="4:16" ht="14.4">
      <c r="D91" s="621"/>
      <c r="E91" s="56"/>
      <c r="F91" s="56"/>
      <c r="G91" s="407"/>
    </row>
    <row r="92" spans="4:16" ht="14.4">
      <c r="E92" s="56"/>
      <c r="F92" s="56"/>
      <c r="G92" s="407"/>
    </row>
    <row r="93" spans="4:16" ht="14.4">
      <c r="E93" s="56"/>
      <c r="F93" s="56"/>
      <c r="G93" s="407"/>
    </row>
    <row r="94" spans="4:16">
      <c r="G94" s="407"/>
      <c r="H94" s="11"/>
      <c r="O94"/>
      <c r="P94"/>
    </row>
    <row r="95" spans="4:16">
      <c r="G95" s="407"/>
      <c r="O95"/>
      <c r="P95"/>
    </row>
    <row r="96" spans="4:16">
      <c r="G96" s="407"/>
      <c r="O96"/>
      <c r="P96"/>
    </row>
    <row r="97" spans="7:7">
      <c r="G97" s="407"/>
    </row>
  </sheetData>
  <mergeCells count="20">
    <mergeCell ref="D54:F54"/>
    <mergeCell ref="G67:H67"/>
    <mergeCell ref="B32:E32"/>
    <mergeCell ref="B33:C33"/>
    <mergeCell ref="B46:D46"/>
    <mergeCell ref="B48:G48"/>
    <mergeCell ref="K48:O48"/>
    <mergeCell ref="B49:C49"/>
    <mergeCell ref="B5:C5"/>
    <mergeCell ref="B6:B21"/>
    <mergeCell ref="C6:C21"/>
    <mergeCell ref="E11:F11"/>
    <mergeCell ref="B27:E27"/>
    <mergeCell ref="B28:C28"/>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4C12-1933-0C4E-BD45-352AF6D630E1}">
  <dimension ref="A1:X97"/>
  <sheetViews>
    <sheetView topLeftCell="D22" zoomScaleNormal="90" workbookViewId="0">
      <selection activeCell="F35" sqref="F35"/>
    </sheetView>
  </sheetViews>
  <sheetFormatPr defaultColWidth="10.33203125" defaultRowHeight="15.6" outlineLevelRow="2"/>
  <cols>
    <col min="1" max="2" width="15.44140625" hidden="1" customWidth="1"/>
    <col min="3" max="3" width="21.109375" hidden="1" customWidth="1"/>
    <col min="4" max="4" width="36.44140625" customWidth="1"/>
    <col min="5" max="5" width="33.33203125" style="523" customWidth="1"/>
    <col min="6" max="6" width="23" style="523" customWidth="1"/>
    <col min="7" max="7" width="27" bestFit="1" customWidth="1"/>
    <col min="8" max="13" width="22.44140625" customWidth="1"/>
    <col min="14" max="14" width="21.6640625" customWidth="1"/>
    <col min="15" max="16" width="22.44140625" style="7" customWidth="1"/>
    <col min="17" max="17" width="24.44140625" customWidth="1"/>
    <col min="18" max="18" width="12.6640625" customWidth="1"/>
    <col min="19" max="19" width="22.33203125" bestFit="1" customWidth="1"/>
    <col min="20" max="20" width="10.33203125" bestFit="1" customWidth="1"/>
    <col min="21" max="21" width="16.109375" customWidth="1"/>
    <col min="16384" max="16384" width="10.33203125" bestFit="1" customWidth="1"/>
  </cols>
  <sheetData>
    <row r="1" spans="1:24" ht="25.5" customHeight="1">
      <c r="A1" t="str">
        <f ca="1">UPPER(TEXT((1&amp;LEFT(B$1,3))-1,"MMM"))&amp;"-"&amp;UPPER(TEXT((1&amp;RIGHT(LEFT(B$1,7),3))-1,"MMM"))&amp;" "&amp;RIGHT(B$1,4)</f>
        <v>SEP-OCT V 26</v>
      </c>
      <c r="B1" s="730" t="str">
        <f ca="1">MID(CELL("filename",B1),FIND("]",CELL("filename",B1))+1,255)</f>
        <v>OCT-NOV 26</v>
      </c>
      <c r="C1" s="731"/>
      <c r="D1" s="731"/>
      <c r="E1" s="731"/>
      <c r="F1" s="731"/>
      <c r="G1" s="731"/>
      <c r="H1" s="731"/>
      <c r="I1" s="731"/>
      <c r="J1" s="731"/>
      <c r="K1" s="731"/>
      <c r="L1" s="731"/>
      <c r="M1" s="731"/>
      <c r="N1" s="731"/>
      <c r="O1" s="731"/>
      <c r="P1" s="298"/>
      <c r="Q1" s="281"/>
      <c r="R1" s="272"/>
      <c r="S1" s="272"/>
      <c r="T1" s="272"/>
    </row>
    <row r="2" spans="1:24">
      <c r="B2" s="118"/>
      <c r="C2" s="118"/>
      <c r="G2" s="79" t="s">
        <v>798</v>
      </c>
      <c r="H2" s="307" t="s">
        <v>1448</v>
      </c>
      <c r="I2" s="79" t="s">
        <v>799</v>
      </c>
      <c r="J2" s="307" t="s">
        <v>1449</v>
      </c>
      <c r="K2" s="79" t="s">
        <v>800</v>
      </c>
      <c r="L2" s="307" t="s">
        <v>3429</v>
      </c>
      <c r="M2" s="79" t="s">
        <v>801</v>
      </c>
      <c r="N2" s="307" t="s">
        <v>1450</v>
      </c>
      <c r="O2" s="273" t="s">
        <v>10</v>
      </c>
      <c r="P2" s="273"/>
      <c r="Q2" s="283" t="s">
        <v>803</v>
      </c>
    </row>
    <row r="3" spans="1:24">
      <c r="B3" s="118"/>
      <c r="C3" s="118"/>
      <c r="D3" s="290" t="e">
        <f>"£" &amp; ROUND(O5+O33+O28+IF(#REF!&lt;0,0,#REF!)+O44+O4,2) &amp; " / " &amp; "£" &amp; E46</f>
        <v>#REF!</v>
      </c>
      <c r="G3" s="732">
        <v>45925</v>
      </c>
      <c r="H3" s="732"/>
      <c r="I3" s="732">
        <f>G3+7</f>
        <v>45932</v>
      </c>
      <c r="J3" s="732"/>
      <c r="K3" s="732">
        <f>I3+7</f>
        <v>45939</v>
      </c>
      <c r="L3" s="732"/>
      <c r="M3" s="732">
        <f>K3+7</f>
        <v>45946</v>
      </c>
      <c r="N3" s="732"/>
      <c r="O3" s="308">
        <v>0</v>
      </c>
      <c r="P3" s="325" t="s">
        <v>1224</v>
      </c>
      <c r="Q3" s="282"/>
    </row>
    <row r="4" spans="1:24" ht="15" customHeight="1">
      <c r="B4" s="727" t="str">
        <f>_xlfn.CONCAT("Expenses - 50 - ",G46*0.5," / Actual = ",ROUND(F4,2)," (",ROUND((F4/G46)*100,2),")")</f>
        <v>Expenses - 50 - 2718.25 / Actual = 3461.04 (63.66)</v>
      </c>
      <c r="C4" s="727"/>
      <c r="D4" s="727"/>
      <c r="E4" s="727"/>
      <c r="F4" s="319">
        <f>ROUND(SUM(F6:F25),2)</f>
        <v>3461.04</v>
      </c>
      <c r="G4" s="243"/>
      <c r="H4" s="304"/>
      <c r="I4" s="243"/>
      <c r="J4" s="304"/>
      <c r="K4" s="243"/>
      <c r="L4" s="304"/>
      <c r="M4" s="243"/>
      <c r="N4" s="304"/>
      <c r="O4" s="308">
        <f>IF(H45&lt;&gt;"PAID",H4,0)+IF(J45&lt;&gt;"PAID",J4,0)+IF(L45&lt;&gt;"PAID",L4,0)+IF(N45&lt;&gt;"PAID",N4,0)</f>
        <v>0</v>
      </c>
      <c r="P4" s="309" t="s">
        <v>973</v>
      </c>
      <c r="Q4" s="408"/>
      <c r="R4" s="243"/>
      <c r="S4" s="284"/>
      <c r="T4" s="11"/>
      <c r="U4" s="390"/>
      <c r="V4" s="11"/>
      <c r="W4" s="390"/>
      <c r="X4" s="11"/>
    </row>
    <row r="5" spans="1:24" ht="15" customHeight="1">
      <c r="B5" s="733" t="str">
        <f>IF(D5&gt;E$46*0.5,ROUND(D5-E$46*0.5,2) &amp; " Over",ROUND(E$46*0.5-D5,2) &amp; " Under")</f>
        <v>2718.25 Under</v>
      </c>
      <c r="C5" s="733"/>
      <c r="D5" s="702"/>
      <c r="E5" s="321" t="s">
        <v>1451</v>
      </c>
      <c r="F5" s="321" t="s">
        <v>650</v>
      </c>
      <c r="G5" s="284"/>
      <c r="H5" s="306"/>
      <c r="I5" s="390"/>
      <c r="J5" s="306"/>
      <c r="K5" s="390"/>
      <c r="L5" s="306"/>
      <c r="M5" s="79"/>
      <c r="N5" s="305"/>
      <c r="O5" s="285">
        <f>SUMIF(O6:O25,"&gt;0")</f>
        <v>3461.0399999999995</v>
      </c>
      <c r="P5" s="285" t="s">
        <v>892</v>
      </c>
      <c r="Q5" s="282">
        <f>SUM(Q6:Q25)</f>
        <v>0</v>
      </c>
      <c r="R5" s="243"/>
      <c r="T5" s="243"/>
    </row>
    <row r="6" spans="1:24" ht="15" customHeight="1">
      <c r="B6" s="734" t="str">
        <f>"50%: " &amp; E$46*0.5</f>
        <v>50%: 2718.25</v>
      </c>
      <c r="C6" s="734" t="str">
        <f>ROUND((D5/E$46)*100,2) &amp; "%: " &amp;D5</f>
        <v xml:space="preserve">0%: </v>
      </c>
      <c r="D6" s="13" t="s">
        <v>805</v>
      </c>
      <c r="E6" s="523">
        <v>0</v>
      </c>
      <c r="F6" s="528">
        <f>160</f>
        <v>160</v>
      </c>
      <c r="H6" s="305"/>
      <c r="J6" s="305"/>
      <c r="L6" s="305"/>
      <c r="N6" s="305"/>
      <c r="O6" s="274">
        <f>SUM(E6:F6)-SUM(G6:N6)</f>
        <v>160</v>
      </c>
      <c r="P6" s="274" t="str">
        <f t="shared" ref="P6:P25" si="0">D6</f>
        <v>Car Petrol / commuting</v>
      </c>
      <c r="Q6" s="282">
        <f>IF(O6&lt;0,O6*-1,0)</f>
        <v>0</v>
      </c>
      <c r="R6" s="243"/>
      <c r="S6" s="243"/>
      <c r="T6" s="243"/>
    </row>
    <row r="7" spans="1:24" ht="15" customHeight="1">
      <c r="B7" s="734"/>
      <c r="C7" s="734"/>
      <c r="D7" s="13" t="s">
        <v>169</v>
      </c>
      <c r="E7" s="523">
        <v>0</v>
      </c>
      <c r="F7" s="523">
        <v>400</v>
      </c>
      <c r="H7" s="305"/>
      <c r="J7" s="305"/>
      <c r="L7" s="305"/>
      <c r="N7" s="305"/>
      <c r="O7" s="274">
        <f>SUM(E7:F7)-SUM(G7:N7)</f>
        <v>400</v>
      </c>
      <c r="P7" s="274" t="str">
        <f t="shared" si="0"/>
        <v>Food</v>
      </c>
      <c r="Q7" s="282">
        <f>IF(O7&lt;0,O7*-1,0)</f>
        <v>0</v>
      </c>
      <c r="R7" s="243"/>
    </row>
    <row r="8" spans="1:24" ht="15" customHeight="1">
      <c r="B8" s="734"/>
      <c r="C8" s="734"/>
      <c r="D8" s="13" t="s">
        <v>153</v>
      </c>
      <c r="E8" s="523">
        <v>0</v>
      </c>
      <c r="F8" s="523">
        <f>120</f>
        <v>120</v>
      </c>
      <c r="H8" s="305"/>
      <c r="J8" s="305"/>
      <c r="L8" s="305"/>
      <c r="N8" s="305"/>
      <c r="O8" s="274">
        <f>SUM(E8:F8)-SUM(G8:N8)</f>
        <v>120</v>
      </c>
      <c r="P8" s="274" t="str">
        <f t="shared" si="0"/>
        <v>Luna</v>
      </c>
      <c r="Q8" s="282">
        <f>IF(O8&lt;0,O8*-1,0)</f>
        <v>0</v>
      </c>
      <c r="S8" s="243"/>
    </row>
    <row r="9" spans="1:24" ht="15" customHeight="1">
      <c r="B9" s="734"/>
      <c r="C9" s="734"/>
      <c r="D9" s="13" t="s">
        <v>954</v>
      </c>
      <c r="E9" s="523">
        <v>0</v>
      </c>
      <c r="F9" s="523">
        <v>18</v>
      </c>
      <c r="H9" s="305"/>
      <c r="J9" s="305"/>
      <c r="L9" s="305"/>
      <c r="N9" s="305"/>
      <c r="O9" s="274">
        <f>SUM(E9:F9)-SUM(G9:N9)</f>
        <v>18</v>
      </c>
      <c r="P9" s="274" t="str">
        <f t="shared" si="0"/>
        <v>Haircut</v>
      </c>
      <c r="Q9" s="282"/>
      <c r="S9" s="243"/>
    </row>
    <row r="10" spans="1:24" ht="15" customHeight="1">
      <c r="B10" s="734"/>
      <c r="C10" s="734"/>
      <c r="D10" s="13" t="s">
        <v>3421</v>
      </c>
      <c r="E10" s="523">
        <v>0</v>
      </c>
      <c r="F10" s="523">
        <v>50</v>
      </c>
      <c r="H10" s="305"/>
      <c r="J10" s="305"/>
      <c r="L10" s="305"/>
      <c r="N10" s="305"/>
      <c r="O10" s="274">
        <f>SUM(E10:F10)-SUM(G10:N10)</f>
        <v>50</v>
      </c>
      <c r="P10" s="274" t="str">
        <f t="shared" si="0"/>
        <v>Skin Budget</v>
      </c>
      <c r="Q10" s="282"/>
    </row>
    <row r="11" spans="1:24" ht="15" customHeight="1">
      <c r="B11" s="734"/>
      <c r="C11" s="734"/>
      <c r="D11" s="13" t="s">
        <v>189</v>
      </c>
      <c r="E11" s="735">
        <f>SUM(F12:F25)</f>
        <v>2713.0399999999995</v>
      </c>
      <c r="F11" s="735"/>
      <c r="G11" s="243"/>
      <c r="H11" s="305"/>
      <c r="J11" s="305"/>
      <c r="L11" s="305"/>
      <c r="N11" s="305"/>
      <c r="O11" s="274"/>
      <c r="P11" s="274" t="str">
        <f t="shared" si="0"/>
        <v>Direct debits</v>
      </c>
      <c r="Q11" s="282"/>
      <c r="R11" s="243"/>
      <c r="T11" s="243"/>
    </row>
    <row r="12" spans="1:24" ht="15" customHeight="1" outlineLevel="1">
      <c r="B12" s="734"/>
      <c r="C12" s="734"/>
      <c r="D12" s="201" t="s">
        <v>595</v>
      </c>
      <c r="E12" s="523">
        <v>0</v>
      </c>
      <c r="F12" s="523">
        <v>838</v>
      </c>
      <c r="H12" s="305"/>
      <c r="J12" s="305"/>
      <c r="L12" s="304"/>
      <c r="N12" s="305"/>
      <c r="O12" s="274">
        <f t="shared" ref="O12:O25" si="1">SUM(E12:F12)-SUM(G12:N12)</f>
        <v>838</v>
      </c>
      <c r="P12" s="274" t="str">
        <f t="shared" si="0"/>
        <v>Mortgage</v>
      </c>
      <c r="Q12" s="282">
        <f t="shared" ref="Q12:Q25" si="2">IF(O12&lt;0,O12*-1,0)</f>
        <v>0</v>
      </c>
      <c r="R12" s="243"/>
    </row>
    <row r="13" spans="1:24" ht="15" customHeight="1" outlineLevel="1">
      <c r="B13" s="734"/>
      <c r="C13" s="734"/>
      <c r="D13" s="201" t="s">
        <v>596</v>
      </c>
      <c r="E13" s="523">
        <v>0</v>
      </c>
      <c r="F13" s="523">
        <v>176</v>
      </c>
      <c r="H13" s="305"/>
      <c r="J13" s="305"/>
      <c r="L13" s="305"/>
      <c r="N13" s="305"/>
      <c r="O13" s="274">
        <f t="shared" si="1"/>
        <v>176</v>
      </c>
      <c r="P13" s="274" t="str">
        <f t="shared" si="0"/>
        <v>Council tax</v>
      </c>
      <c r="Q13" s="282">
        <f t="shared" si="2"/>
        <v>0</v>
      </c>
    </row>
    <row r="14" spans="1:24" ht="15" customHeight="1" outlineLevel="1">
      <c r="B14" s="734"/>
      <c r="C14" s="734"/>
      <c r="D14" s="201" t="s">
        <v>1002</v>
      </c>
      <c r="E14" s="523">
        <v>0</v>
      </c>
      <c r="F14" s="523">
        <f>49+114.76</f>
        <v>163.76</v>
      </c>
      <c r="H14" s="305"/>
      <c r="J14" s="305"/>
      <c r="L14" s="305"/>
      <c r="N14" s="305"/>
      <c r="O14" s="274">
        <f t="shared" si="1"/>
        <v>163.76</v>
      </c>
      <c r="P14" s="274" t="str">
        <f t="shared" si="0"/>
        <v>Utilities (G,W,E,HTB)</v>
      </c>
      <c r="Q14" s="282">
        <f t="shared" si="2"/>
        <v>0</v>
      </c>
    </row>
    <row r="15" spans="1:24" ht="15" customHeight="1" outlineLevel="1">
      <c r="B15" s="734"/>
      <c r="C15" s="734"/>
      <c r="D15" s="201" t="s">
        <v>996</v>
      </c>
      <c r="E15" s="523">
        <v>0</v>
      </c>
      <c r="F15" s="523">
        <v>28.52</v>
      </c>
      <c r="H15" s="305"/>
      <c r="J15" s="305"/>
      <c r="L15" s="305"/>
      <c r="N15" s="305"/>
      <c r="O15" s="274">
        <f t="shared" si="1"/>
        <v>28.52</v>
      </c>
      <c r="P15" s="274" t="str">
        <f t="shared" si="0"/>
        <v>Home Insurance</v>
      </c>
      <c r="Q15" s="282">
        <f t="shared" si="2"/>
        <v>0</v>
      </c>
    </row>
    <row r="16" spans="1:24" ht="15" customHeight="1" outlineLevel="1">
      <c r="B16" s="734"/>
      <c r="C16" s="734"/>
      <c r="D16" s="201" t="s">
        <v>1056</v>
      </c>
      <c r="E16" s="523">
        <v>0</v>
      </c>
      <c r="F16" s="523">
        <f>27.97+24.99</f>
        <v>52.959999999999994</v>
      </c>
      <c r="H16" s="305"/>
      <c r="J16" s="305"/>
      <c r="L16" s="305"/>
      <c r="N16" s="305"/>
      <c r="O16" s="274">
        <f t="shared" si="1"/>
        <v>52.959999999999994</v>
      </c>
      <c r="P16" s="274" t="str">
        <f t="shared" si="0"/>
        <v>Pet Health / Insurance</v>
      </c>
      <c r="Q16" s="282">
        <f t="shared" si="2"/>
        <v>0</v>
      </c>
      <c r="U16" s="11"/>
    </row>
    <row r="17" spans="2:19" ht="15" customHeight="1" outlineLevel="1">
      <c r="B17" s="734"/>
      <c r="C17" s="734"/>
      <c r="D17" s="201" t="s">
        <v>1057</v>
      </c>
      <c r="E17" s="523">
        <v>0</v>
      </c>
      <c r="F17" s="523">
        <f>30.8+62.08-5</f>
        <v>87.88</v>
      </c>
      <c r="H17" s="305"/>
      <c r="J17" s="305"/>
      <c r="L17" s="305"/>
      <c r="N17" s="305"/>
      <c r="O17" s="274">
        <f t="shared" si="1"/>
        <v>87.88</v>
      </c>
      <c r="P17" s="274" t="str">
        <f t="shared" si="0"/>
        <v>Life / Income Insurance</v>
      </c>
      <c r="Q17" s="282">
        <f t="shared" si="2"/>
        <v>0</v>
      </c>
    </row>
    <row r="18" spans="2:19" ht="15" customHeight="1" outlineLevel="1">
      <c r="B18" s="734"/>
      <c r="C18" s="734"/>
      <c r="D18" s="201" t="s">
        <v>602</v>
      </c>
      <c r="E18" s="523">
        <v>0</v>
      </c>
      <c r="F18" s="523">
        <v>26</v>
      </c>
      <c r="H18" s="305"/>
      <c r="J18" s="305"/>
      <c r="L18" s="305"/>
      <c r="N18" s="305"/>
      <c r="O18" s="274">
        <f t="shared" si="1"/>
        <v>26</v>
      </c>
      <c r="P18" s="274" t="str">
        <f t="shared" si="0"/>
        <v>Broadband / TV</v>
      </c>
      <c r="Q18" s="282">
        <f t="shared" si="2"/>
        <v>0</v>
      </c>
    </row>
    <row r="19" spans="2:19" ht="15" customHeight="1" outlineLevel="1">
      <c r="B19" s="734"/>
      <c r="C19" s="734"/>
      <c r="D19" s="201" t="s">
        <v>788</v>
      </c>
      <c r="E19" s="523">
        <v>0</v>
      </c>
      <c r="F19" s="523">
        <f>10</f>
        <v>10</v>
      </c>
      <c r="H19" s="305"/>
      <c r="J19" s="305"/>
      <c r="L19" s="305"/>
      <c r="N19" s="305"/>
      <c r="O19" s="274">
        <f t="shared" si="1"/>
        <v>10</v>
      </c>
      <c r="P19" s="274" t="str">
        <f t="shared" si="0"/>
        <v>Matt Phone</v>
      </c>
      <c r="Q19" s="282">
        <f t="shared" si="2"/>
        <v>0</v>
      </c>
    </row>
    <row r="20" spans="2:19" ht="15" customHeight="1" outlineLevel="1">
      <c r="B20" s="734"/>
      <c r="C20" s="734"/>
      <c r="D20" s="201" t="s">
        <v>690</v>
      </c>
      <c r="E20" s="523">
        <v>0</v>
      </c>
      <c r="F20" s="523">
        <f>14.43+46.29+271.59+487.35+58.85+17.09</f>
        <v>895.6</v>
      </c>
      <c r="H20" s="305"/>
      <c r="J20" s="305"/>
      <c r="L20" s="305"/>
      <c r="N20" s="305"/>
      <c r="O20" s="274">
        <f t="shared" si="1"/>
        <v>895.6</v>
      </c>
      <c r="P20" s="274" t="str">
        <f t="shared" si="0"/>
        <v>Cars</v>
      </c>
      <c r="Q20" s="282">
        <f t="shared" si="2"/>
        <v>0</v>
      </c>
    </row>
    <row r="21" spans="2:19" ht="15" customHeight="1" outlineLevel="1">
      <c r="B21" s="734"/>
      <c r="C21" s="734"/>
      <c r="D21" s="201" t="s">
        <v>944</v>
      </c>
      <c r="E21" s="523">
        <v>0</v>
      </c>
      <c r="F21" s="523">
        <v>15</v>
      </c>
      <c r="H21" s="305"/>
      <c r="J21" s="305"/>
      <c r="L21" s="305"/>
      <c r="N21" s="305"/>
      <c r="O21" s="274">
        <f t="shared" si="1"/>
        <v>15</v>
      </c>
      <c r="P21" s="274" t="str">
        <f t="shared" si="0"/>
        <v>Windows</v>
      </c>
      <c r="Q21" s="282">
        <f t="shared" si="2"/>
        <v>0</v>
      </c>
      <c r="R21" s="243"/>
    </row>
    <row r="22" spans="2:19" ht="15" customHeight="1" outlineLevel="1">
      <c r="B22" s="7"/>
      <c r="C22" s="7"/>
      <c r="D22" s="201" t="s">
        <v>920</v>
      </c>
      <c r="E22" s="523">
        <v>0</v>
      </c>
      <c r="F22" s="523">
        <v>190</v>
      </c>
      <c r="H22" s="305"/>
      <c r="J22" s="305"/>
      <c r="L22" s="305"/>
      <c r="N22" s="305"/>
      <c r="O22" s="274">
        <f t="shared" si="1"/>
        <v>190</v>
      </c>
      <c r="P22" s="274" t="str">
        <f t="shared" si="0"/>
        <v>Finance</v>
      </c>
      <c r="Q22" s="282">
        <f t="shared" si="2"/>
        <v>0</v>
      </c>
      <c r="R22" s="243"/>
    </row>
    <row r="23" spans="2:19" ht="15" customHeight="1" outlineLevel="1">
      <c r="B23" s="7"/>
      <c r="C23" s="7"/>
      <c r="D23" s="201" t="s">
        <v>2909</v>
      </c>
      <c r="E23" s="523">
        <v>0</v>
      </c>
      <c r="F23" s="523">
        <v>45.79</v>
      </c>
      <c r="H23" s="305"/>
      <c r="J23" s="305"/>
      <c r="L23" s="305"/>
      <c r="N23" s="305"/>
      <c r="O23" s="274">
        <f t="shared" si="1"/>
        <v>45.79</v>
      </c>
      <c r="P23" s="274" t="str">
        <f t="shared" si="0"/>
        <v>Kris Phone</v>
      </c>
      <c r="Q23" s="282"/>
      <c r="R23" s="243"/>
      <c r="S23" s="11"/>
    </row>
    <row r="24" spans="2:19" ht="15" customHeight="1" outlineLevel="1">
      <c r="B24" s="7"/>
      <c r="C24" s="7"/>
      <c r="D24" s="201" t="s">
        <v>3420</v>
      </c>
      <c r="E24" s="523">
        <v>0</v>
      </c>
      <c r="F24" s="523">
        <f>100.16</f>
        <v>100.16</v>
      </c>
      <c r="H24" s="305"/>
      <c r="J24" s="305"/>
      <c r="L24" s="305"/>
      <c r="N24" s="305"/>
      <c r="O24" s="274">
        <f t="shared" si="1"/>
        <v>100.16</v>
      </c>
      <c r="P24" s="274" t="str">
        <f t="shared" si="0"/>
        <v>Health Insurance</v>
      </c>
      <c r="Q24" s="282"/>
      <c r="R24" s="243"/>
      <c r="S24" s="11"/>
    </row>
    <row r="25" spans="2:19" ht="15" customHeight="1" outlineLevel="1">
      <c r="B25" s="7"/>
      <c r="C25" s="7"/>
      <c r="D25" s="201" t="s">
        <v>781</v>
      </c>
      <c r="E25" s="523">
        <v>0</v>
      </c>
      <c r="F25" s="523">
        <f>10.49+18+4.99+0.99+12+20+1.95+13.95+1</f>
        <v>83.37</v>
      </c>
      <c r="G25" s="11"/>
      <c r="H25" s="305"/>
      <c r="J25" s="305"/>
      <c r="L25" s="305"/>
      <c r="N25" s="305"/>
      <c r="O25" s="274">
        <f t="shared" si="1"/>
        <v>83.37</v>
      </c>
      <c r="P25" s="274" t="str">
        <f t="shared" si="0"/>
        <v>Subscriptions</v>
      </c>
      <c r="Q25" s="282">
        <f t="shared" si="2"/>
        <v>0</v>
      </c>
      <c r="R25" s="243"/>
    </row>
    <row r="26" spans="2:19" ht="15" customHeight="1">
      <c r="B26" s="118"/>
      <c r="C26" s="118"/>
      <c r="D26" s="188"/>
      <c r="H26" s="305"/>
      <c r="J26" s="305"/>
      <c r="L26" s="305"/>
      <c r="N26" s="305"/>
      <c r="O26" s="273"/>
      <c r="P26" s="273"/>
      <c r="Q26" s="282"/>
    </row>
    <row r="27" spans="2:19" ht="15" customHeight="1">
      <c r="B27" s="736" t="str">
        <f>_xlfn.CONCAT("Savings - 20 - ",G46*0.2," / Actual = ",F27," (",ROUND((F27/G46)*100,2),")")</f>
        <v>Savings - 20 - 1087.3 / Actual = 200 (3.68)</v>
      </c>
      <c r="C27" s="736"/>
      <c r="D27" s="736"/>
      <c r="E27" s="736"/>
      <c r="F27" s="703">
        <f>F29</f>
        <v>200</v>
      </c>
      <c r="H27" s="305"/>
      <c r="J27" s="305"/>
      <c r="L27" s="305"/>
      <c r="N27" s="305"/>
      <c r="O27" s="274"/>
      <c r="P27" s="274"/>
      <c r="Q27" s="282"/>
    </row>
    <row r="28" spans="2:19" ht="15" customHeight="1">
      <c r="B28" s="727" t="str">
        <f>IF(ISNUMBER((SEARCH("Over",C$5))),"Operating under budget","Operating over budget")</f>
        <v>Operating over budget</v>
      </c>
      <c r="C28" s="727"/>
      <c r="D28" s="705"/>
      <c r="E28" s="703" t="s">
        <v>1451</v>
      </c>
      <c r="F28" s="703" t="s">
        <v>650</v>
      </c>
      <c r="H28" s="305"/>
      <c r="J28" s="305"/>
      <c r="L28" s="305"/>
      <c r="N28" s="305"/>
      <c r="O28" s="285">
        <f>O29</f>
        <v>200</v>
      </c>
      <c r="P28" s="285" t="s">
        <v>895</v>
      </c>
      <c r="Q28" s="282">
        <f>SUM(Q29:Q29)</f>
        <v>0</v>
      </c>
      <c r="S28" s="243"/>
    </row>
    <row r="29" spans="2:19" ht="15" customHeight="1" outlineLevel="1">
      <c r="B29" s="7" t="str">
        <f>"20% : " &amp; E$46*0.2</f>
        <v>20% : 1087.3</v>
      </c>
      <c r="C29" s="7" t="str">
        <f>"20% : " &amp; E$46*0.2</f>
        <v>20% : 1087.3</v>
      </c>
      <c r="D29" s="300" t="s">
        <v>183</v>
      </c>
      <c r="E29" s="523">
        <v>0</v>
      </c>
      <c r="F29" s="523">
        <f>SUM(F30:F30)</f>
        <v>200</v>
      </c>
      <c r="G29" s="243"/>
      <c r="H29" s="305"/>
      <c r="J29" s="305"/>
      <c r="L29" s="305"/>
      <c r="N29" s="305"/>
      <c r="O29" s="274">
        <f>SUM(O30:O30)</f>
        <v>200</v>
      </c>
      <c r="P29" s="274" t="str">
        <f t="shared" ref="P29:P30" si="3">D29</f>
        <v>Savings</v>
      </c>
      <c r="Q29" s="282">
        <v>0</v>
      </c>
      <c r="R29" s="495"/>
      <c r="S29" s="243"/>
    </row>
    <row r="30" spans="2:19" ht="15" customHeight="1" outlineLevel="1">
      <c r="B30" s="7"/>
      <c r="C30" s="7"/>
      <c r="D30" s="300" t="s">
        <v>3311</v>
      </c>
      <c r="E30" s="523">
        <v>0</v>
      </c>
      <c r="F30" s="523">
        <v>200</v>
      </c>
      <c r="H30" s="305"/>
      <c r="J30" s="305"/>
      <c r="L30" s="305"/>
      <c r="N30" s="315"/>
      <c r="O30" s="274">
        <f>SUM(E30:F30)-SUM(G30:N30)-Q46</f>
        <v>200</v>
      </c>
      <c r="P30" s="274" t="str">
        <f t="shared" si="3"/>
        <v>Monthly Contingency</v>
      </c>
      <c r="Q30" s="282"/>
      <c r="S30" s="353">
        <f>O30+19+50+18</f>
        <v>287</v>
      </c>
    </row>
    <row r="31" spans="2:19" ht="15" customHeight="1">
      <c r="B31" s="118"/>
      <c r="C31" s="118"/>
      <c r="H31" s="305"/>
      <c r="J31" s="305"/>
      <c r="L31" s="305"/>
      <c r="N31" s="305"/>
      <c r="O31" s="273"/>
      <c r="P31" s="273"/>
      <c r="Q31" s="282"/>
      <c r="R31" s="243"/>
    </row>
    <row r="32" spans="2:19" ht="15" customHeight="1">
      <c r="B32" s="727" t="str">
        <f>_xlfn.CONCAT("Wants - 30 - ",G46*0.3," / Actual = ",F32," (",ROUND((F32/G46)*100,2),")")</f>
        <v>Wants - 30 - 1630.95 / Actual = 1775.46 (32.66)</v>
      </c>
      <c r="C32" s="727"/>
      <c r="D32" s="727"/>
      <c r="E32" s="727"/>
      <c r="F32" s="704">
        <f>(E$46-F4-F27-E45)</f>
        <v>1775.46</v>
      </c>
      <c r="H32" s="305"/>
      <c r="J32" s="305"/>
      <c r="L32" s="305"/>
      <c r="N32" s="305"/>
      <c r="O32" s="273"/>
      <c r="P32" s="273"/>
      <c r="Q32" s="282"/>
    </row>
    <row r="33" spans="2:20" ht="15" customHeight="1">
      <c r="B33" s="727" t="str">
        <f>IF(ISNUMBER((SEARCH("Over",B$5))),"Operating under budget","Operating over budget")</f>
        <v>Operating over budget</v>
      </c>
      <c r="C33" s="727"/>
      <c r="D33" s="705"/>
      <c r="E33" s="320" t="s">
        <v>1451</v>
      </c>
      <c r="F33" s="319" t="s">
        <v>650</v>
      </c>
      <c r="H33" s="305"/>
      <c r="J33" s="305"/>
      <c r="L33" s="305"/>
      <c r="N33" s="305"/>
      <c r="O33" s="285">
        <f>0</f>
        <v>0</v>
      </c>
      <c r="P33" s="285" t="s">
        <v>899</v>
      </c>
      <c r="Q33" s="282">
        <f>SUM(Q34:Q34)</f>
        <v>0</v>
      </c>
      <c r="S33" s="11"/>
    </row>
    <row r="34" spans="2:20" ht="18" outlineLevel="1">
      <c r="B34" s="7"/>
      <c r="C34" s="284"/>
      <c r="D34" s="13" t="s">
        <v>922</v>
      </c>
      <c r="E34" s="523">
        <v>0</v>
      </c>
      <c r="F34" s="523">
        <f>F32-F44-F43-F36-F35</f>
        <v>579.31000000000006</v>
      </c>
      <c r="G34" s="11"/>
      <c r="H34" s="305"/>
      <c r="J34" s="305"/>
      <c r="L34" s="305"/>
      <c r="N34" s="305"/>
      <c r="O34" s="274">
        <f>(SUM(E34:F34)-SUM(G34:N34))</f>
        <v>579.31000000000006</v>
      </c>
      <c r="P34" s="274" t="str">
        <f t="shared" ref="P34:P44" si="4">D34</f>
        <v>Matt Fun</v>
      </c>
      <c r="Q34" s="271">
        <f>IF(F34-SUM(G34:N34)&lt;=0,(F34-SUM(G34:N34))*-1,0)</f>
        <v>0</v>
      </c>
      <c r="S34" s="11"/>
      <c r="T34" t="s">
        <v>3444</v>
      </c>
    </row>
    <row r="35" spans="2:20" ht="18" outlineLevel="1">
      <c r="B35" s="7"/>
      <c r="C35" s="284"/>
      <c r="D35" s="13" t="s">
        <v>3505</v>
      </c>
      <c r="E35" s="523">
        <v>0</v>
      </c>
      <c r="F35" s="523">
        <v>350</v>
      </c>
      <c r="G35" s="11"/>
      <c r="H35" s="305"/>
      <c r="J35" s="305"/>
      <c r="L35" s="305"/>
      <c r="N35" s="305"/>
      <c r="O35" s="274">
        <f>(SUM(E35:F35)-SUM(G35:N35))</f>
        <v>350</v>
      </c>
      <c r="P35" s="274" t="str">
        <f t="shared" si="4"/>
        <v>Barbados 2027</v>
      </c>
      <c r="Q35" s="271"/>
      <c r="S35" s="11"/>
    </row>
    <row r="36" spans="2:20" ht="18" outlineLevel="1">
      <c r="B36" s="7"/>
      <c r="C36" s="284"/>
      <c r="D36" s="13" t="s">
        <v>3310</v>
      </c>
      <c r="E36" s="523">
        <v>0</v>
      </c>
      <c r="F36" s="523">
        <v>836.66</v>
      </c>
      <c r="H36" s="305"/>
      <c r="J36" s="305"/>
      <c r="L36" s="305"/>
      <c r="N36" s="305"/>
      <c r="O36" s="274">
        <f>(SUM(E36:F36)-SUM(G36:N36))-SUM(O37:O42)</f>
        <v>836.66</v>
      </c>
      <c r="P36" s="274" t="str">
        <f t="shared" si="4"/>
        <v>Sinking Fund</v>
      </c>
      <c r="Q36" s="271"/>
      <c r="S36" s="11" t="s">
        <v>3445</v>
      </c>
      <c r="T36" s="243" t="e">
        <f>#REF!+O34</f>
        <v>#REF!</v>
      </c>
    </row>
    <row r="37" spans="2:20" ht="18" outlineLevel="2">
      <c r="B37" s="7"/>
      <c r="C37" s="284"/>
      <c r="D37" s="13" t="s">
        <v>2370</v>
      </c>
      <c r="E37" s="523">
        <v>0</v>
      </c>
      <c r="F37" s="523">
        <v>0</v>
      </c>
      <c r="G37" s="11"/>
      <c r="H37" s="305"/>
      <c r="J37" s="305"/>
      <c r="L37" s="305"/>
      <c r="N37" s="305"/>
      <c r="O37" s="274">
        <f t="shared" ref="O37:O42" si="5">SUM(G37:N37)</f>
        <v>0</v>
      </c>
      <c r="P37" s="274" t="str">
        <f t="shared" si="4"/>
        <v>Summer Budget</v>
      </c>
      <c r="Q37" s="271"/>
      <c r="R37" s="243"/>
      <c r="S37" s="11"/>
    </row>
    <row r="38" spans="2:20" ht="18" outlineLevel="2">
      <c r="B38" s="7"/>
      <c r="C38" s="284"/>
      <c r="D38" s="13" t="s">
        <v>172</v>
      </c>
      <c r="E38" s="523">
        <v>0</v>
      </c>
      <c r="F38" s="523">
        <v>0</v>
      </c>
      <c r="G38" s="11"/>
      <c r="H38" s="305"/>
      <c r="J38" s="305"/>
      <c r="L38" s="305"/>
      <c r="N38" s="305"/>
      <c r="O38" s="274">
        <f t="shared" si="5"/>
        <v>0</v>
      </c>
      <c r="P38" s="274" t="str">
        <f t="shared" si="4"/>
        <v>Misc</v>
      </c>
      <c r="Q38" s="271"/>
      <c r="R38" s="243"/>
      <c r="S38" s="11"/>
    </row>
    <row r="39" spans="2:20" ht="18" outlineLevel="2">
      <c r="B39" s="7"/>
      <c r="C39" s="284"/>
      <c r="D39" s="13" t="s">
        <v>701</v>
      </c>
      <c r="E39" s="523">
        <v>0</v>
      </c>
      <c r="F39" s="523">
        <v>0</v>
      </c>
      <c r="G39" s="11"/>
      <c r="H39" s="305"/>
      <c r="J39" s="305"/>
      <c r="L39" s="305"/>
      <c r="N39" s="305"/>
      <c r="O39" s="274">
        <f t="shared" si="5"/>
        <v>0</v>
      </c>
      <c r="P39" s="274" t="str">
        <f t="shared" si="4"/>
        <v>Gift</v>
      </c>
      <c r="Q39" s="271"/>
      <c r="R39" s="243"/>
      <c r="S39" s="11"/>
    </row>
    <row r="40" spans="2:20" ht="18" outlineLevel="2">
      <c r="B40" s="7"/>
      <c r="C40" s="284"/>
      <c r="D40" s="13" t="s">
        <v>1808</v>
      </c>
      <c r="E40" s="523">
        <v>0</v>
      </c>
      <c r="F40" s="523">
        <v>0</v>
      </c>
      <c r="G40" s="11"/>
      <c r="H40" s="305"/>
      <c r="J40" s="305"/>
      <c r="L40" s="305"/>
      <c r="N40" s="305"/>
      <c r="O40" s="274">
        <f t="shared" si="5"/>
        <v>0</v>
      </c>
      <c r="P40" s="274" t="str">
        <f t="shared" si="4"/>
        <v>Prime</v>
      </c>
      <c r="Q40" s="271"/>
      <c r="S40" s="11"/>
    </row>
    <row r="41" spans="2:20" ht="18" outlineLevel="2">
      <c r="B41" s="7"/>
      <c r="C41" s="284"/>
      <c r="D41" s="13" t="s">
        <v>3428</v>
      </c>
      <c r="E41" s="523">
        <v>0</v>
      </c>
      <c r="F41" s="523">
        <v>0</v>
      </c>
      <c r="G41" s="11"/>
      <c r="H41" s="305"/>
      <c r="J41" s="305"/>
      <c r="L41" s="305"/>
      <c r="N41" s="305"/>
      <c r="O41" s="274">
        <f t="shared" si="5"/>
        <v>0</v>
      </c>
      <c r="P41" s="274" t="str">
        <f t="shared" si="4"/>
        <v>Bali 2026</v>
      </c>
      <c r="Q41" s="271"/>
      <c r="S41" s="11"/>
    </row>
    <row r="42" spans="2:20" ht="18" outlineLevel="2">
      <c r="B42" s="7"/>
      <c r="C42" s="284"/>
      <c r="D42" s="13" t="s">
        <v>2272</v>
      </c>
      <c r="E42" s="523">
        <v>0</v>
      </c>
      <c r="F42" s="523">
        <v>0</v>
      </c>
      <c r="G42" s="11"/>
      <c r="H42" s="305"/>
      <c r="J42" s="305"/>
      <c r="L42" s="305"/>
      <c r="N42" s="305"/>
      <c r="O42" s="274">
        <f t="shared" si="5"/>
        <v>0</v>
      </c>
      <c r="P42" s="274" t="str">
        <f t="shared" si="4"/>
        <v>Italy</v>
      </c>
      <c r="Q42" s="271"/>
      <c r="S42" s="11"/>
    </row>
    <row r="43" spans="2:20" ht="18" outlineLevel="1">
      <c r="B43" s="7"/>
      <c r="C43" s="284"/>
      <c r="D43" s="13" t="s">
        <v>814</v>
      </c>
      <c r="E43" s="523">
        <v>0</v>
      </c>
      <c r="F43" s="523">
        <v>0</v>
      </c>
      <c r="G43" s="11"/>
      <c r="H43" s="305"/>
      <c r="J43" s="305"/>
      <c r="L43" s="305"/>
      <c r="N43" s="305"/>
      <c r="O43" s="274">
        <f>SUM(E43:F43)-SUM(G43:N43)</f>
        <v>0</v>
      </c>
      <c r="P43" s="274" t="str">
        <f t="shared" si="4"/>
        <v>CC</v>
      </c>
      <c r="Q43" s="282"/>
      <c r="S43" s="11"/>
    </row>
    <row r="44" spans="2:20" ht="18" outlineLevel="1">
      <c r="B44" s="7"/>
      <c r="C44" s="284"/>
      <c r="D44" s="13" t="s">
        <v>152</v>
      </c>
      <c r="E44" s="523">
        <v>0</v>
      </c>
      <c r="F44" s="523">
        <f>9.49</f>
        <v>9.49</v>
      </c>
      <c r="G44" s="11"/>
      <c r="H44" s="305"/>
      <c r="J44" s="305"/>
      <c r="L44" s="305"/>
      <c r="N44" s="305"/>
      <c r="O44" s="274">
        <f>SUM(E44:F44)-SUM(G44:N44)</f>
        <v>9.49</v>
      </c>
      <c r="P44" s="274" t="str">
        <f t="shared" si="4"/>
        <v>Kris</v>
      </c>
      <c r="Q44" s="271">
        <f>IF(F44-SUM(G44:N44)&lt;=0,(F44-SUM(G44:N44))*-1,0)</f>
        <v>0</v>
      </c>
    </row>
    <row r="45" spans="2:20">
      <c r="B45" s="118"/>
      <c r="C45" s="118"/>
      <c r="E45" s="523">
        <f>SUM(E36:E44)+E30</f>
        <v>0</v>
      </c>
      <c r="G45" s="349"/>
      <c r="J45" s="7"/>
      <c r="L45" s="7"/>
      <c r="N45" s="7"/>
      <c r="O45" s="273"/>
      <c r="P45" s="273"/>
      <c r="Q45" s="282"/>
    </row>
    <row r="46" spans="2:20" ht="18">
      <c r="B46" s="728" t="s">
        <v>817</v>
      </c>
      <c r="C46" s="728"/>
      <c r="D46" s="728"/>
      <c r="E46" s="529">
        <f>G46+I46+K46+M46+N46+E45</f>
        <v>5436.5</v>
      </c>
      <c r="F46" s="530"/>
      <c r="G46" s="271">
        <f>(5051.5-695)+(1060+20)</f>
        <v>5436.5</v>
      </c>
      <c r="H46" s="282"/>
      <c r="I46" s="271"/>
      <c r="J46" s="271"/>
      <c r="K46" s="271"/>
      <c r="L46" s="271"/>
      <c r="M46" s="271"/>
      <c r="N46" s="271"/>
      <c r="O46" s="314">
        <f>ROUND(O5+O33+O28+IF(O34&lt;0,0,O34)+O44+O4+O43+O36,2)</f>
        <v>5086.5</v>
      </c>
      <c r="P46" s="274"/>
      <c r="Q46" s="282">
        <f>SUM(Q33,Q28,Q5)</f>
        <v>0</v>
      </c>
    </row>
    <row r="47" spans="2:20" ht="18">
      <c r="B47" s="118"/>
      <c r="C47" s="7"/>
      <c r="D47" s="13" t="s">
        <v>1451</v>
      </c>
      <c r="G47" s="523"/>
      <c r="H47" s="243"/>
      <c r="L47" s="243"/>
      <c r="O47" s="610">
        <f>O46-SUM(O4:O5)-O34-O28-O43+O44</f>
        <v>855.64000000000055</v>
      </c>
      <c r="P47" s="7" t="str">
        <f>IF(O47&lt;0, "DEFICIT", "")</f>
        <v/>
      </c>
    </row>
    <row r="48" spans="2:20" ht="14.4">
      <c r="B48" s="729"/>
      <c r="C48" s="729"/>
      <c r="D48" s="729"/>
      <c r="E48" s="729"/>
      <c r="F48" s="729"/>
      <c r="G48" s="729"/>
      <c r="H48" s="297"/>
      <c r="K48" s="729"/>
      <c r="L48" s="729"/>
      <c r="M48" s="729"/>
      <c r="N48" s="729"/>
      <c r="O48" s="729"/>
      <c r="P48" s="297"/>
    </row>
    <row r="49" spans="2:18" ht="15" customHeight="1">
      <c r="B49" s="726" t="s">
        <v>955</v>
      </c>
      <c r="C49" s="726"/>
      <c r="F49" s="348"/>
      <c r="G49" s="243"/>
      <c r="H49" s="243"/>
      <c r="K49" s="212"/>
      <c r="L49" s="212"/>
      <c r="M49" s="243"/>
      <c r="N49" s="476" t="s">
        <v>3499</v>
      </c>
      <c r="O49" s="316">
        <v>46237</v>
      </c>
      <c r="P49" s="7">
        <f ca="1">DATEDIF(O49,NOW(),"d")</f>
        <v>14</v>
      </c>
      <c r="Q49">
        <v>1.7</v>
      </c>
      <c r="R49" t="s">
        <v>3494</v>
      </c>
    </row>
    <row r="50" spans="2:18">
      <c r="B50" s="523"/>
      <c r="C50" s="38"/>
      <c r="D50" t="s">
        <v>1810</v>
      </c>
      <c r="E50" t="s">
        <v>3413</v>
      </c>
      <c r="F50" s="369" t="s">
        <v>1287</v>
      </c>
      <c r="G50" t="s">
        <v>3419</v>
      </c>
      <c r="K50" s="243"/>
      <c r="L50" s="349"/>
      <c r="N50" s="637" t="s">
        <v>3495</v>
      </c>
      <c r="O50" s="638">
        <v>46237</v>
      </c>
      <c r="P50" s="639">
        <f ca="1">DATEDIF(O50,NOW(),"d")</f>
        <v>14</v>
      </c>
      <c r="Q50" s="514">
        <v>1.05</v>
      </c>
      <c r="R50" s="514" t="s">
        <v>1099</v>
      </c>
    </row>
    <row r="51" spans="2:18" ht="16.2" customHeight="1">
      <c r="D51" t="s">
        <v>887</v>
      </c>
      <c r="E51" s="243">
        <f>'JUL-AUG 26'!H4</f>
        <v>1456.5399999999997</v>
      </c>
      <c r="F51" s="501">
        <f>E51+H4+E62</f>
        <v>1456.5399999999997</v>
      </c>
      <c r="G51" s="77">
        <v>46177</v>
      </c>
      <c r="I51" s="243"/>
      <c r="L51" s="243"/>
      <c r="M51" s="243"/>
      <c r="N51" s="358" t="s">
        <v>3496</v>
      </c>
      <c r="O51" s="638">
        <v>46237</v>
      </c>
      <c r="P51" s="639">
        <f ca="1">DATEDIF(O51,NOW(),"d")</f>
        <v>14</v>
      </c>
      <c r="Q51">
        <v>120</v>
      </c>
      <c r="R51" t="s">
        <v>3497</v>
      </c>
    </row>
    <row r="52" spans="2:18">
      <c r="B52" s="532"/>
      <c r="D52" t="s">
        <v>1374</v>
      </c>
      <c r="E52" s="55">
        <f>'JUL-AUG 26'!J4+F55</f>
        <v>3746.0099999999998</v>
      </c>
      <c r="F52" s="501">
        <f>E52+J4</f>
        <v>3746.0099999999998</v>
      </c>
      <c r="G52" s="77">
        <v>46181</v>
      </c>
      <c r="L52" s="243"/>
      <c r="M52" s="243"/>
      <c r="N52" s="243"/>
      <c r="P52"/>
    </row>
    <row r="53" spans="2:18">
      <c r="D53" s="243"/>
      <c r="E53" s="243"/>
      <c r="F53" s="659"/>
      <c r="G53">
        <v>15</v>
      </c>
      <c r="H53" s="55" t="s">
        <v>3434</v>
      </c>
      <c r="I53" s="708"/>
      <c r="J53" s="243"/>
      <c r="K53" s="243"/>
      <c r="L53" s="349"/>
      <c r="M53" s="243"/>
      <c r="N53" s="243"/>
      <c r="P53"/>
      <c r="Q53" s="243"/>
    </row>
    <row r="54" spans="2:18" ht="15.45" customHeight="1">
      <c r="D54" s="726" t="s">
        <v>1451</v>
      </c>
      <c r="E54" s="726"/>
      <c r="F54" s="726"/>
      <c r="H54" s="55"/>
      <c r="I54" s="515"/>
      <c r="J54" s="243"/>
      <c r="L54" s="243"/>
      <c r="M54" s="656"/>
      <c r="N54" s="243"/>
      <c r="O54" s="343"/>
      <c r="P54" s="292"/>
      <c r="Q54" s="212"/>
    </row>
    <row r="55" spans="2:18" ht="15" customHeight="1">
      <c r="D55" s="331" t="s">
        <v>2812</v>
      </c>
      <c r="E55" s="643"/>
      <c r="F55" s="643">
        <v>2257.56</v>
      </c>
      <c r="G55" s="243"/>
      <c r="H55" s="55"/>
      <c r="I55" s="243"/>
      <c r="J55" s="243"/>
      <c r="K55" s="243"/>
      <c r="M55" s="243"/>
      <c r="N55" s="243"/>
      <c r="O55" s="661"/>
      <c r="P55" s="56"/>
      <c r="Q55" s="38"/>
    </row>
    <row r="56" spans="2:18" ht="15" customHeight="1">
      <c r="D56" s="242" t="s">
        <v>3489</v>
      </c>
      <c r="E56" s="500">
        <f>121</f>
        <v>121</v>
      </c>
      <c r="F56" s="713">
        <f>F55-E56</f>
        <v>2136.56</v>
      </c>
      <c r="H56" s="55"/>
      <c r="J56" s="243"/>
      <c r="K56" s="243"/>
      <c r="L56" s="243"/>
      <c r="M56" s="243"/>
    </row>
    <row r="57" spans="2:18" ht="15" customHeight="1">
      <c r="D57" s="242" t="s">
        <v>3498</v>
      </c>
      <c r="E57" s="500">
        <v>0</v>
      </c>
      <c r="F57" s="722">
        <f>F56-E57</f>
        <v>2136.56</v>
      </c>
      <c r="H57" s="55"/>
      <c r="J57" s="243"/>
      <c r="K57" s="243"/>
      <c r="L57" s="243"/>
      <c r="M57" s="243"/>
    </row>
    <row r="58" spans="2:18">
      <c r="D58" s="242" t="s">
        <v>3486</v>
      </c>
      <c r="E58" s="617">
        <f>1150</f>
        <v>1150</v>
      </c>
      <c r="F58" s="713">
        <f>F57-E58</f>
        <v>986.56</v>
      </c>
      <c r="M58" s="243"/>
      <c r="O58"/>
      <c r="P58"/>
    </row>
    <row r="59" spans="2:18">
      <c r="B59" s="212"/>
      <c r="C59" s="212"/>
      <c r="D59" s="242" t="s">
        <v>3487</v>
      </c>
      <c r="E59" s="617">
        <v>200</v>
      </c>
      <c r="F59" s="713">
        <f t="shared" ref="F59" si="6">F58-E59</f>
        <v>786.56</v>
      </c>
      <c r="G59" s="243"/>
      <c r="P59"/>
    </row>
    <row r="60" spans="2:18">
      <c r="C60" s="56"/>
      <c r="F60" s="660"/>
      <c r="G60" s="243"/>
      <c r="L60" s="243"/>
      <c r="O60"/>
      <c r="P60"/>
    </row>
    <row r="61" spans="2:18" ht="15.75" customHeight="1">
      <c r="C61" s="56"/>
      <c r="D61" s="243"/>
      <c r="E61"/>
      <c r="F61" s="243"/>
      <c r="L61" s="243"/>
      <c r="M61" s="243"/>
      <c r="O61"/>
      <c r="P61"/>
    </row>
    <row r="62" spans="2:18">
      <c r="C62" s="56"/>
      <c r="G62" s="426"/>
      <c r="M62" s="243"/>
      <c r="O62"/>
      <c r="P62"/>
    </row>
    <row r="63" spans="2:18">
      <c r="C63" s="56"/>
      <c r="E63" s="243"/>
      <c r="G63" s="426"/>
      <c r="O63"/>
      <c r="P63"/>
    </row>
    <row r="64" spans="2:18">
      <c r="C64" s="56"/>
      <c r="E64" s="666"/>
      <c r="G64" s="426"/>
      <c r="O64"/>
      <c r="P64"/>
    </row>
    <row r="65" spans="2:16">
      <c r="C65" s="56"/>
      <c r="E65" s="666"/>
      <c r="G65" s="426"/>
      <c r="O65"/>
      <c r="P65"/>
    </row>
    <row r="66" spans="2:16">
      <c r="C66" s="56"/>
      <c r="G66" s="426"/>
      <c r="N66" s="288"/>
      <c r="O66"/>
      <c r="P66"/>
    </row>
    <row r="67" spans="2:16">
      <c r="C67" s="56"/>
      <c r="G67" s="726"/>
      <c r="H67" s="726"/>
      <c r="L67" s="243"/>
      <c r="O67"/>
      <c r="P67"/>
    </row>
    <row r="68" spans="2:16">
      <c r="C68" s="56"/>
      <c r="I68" s="11"/>
      <c r="O68"/>
      <c r="P68"/>
    </row>
    <row r="69" spans="2:16">
      <c r="B69" s="212"/>
      <c r="C69" s="294"/>
      <c r="O69"/>
      <c r="P69"/>
    </row>
    <row r="70" spans="2:16" ht="15.45" customHeight="1">
      <c r="C70" s="56"/>
      <c r="F70"/>
      <c r="M70" s="243"/>
      <c r="O70"/>
      <c r="P70"/>
    </row>
    <row r="71" spans="2:16">
      <c r="C71" s="56"/>
      <c r="E71" s="625"/>
      <c r="F71" s="625"/>
      <c r="L71" s="459"/>
      <c r="M71" s="461"/>
      <c r="O71"/>
      <c r="P71"/>
    </row>
    <row r="72" spans="2:16">
      <c r="C72" s="56"/>
      <c r="D72" s="634"/>
      <c r="E72" s="533"/>
      <c r="L72" s="459"/>
      <c r="M72" s="461"/>
      <c r="O72"/>
      <c r="P72"/>
    </row>
    <row r="73" spans="2:16" ht="14.4">
      <c r="C73" s="56"/>
      <c r="E73" s="243"/>
      <c r="F73"/>
      <c r="L73" s="459"/>
      <c r="M73" s="461"/>
      <c r="O73"/>
      <c r="P73"/>
    </row>
    <row r="74" spans="2:16">
      <c r="C74" s="56"/>
      <c r="L74" s="188"/>
      <c r="M74" s="230"/>
      <c r="O74"/>
      <c r="P74"/>
    </row>
    <row r="75" spans="2:16">
      <c r="C75" s="56"/>
      <c r="L75" s="188"/>
      <c r="M75" s="230"/>
      <c r="O75"/>
      <c r="P75"/>
    </row>
    <row r="76" spans="2:16">
      <c r="C76" s="56"/>
      <c r="L76" s="188"/>
      <c r="M76" s="230"/>
      <c r="O76"/>
      <c r="P76"/>
    </row>
    <row r="77" spans="2:16">
      <c r="L77" s="188"/>
      <c r="M77" s="230"/>
      <c r="O77"/>
      <c r="P77"/>
    </row>
    <row r="78" spans="2:16">
      <c r="L78" s="532"/>
      <c r="M78" s="230"/>
      <c r="O78"/>
      <c r="P78"/>
    </row>
    <row r="79" spans="2:16">
      <c r="L79" s="405"/>
      <c r="M79" s="230"/>
      <c r="O79"/>
      <c r="P79"/>
    </row>
    <row r="86" spans="4:16">
      <c r="E86" s="533"/>
      <c r="F86" s="212"/>
    </row>
    <row r="87" spans="4:16" ht="14.4">
      <c r="E87"/>
      <c r="F87"/>
    </row>
    <row r="88" spans="4:16">
      <c r="F88" s="56"/>
    </row>
    <row r="89" spans="4:16">
      <c r="F89" s="56"/>
    </row>
    <row r="90" spans="4:16">
      <c r="F90" s="56"/>
      <c r="G90" s="407"/>
    </row>
    <row r="91" spans="4:16" ht="14.4">
      <c r="D91" s="621"/>
      <c r="E91" s="56"/>
      <c r="F91" s="56"/>
      <c r="G91" s="407"/>
    </row>
    <row r="92" spans="4:16" ht="14.4">
      <c r="E92" s="56"/>
      <c r="F92" s="56"/>
      <c r="G92" s="407"/>
    </row>
    <row r="93" spans="4:16" ht="14.4">
      <c r="E93" s="56"/>
      <c r="F93" s="56"/>
      <c r="G93" s="407"/>
    </row>
    <row r="94" spans="4:16">
      <c r="G94" s="407"/>
      <c r="H94" s="11"/>
      <c r="O94"/>
      <c r="P94"/>
    </row>
    <row r="95" spans="4:16">
      <c r="G95" s="407"/>
      <c r="O95"/>
      <c r="P95"/>
    </row>
    <row r="96" spans="4:16">
      <c r="G96" s="407"/>
      <c r="O96"/>
      <c r="P96"/>
    </row>
    <row r="97" spans="7:7">
      <c r="G97" s="407"/>
    </row>
  </sheetData>
  <mergeCells count="20">
    <mergeCell ref="D54:F54"/>
    <mergeCell ref="G67:H67"/>
    <mergeCell ref="B32:E32"/>
    <mergeCell ref="B33:C33"/>
    <mergeCell ref="B46:D46"/>
    <mergeCell ref="B48:G48"/>
    <mergeCell ref="K48:O48"/>
    <mergeCell ref="B49:C49"/>
    <mergeCell ref="B5:C5"/>
    <mergeCell ref="B6:B21"/>
    <mergeCell ref="C6:C21"/>
    <mergeCell ref="E11:F11"/>
    <mergeCell ref="B27:E27"/>
    <mergeCell ref="B28:C28"/>
    <mergeCell ref="B4:E4"/>
    <mergeCell ref="B1:O1"/>
    <mergeCell ref="G3:H3"/>
    <mergeCell ref="I3:J3"/>
    <mergeCell ref="K3:L3"/>
    <mergeCell ref="M3:N3"/>
  </mergeCells>
  <pageMargins left="0.7" right="0.7" top="0.75" bottom="0.75" header="0.3" footer="0.3"/>
  <pageSetup orientation="portrait" r:id="rId1"/>
  <legacyDrawing r:id="rId2"/>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4940C-4B37-4CDD-A07D-378AEC9960F1}">
  <dimension ref="A1:H30"/>
  <sheetViews>
    <sheetView topLeftCell="A6" workbookViewId="0">
      <selection activeCell="B15" sqref="B15"/>
    </sheetView>
  </sheetViews>
  <sheetFormatPr defaultColWidth="8.44140625" defaultRowHeight="14.4"/>
  <cols>
    <col min="1" max="1" width="16.109375" bestFit="1" customWidth="1"/>
    <col min="2" max="2" width="13.44140625" customWidth="1"/>
    <col min="3" max="3" width="18.6640625" customWidth="1"/>
    <col min="4" max="4" width="23" customWidth="1"/>
  </cols>
  <sheetData>
    <row r="1" spans="1:8">
      <c r="A1" t="s">
        <v>3068</v>
      </c>
      <c r="B1" s="42">
        <v>46278</v>
      </c>
      <c r="C1" s="516" t="s">
        <v>3430</v>
      </c>
      <c r="D1" t="s">
        <v>3426</v>
      </c>
    </row>
    <row r="2" spans="1:8">
      <c r="A2" t="s">
        <v>2220</v>
      </c>
      <c r="B2" s="42">
        <v>46296</v>
      </c>
      <c r="C2" s="516">
        <v>0.54861111111111116</v>
      </c>
      <c r="D2" t="s">
        <v>3427</v>
      </c>
    </row>
    <row r="3" spans="1:8">
      <c r="A3" t="s">
        <v>3069</v>
      </c>
      <c r="B3">
        <f>DATEDIF(B1, B2, "D")</f>
        <v>18</v>
      </c>
    </row>
    <row r="4" spans="1:8">
      <c r="F4" s="79"/>
      <c r="H4" s="79"/>
    </row>
    <row r="5" spans="1:8">
      <c r="A5" s="307" t="s">
        <v>559</v>
      </c>
      <c r="B5" s="307" t="s">
        <v>1855</v>
      </c>
      <c r="C5" s="307" t="s">
        <v>3064</v>
      </c>
      <c r="D5" s="307" t="s">
        <v>3065</v>
      </c>
      <c r="F5" s="79"/>
      <c r="H5" s="79"/>
    </row>
    <row r="6" spans="1:8">
      <c r="A6" s="649" t="s">
        <v>2835</v>
      </c>
      <c r="B6" s="188">
        <f>902.06+347.6</f>
        <v>1249.6599999999999</v>
      </c>
      <c r="C6" s="648">
        <v>46168</v>
      </c>
      <c r="D6" s="188" t="s">
        <v>3425</v>
      </c>
    </row>
    <row r="7" spans="1:8">
      <c r="A7" s="649" t="s">
        <v>1767</v>
      </c>
      <c r="B7" s="188">
        <v>451.2</v>
      </c>
      <c r="C7" s="648">
        <v>46168</v>
      </c>
      <c r="D7" s="188" t="s">
        <v>3425</v>
      </c>
    </row>
    <row r="8" spans="1:8">
      <c r="A8" s="649" t="s">
        <v>2868</v>
      </c>
      <c r="B8">
        <v>560</v>
      </c>
      <c r="C8" s="648">
        <v>46168</v>
      </c>
      <c r="D8" s="188" t="s">
        <v>3425</v>
      </c>
    </row>
    <row r="9" spans="1:8">
      <c r="A9" s="649" t="s">
        <v>2864</v>
      </c>
      <c r="B9" s="188">
        <f>(20*33)+(1*34)</f>
        <v>694</v>
      </c>
      <c r="C9" s="648"/>
      <c r="D9" s="188"/>
    </row>
    <row r="10" spans="1:8">
      <c r="A10" s="305" t="s">
        <v>3285</v>
      </c>
      <c r="B10" s="188">
        <v>200</v>
      </c>
    </row>
    <row r="11" spans="1:8">
      <c r="A11" s="649"/>
      <c r="B11" s="188"/>
      <c r="C11" s="648"/>
      <c r="D11" s="188"/>
    </row>
    <row r="12" spans="1:8">
      <c r="A12" s="649" t="s">
        <v>3436</v>
      </c>
      <c r="B12" s="188">
        <f>17*50</f>
        <v>850</v>
      </c>
      <c r="C12" s="648"/>
      <c r="D12" s="188"/>
    </row>
    <row r="13" spans="1:8">
      <c r="A13" s="649" t="s">
        <v>3437</v>
      </c>
      <c r="B13" s="188">
        <f>(17*2)*6</f>
        <v>204</v>
      </c>
      <c r="C13" s="648"/>
      <c r="D13" s="188"/>
    </row>
    <row r="14" spans="1:8">
      <c r="A14" s="649" t="s">
        <v>3423</v>
      </c>
      <c r="B14" s="188">
        <f>100</f>
        <v>100</v>
      </c>
      <c r="C14" s="648"/>
      <c r="D14" s="188"/>
    </row>
    <row r="15" spans="1:8">
      <c r="A15" s="649" t="s">
        <v>3424</v>
      </c>
      <c r="B15">
        <v>380</v>
      </c>
      <c r="C15" s="648"/>
      <c r="D15" s="188"/>
    </row>
    <row r="16" spans="1:8">
      <c r="A16" s="649" t="s">
        <v>3431</v>
      </c>
      <c r="B16">
        <v>29</v>
      </c>
      <c r="C16" s="648"/>
      <c r="D16" s="188"/>
    </row>
    <row r="17" spans="1:6">
      <c r="A17" s="649" t="s">
        <v>3451</v>
      </c>
      <c r="B17">
        <v>350</v>
      </c>
      <c r="C17" s="648">
        <v>46190</v>
      </c>
      <c r="D17" s="188" t="s">
        <v>3440</v>
      </c>
    </row>
    <row r="18" spans="1:6">
      <c r="A18" s="649" t="s">
        <v>3450</v>
      </c>
      <c r="B18">
        <v>200</v>
      </c>
      <c r="C18" s="648"/>
      <c r="D18" s="188"/>
    </row>
    <row r="19" spans="1:6">
      <c r="A19" s="649" t="s">
        <v>3435</v>
      </c>
      <c r="B19">
        <v>50</v>
      </c>
      <c r="C19" s="648"/>
      <c r="D19" s="188"/>
    </row>
    <row r="20" spans="1:6">
      <c r="A20" s="649" t="s">
        <v>3422</v>
      </c>
      <c r="B20">
        <v>0</v>
      </c>
      <c r="C20" s="648"/>
      <c r="D20" s="188"/>
    </row>
    <row r="21" spans="1:6">
      <c r="A21" s="649" t="s">
        <v>3432</v>
      </c>
      <c r="B21">
        <v>50</v>
      </c>
      <c r="C21" s="648"/>
      <c r="D21" s="188"/>
    </row>
    <row r="22" spans="1:6">
      <c r="A22" s="649" t="s">
        <v>3433</v>
      </c>
      <c r="B22">
        <v>50</v>
      </c>
      <c r="C22" s="648"/>
      <c r="D22" s="188"/>
    </row>
    <row r="23" spans="1:6">
      <c r="A23" s="649" t="s">
        <v>1409</v>
      </c>
      <c r="B23">
        <v>100</v>
      </c>
      <c r="C23" s="648"/>
      <c r="D23" s="188"/>
    </row>
    <row r="24" spans="1:6">
      <c r="A24" s="305" t="s">
        <v>3066</v>
      </c>
      <c r="B24">
        <f>SUM(B6:B23)</f>
        <v>5517.86</v>
      </c>
    </row>
    <row r="25" spans="1:6">
      <c r="A25" s="305"/>
    </row>
    <row r="26" spans="1:6">
      <c r="A26" s="649" t="s">
        <v>3070</v>
      </c>
      <c r="B26">
        <f>(ROUND(B3/7,0)*140)*-1</f>
        <v>-420</v>
      </c>
      <c r="C26" s="648"/>
      <c r="D26" s="188"/>
    </row>
    <row r="27" spans="1:6">
      <c r="A27" s="649" t="s">
        <v>683</v>
      </c>
      <c r="B27">
        <v>-700</v>
      </c>
      <c r="C27" s="648"/>
      <c r="D27" s="188"/>
    </row>
    <row r="28" spans="1:6">
      <c r="A28" s="305" t="s">
        <v>3067</v>
      </c>
      <c r="B28">
        <f>SUMIF(C6:C23,"",B6:B23)+B26+B27</f>
        <v>1787</v>
      </c>
    </row>
    <row r="30" spans="1:6">
      <c r="E30" s="726"/>
      <c r="F30" s="726"/>
    </row>
  </sheetData>
  <mergeCells count="1">
    <mergeCell ref="E30:F30"/>
  </mergeCells>
  <pageMargins left="0.7" right="0.7" top="0.75" bottom="0.75" header="0.3" footer="0.3"/>
  <pageSetup paperSize="9" orientation="portrait" r:id="rId1"/>
  <legacyDrawing r:id="rId2"/>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BD4A7-5E28-49B0-BE69-7F04FE5C2BE5}">
  <dimension ref="A1:E21"/>
  <sheetViews>
    <sheetView workbookViewId="0">
      <selection activeCell="B15" sqref="B15"/>
    </sheetView>
  </sheetViews>
  <sheetFormatPr defaultColWidth="8.44140625" defaultRowHeight="14.4"/>
  <cols>
    <col min="1" max="1" width="16.109375" bestFit="1" customWidth="1"/>
    <col min="2" max="2" width="13.44140625" customWidth="1"/>
    <col min="3" max="3" width="21.44140625" bestFit="1" customWidth="1"/>
    <col min="4" max="4" width="23" customWidth="1"/>
    <col min="6" max="6" width="16.44140625" bestFit="1" customWidth="1"/>
    <col min="7" max="7" width="10.44140625" bestFit="1" customWidth="1"/>
    <col min="8" max="8" width="26.6640625" bestFit="1" customWidth="1"/>
    <col min="9" max="9" width="13.77734375" bestFit="1" customWidth="1"/>
  </cols>
  <sheetData>
    <row r="1" spans="1:4">
      <c r="A1" s="726" t="s">
        <v>3512</v>
      </c>
      <c r="B1" s="726"/>
      <c r="C1" s="726"/>
      <c r="D1" s="726"/>
    </row>
    <row r="2" spans="1:4">
      <c r="A2" t="s">
        <v>3068</v>
      </c>
      <c r="B2" s="42">
        <v>46440</v>
      </c>
      <c r="C2" s="516" t="s">
        <v>3508</v>
      </c>
      <c r="D2" t="s">
        <v>3510</v>
      </c>
    </row>
    <row r="3" spans="1:4">
      <c r="A3" t="s">
        <v>2220</v>
      </c>
      <c r="B3" s="42">
        <v>46447</v>
      </c>
      <c r="C3" s="516" t="s">
        <v>3509</v>
      </c>
      <c r="D3" t="s">
        <v>3511</v>
      </c>
    </row>
    <row r="4" spans="1:4">
      <c r="A4" t="s">
        <v>3200</v>
      </c>
      <c r="B4">
        <v>7</v>
      </c>
    </row>
    <row r="5" spans="1:4">
      <c r="A5" t="s">
        <v>3069</v>
      </c>
      <c r="B5">
        <v>6.5</v>
      </c>
    </row>
    <row r="6" spans="1:4">
      <c r="A6" s="307" t="s">
        <v>559</v>
      </c>
      <c r="B6" s="307" t="s">
        <v>1855</v>
      </c>
      <c r="C6" s="307" t="s">
        <v>3064</v>
      </c>
      <c r="D6" s="307" t="s">
        <v>3065</v>
      </c>
    </row>
    <row r="7" spans="1:4">
      <c r="A7" s="649" t="s">
        <v>2835</v>
      </c>
      <c r="B7" s="188">
        <v>800</v>
      </c>
      <c r="C7" s="648">
        <v>46239</v>
      </c>
      <c r="D7" s="188"/>
    </row>
    <row r="8" spans="1:4">
      <c r="A8" s="649" t="s">
        <v>3526</v>
      </c>
      <c r="B8" s="188">
        <v>610</v>
      </c>
      <c r="C8" s="648">
        <v>46243</v>
      </c>
      <c r="D8" s="188"/>
    </row>
    <row r="9" spans="1:4">
      <c r="A9" s="649" t="s">
        <v>857</v>
      </c>
      <c r="B9" s="188">
        <v>610</v>
      </c>
      <c r="C9" s="648"/>
      <c r="D9" s="188"/>
    </row>
    <row r="10" spans="1:4">
      <c r="A10" s="649" t="s">
        <v>2868</v>
      </c>
      <c r="C10" s="648"/>
      <c r="D10" s="188"/>
    </row>
    <row r="11" spans="1:4">
      <c r="A11" s="649" t="s">
        <v>2864</v>
      </c>
      <c r="B11" s="188">
        <f>9*34</f>
        <v>306</v>
      </c>
      <c r="C11" s="648"/>
      <c r="D11" s="188"/>
    </row>
    <row r="12" spans="1:4">
      <c r="A12" s="649" t="s">
        <v>3504</v>
      </c>
      <c r="B12" s="188"/>
    </row>
    <row r="13" spans="1:4">
      <c r="A13" s="305" t="s">
        <v>3285</v>
      </c>
      <c r="B13" s="188">
        <f>100+70</f>
        <v>170</v>
      </c>
      <c r="C13" s="648"/>
      <c r="D13" s="188"/>
    </row>
    <row r="14" spans="1:4">
      <c r="A14" s="649" t="s">
        <v>863</v>
      </c>
      <c r="B14" s="188">
        <v>70</v>
      </c>
      <c r="C14" s="648"/>
      <c r="D14" s="188"/>
    </row>
    <row r="15" spans="1:4">
      <c r="A15" s="649" t="s">
        <v>3500</v>
      </c>
      <c r="B15">
        <f>150*7</f>
        <v>1050</v>
      </c>
    </row>
    <row r="16" spans="1:4">
      <c r="A16" s="649" t="s">
        <v>1725</v>
      </c>
      <c r="B16" s="188">
        <v>500</v>
      </c>
    </row>
    <row r="17" spans="1:5">
      <c r="A17" s="305" t="s">
        <v>3066</v>
      </c>
      <c r="B17">
        <f>SUM(B7:B16)</f>
        <v>4116</v>
      </c>
      <c r="C17" s="648"/>
      <c r="D17" s="188"/>
    </row>
    <row r="18" spans="1:5">
      <c r="A18" s="305"/>
      <c r="C18" s="648"/>
      <c r="D18" s="188"/>
    </row>
    <row r="19" spans="1:5">
      <c r="A19" s="649" t="s">
        <v>3070</v>
      </c>
      <c r="B19">
        <f>(ROUND(B4/7,0)*140)*-1</f>
        <v>-140</v>
      </c>
    </row>
    <row r="20" spans="1:5">
      <c r="A20" s="649" t="s">
        <v>683</v>
      </c>
      <c r="B20">
        <v>0</v>
      </c>
    </row>
    <row r="21" spans="1:5">
      <c r="A21" s="305" t="s">
        <v>3067</v>
      </c>
      <c r="B21">
        <f>SUMIF(C7:C16,"",B7:B16)+B19+B20</f>
        <v>2566</v>
      </c>
      <c r="E21" s="79"/>
    </row>
  </sheetData>
  <mergeCells count="1">
    <mergeCell ref="A1:D1"/>
  </mergeCells>
  <pageMargins left="0.7" right="0.7" top="0.75" bottom="0.75" header="0.3" footer="0.3"/>
  <pageSetup paperSize="9" orientation="portrait" r:id="rId1"/>
  <legacyDrawing r:id="rId2"/>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15B9-FC33-EA4B-BDC8-719313A5BCC8}">
  <dimension ref="A1:E15"/>
  <sheetViews>
    <sheetView workbookViewId="0">
      <selection activeCell="B15" sqref="B15"/>
    </sheetView>
  </sheetViews>
  <sheetFormatPr defaultColWidth="8.44140625" defaultRowHeight="14.4"/>
  <cols>
    <col min="1" max="1" width="16.109375" bestFit="1" customWidth="1"/>
    <col min="2" max="2" width="13.44140625" customWidth="1"/>
    <col min="3" max="3" width="21.44140625" bestFit="1" customWidth="1"/>
    <col min="4" max="4" width="23" customWidth="1"/>
    <col min="6" max="6" width="16.44140625" bestFit="1" customWidth="1"/>
    <col min="7" max="7" width="10.44140625" bestFit="1" customWidth="1"/>
    <col min="8" max="8" width="26.6640625" bestFit="1" customWidth="1"/>
    <col min="9" max="9" width="13.77734375" bestFit="1" customWidth="1"/>
  </cols>
  <sheetData>
    <row r="1" spans="1:5">
      <c r="A1" s="726" t="s">
        <v>3521</v>
      </c>
      <c r="B1" s="726"/>
      <c r="C1" s="726"/>
      <c r="D1" s="726"/>
    </row>
    <row r="2" spans="1:5">
      <c r="B2" s="42"/>
      <c r="C2" s="516"/>
    </row>
    <row r="3" spans="1:5">
      <c r="A3" t="s">
        <v>3522</v>
      </c>
      <c r="B3">
        <v>3</v>
      </c>
      <c r="C3" s="516"/>
    </row>
    <row r="6" spans="1:5">
      <c r="A6" s="307" t="s">
        <v>559</v>
      </c>
      <c r="B6" s="307" t="s">
        <v>1855</v>
      </c>
      <c r="C6" s="307" t="s">
        <v>3064</v>
      </c>
      <c r="D6" s="307" t="s">
        <v>3065</v>
      </c>
    </row>
    <row r="7" spans="1:5">
      <c r="A7" s="649" t="s">
        <v>857</v>
      </c>
      <c r="B7" s="188">
        <v>430</v>
      </c>
      <c r="C7" s="648"/>
      <c r="D7" s="188"/>
    </row>
    <row r="8" spans="1:5">
      <c r="A8" s="649" t="s">
        <v>1008</v>
      </c>
      <c r="B8">
        <v>140</v>
      </c>
      <c r="C8" s="648"/>
      <c r="D8" s="188"/>
    </row>
    <row r="9" spans="1:5">
      <c r="A9" t="s">
        <v>1725</v>
      </c>
      <c r="C9" s="648"/>
      <c r="D9" s="188"/>
    </row>
    <row r="10" spans="1:5">
      <c r="A10" s="649" t="s">
        <v>169</v>
      </c>
      <c r="B10" s="188">
        <f>150*B3</f>
        <v>450</v>
      </c>
      <c r="C10" s="648"/>
      <c r="D10" s="188"/>
    </row>
    <row r="11" spans="1:5">
      <c r="A11" s="305" t="s">
        <v>3066</v>
      </c>
      <c r="B11">
        <f>SUM(B7:B10)</f>
        <v>1020</v>
      </c>
      <c r="C11" s="648"/>
      <c r="D11" s="188"/>
    </row>
    <row r="12" spans="1:5">
      <c r="A12" s="305"/>
      <c r="C12" s="648"/>
      <c r="D12" s="188"/>
    </row>
    <row r="13" spans="1:5">
      <c r="A13" s="649" t="s">
        <v>3070</v>
      </c>
      <c r="B13">
        <f>(ROUND(B4/7,0)*140)*-1</f>
        <v>0</v>
      </c>
    </row>
    <row r="14" spans="1:5">
      <c r="A14" s="649" t="s">
        <v>683</v>
      </c>
      <c r="B14">
        <v>0</v>
      </c>
    </row>
    <row r="15" spans="1:5">
      <c r="A15" s="305" t="s">
        <v>3067</v>
      </c>
      <c r="B15">
        <f>SUMIF(C7:C10,"",B7:B10)+B13+B14</f>
        <v>1020</v>
      </c>
      <c r="E15" s="79"/>
    </row>
  </sheetData>
  <mergeCells count="1">
    <mergeCell ref="A1:D1"/>
  </mergeCells>
  <pageMargins left="0.7" right="0.7" top="0.75" bottom="0.75" header="0.3" footer="0.3"/>
  <pageSetup paperSize="9" orientation="portrait" r:id="rId1"/>
  <legacyDrawing r:id="rId2"/>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5F43C-0DCF-984D-952D-1977B6967E89}">
  <dimension ref="A1:E15"/>
  <sheetViews>
    <sheetView workbookViewId="0">
      <selection activeCell="B15" sqref="B15"/>
    </sheetView>
  </sheetViews>
  <sheetFormatPr defaultColWidth="8.44140625" defaultRowHeight="14.4"/>
  <cols>
    <col min="1" max="1" width="16.109375" bestFit="1" customWidth="1"/>
    <col min="2" max="2" width="13.44140625" customWidth="1"/>
    <col min="3" max="3" width="21.44140625" bestFit="1" customWidth="1"/>
    <col min="4" max="4" width="23" customWidth="1"/>
    <col min="6" max="6" width="16.44140625" bestFit="1" customWidth="1"/>
    <col min="7" max="7" width="10.44140625" bestFit="1" customWidth="1"/>
    <col min="8" max="8" width="26.6640625" bestFit="1" customWidth="1"/>
    <col min="9" max="9" width="13.77734375" bestFit="1" customWidth="1"/>
  </cols>
  <sheetData>
    <row r="1" spans="1:5">
      <c r="A1" s="726" t="s">
        <v>3523</v>
      </c>
      <c r="B1" s="726"/>
      <c r="C1" s="726"/>
      <c r="D1" s="726"/>
    </row>
    <row r="2" spans="1:5">
      <c r="B2" s="42">
        <v>46536</v>
      </c>
      <c r="C2" s="516"/>
    </row>
    <row r="3" spans="1:5">
      <c r="B3" s="42">
        <v>46538</v>
      </c>
      <c r="C3" s="516"/>
    </row>
    <row r="4" spans="1:5">
      <c r="A4" t="s">
        <v>3522</v>
      </c>
      <c r="B4">
        <v>2</v>
      </c>
    </row>
    <row r="6" spans="1:5">
      <c r="A6" s="307" t="s">
        <v>559</v>
      </c>
      <c r="B6" s="307" t="s">
        <v>1855</v>
      </c>
      <c r="C6" s="307" t="s">
        <v>3064</v>
      </c>
      <c r="D6" s="307" t="s">
        <v>3065</v>
      </c>
    </row>
    <row r="7" spans="1:5">
      <c r="A7" s="649" t="s">
        <v>857</v>
      </c>
      <c r="B7" s="188">
        <v>260</v>
      </c>
      <c r="C7" s="648"/>
      <c r="D7" s="188"/>
    </row>
    <row r="8" spans="1:5">
      <c r="A8" s="649" t="s">
        <v>1008</v>
      </c>
      <c r="B8">
        <v>35</v>
      </c>
      <c r="C8" s="648"/>
      <c r="D8" s="188"/>
    </row>
    <row r="9" spans="1:5">
      <c r="A9" t="s">
        <v>1725</v>
      </c>
      <c r="C9" s="648"/>
      <c r="D9" s="188"/>
    </row>
    <row r="10" spans="1:5">
      <c r="A10" s="649" t="s">
        <v>169</v>
      </c>
      <c r="B10" s="188">
        <f>150*B4</f>
        <v>300</v>
      </c>
      <c r="C10" s="648"/>
      <c r="D10" s="188"/>
    </row>
    <row r="11" spans="1:5">
      <c r="A11" s="305" t="s">
        <v>3066</v>
      </c>
      <c r="B11">
        <f>SUM(B7:B10)</f>
        <v>595</v>
      </c>
      <c r="C11" s="648"/>
      <c r="D11" s="188"/>
    </row>
    <row r="12" spans="1:5">
      <c r="A12" s="305"/>
      <c r="C12" s="648"/>
      <c r="D12" s="188"/>
    </row>
    <row r="13" spans="1:5">
      <c r="A13" s="649" t="s">
        <v>3070</v>
      </c>
      <c r="B13">
        <f>(ROUND(B4/7,0)*140)*-1</f>
        <v>0</v>
      </c>
    </row>
    <row r="14" spans="1:5">
      <c r="A14" s="649" t="s">
        <v>683</v>
      </c>
      <c r="B14">
        <v>0</v>
      </c>
    </row>
    <row r="15" spans="1:5">
      <c r="A15" s="305" t="s">
        <v>3067</v>
      </c>
      <c r="B15">
        <f>SUMIF(C7:C10,"",B7:B10)+B13+B14</f>
        <v>595</v>
      </c>
      <c r="E15" s="79"/>
    </row>
  </sheetData>
  <mergeCells count="1">
    <mergeCell ref="A1:D1"/>
  </mergeCells>
  <pageMargins left="0.7" right="0.7" top="0.75" bottom="0.75" header="0.3" footer="0.3"/>
  <pageSetup paperSize="9" orientation="portrait" r:id="rId1"/>
  <legacyDrawing r:id="rId2"/>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1E76-A72F-4EB4-BA66-B7395376AF5B}">
  <dimension ref="A1:H22"/>
  <sheetViews>
    <sheetView workbookViewId="0">
      <selection activeCell="B10" sqref="B10"/>
    </sheetView>
  </sheetViews>
  <sheetFormatPr defaultColWidth="8.44140625" defaultRowHeight="14.4"/>
  <cols>
    <col min="1" max="1" width="16.109375" bestFit="1" customWidth="1"/>
    <col min="2" max="2" width="13.44140625" customWidth="1"/>
    <col min="3" max="3" width="18.6640625" customWidth="1"/>
    <col min="4" max="4" width="23" customWidth="1"/>
  </cols>
  <sheetData>
    <row r="1" spans="1:8">
      <c r="A1" t="s">
        <v>3068</v>
      </c>
      <c r="B1" s="42">
        <v>46278</v>
      </c>
      <c r="C1" s="516" t="s">
        <v>3430</v>
      </c>
      <c r="D1" t="s">
        <v>3426</v>
      </c>
    </row>
    <row r="2" spans="1:8">
      <c r="A2" t="s">
        <v>2220</v>
      </c>
      <c r="B2" s="42">
        <v>46296</v>
      </c>
      <c r="C2" s="516">
        <v>0.54861111111111116</v>
      </c>
      <c r="D2" t="s">
        <v>3427</v>
      </c>
    </row>
    <row r="3" spans="1:8">
      <c r="A3" t="s">
        <v>3069</v>
      </c>
      <c r="B3">
        <v>7</v>
      </c>
    </row>
    <row r="4" spans="1:8">
      <c r="F4" s="79"/>
      <c r="H4" s="79"/>
    </row>
    <row r="5" spans="1:8">
      <c r="A5" s="307" t="s">
        <v>559</v>
      </c>
      <c r="B5" s="307" t="s">
        <v>1855</v>
      </c>
      <c r="C5" s="307" t="s">
        <v>3064</v>
      </c>
      <c r="D5" s="307" t="s">
        <v>3065</v>
      </c>
      <c r="F5" s="79"/>
      <c r="H5" s="79"/>
    </row>
    <row r="6" spans="1:8">
      <c r="A6" s="649" t="s">
        <v>2835</v>
      </c>
      <c r="B6" s="188">
        <v>5</v>
      </c>
      <c r="C6" s="648"/>
      <c r="D6" s="188"/>
    </row>
    <row r="7" spans="1:8">
      <c r="A7" s="649" t="s">
        <v>2868</v>
      </c>
      <c r="B7">
        <v>0</v>
      </c>
      <c r="C7" s="648"/>
      <c r="D7" s="188"/>
    </row>
    <row r="8" spans="1:8">
      <c r="A8" s="649" t="s">
        <v>2864</v>
      </c>
      <c r="B8" s="188">
        <v>0</v>
      </c>
      <c r="C8" s="648"/>
      <c r="D8" s="188"/>
    </row>
    <row r="9" spans="1:8">
      <c r="A9" s="305" t="s">
        <v>3506</v>
      </c>
      <c r="B9" s="188">
        <v>100</v>
      </c>
    </row>
    <row r="10" spans="1:8">
      <c r="A10" s="649" t="s">
        <v>3501</v>
      </c>
      <c r="B10" s="188">
        <f>150</f>
        <v>150</v>
      </c>
      <c r="C10" s="648"/>
      <c r="D10" s="188"/>
    </row>
    <row r="11" spans="1:8">
      <c r="A11" s="649" t="s">
        <v>3330</v>
      </c>
      <c r="B11" s="188">
        <v>300</v>
      </c>
      <c r="C11" s="648"/>
      <c r="D11" s="188"/>
    </row>
    <row r="12" spans="1:8">
      <c r="A12" s="649" t="s">
        <v>3502</v>
      </c>
      <c r="B12" s="188">
        <v>25</v>
      </c>
      <c r="C12" s="648"/>
      <c r="D12" s="188"/>
    </row>
    <row r="13" spans="1:8">
      <c r="A13" s="649" t="s">
        <v>857</v>
      </c>
      <c r="B13" s="188">
        <v>1500</v>
      </c>
      <c r="C13" s="648"/>
      <c r="D13" s="188"/>
    </row>
    <row r="14" spans="1:8">
      <c r="A14" s="649" t="s">
        <v>169</v>
      </c>
      <c r="B14" s="188">
        <f>100*7</f>
        <v>700</v>
      </c>
      <c r="C14" s="648"/>
      <c r="D14" s="188"/>
    </row>
    <row r="15" spans="1:8">
      <c r="A15" s="649" t="s">
        <v>1725</v>
      </c>
      <c r="B15" s="188">
        <f>50*7</f>
        <v>350</v>
      </c>
      <c r="C15" s="648"/>
      <c r="D15" s="188"/>
    </row>
    <row r="16" spans="1:8">
      <c r="A16" s="305" t="s">
        <v>3066</v>
      </c>
      <c r="B16">
        <f>SUM(B6:B15)</f>
        <v>3130</v>
      </c>
    </row>
    <row r="17" spans="1:6">
      <c r="A17" s="305"/>
    </row>
    <row r="18" spans="1:6">
      <c r="A18" s="649" t="s">
        <v>3070</v>
      </c>
      <c r="B18">
        <f>(ROUND(B3/7,0)*140)*-1</f>
        <v>-140</v>
      </c>
      <c r="C18" s="648"/>
      <c r="D18" s="188"/>
    </row>
    <row r="19" spans="1:6">
      <c r="A19" s="649" t="s">
        <v>683</v>
      </c>
      <c r="B19">
        <v>0</v>
      </c>
      <c r="C19" s="648"/>
      <c r="D19" s="188"/>
    </row>
    <row r="20" spans="1:6">
      <c r="A20" s="305" t="s">
        <v>3067</v>
      </c>
      <c r="B20">
        <f>SUMIF(C6:C15,"",B6:B15)+B18+B19</f>
        <v>2990</v>
      </c>
    </row>
    <row r="22" spans="1:6">
      <c r="E22" s="726"/>
      <c r="F22" s="726"/>
    </row>
  </sheetData>
  <mergeCells count="1">
    <mergeCell ref="E22:F22"/>
  </mergeCells>
  <pageMargins left="0.7" right="0.7" top="0.75" bottom="0.75" header="0.3" footer="0.3"/>
  <pageSetup paperSize="9" orientation="portrait" r:id="rId1"/>
  <legacyDrawing r:id="rId2"/>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05EE-9FA2-47A4-8204-50C180CA051A}">
  <dimension ref="A1:J21"/>
  <sheetViews>
    <sheetView workbookViewId="0">
      <selection activeCell="B20" sqref="B20"/>
    </sheetView>
  </sheetViews>
  <sheetFormatPr defaultColWidth="8.44140625" defaultRowHeight="14.4"/>
  <cols>
    <col min="1" max="1" width="22.44140625" customWidth="1"/>
    <col min="2" max="2" width="16.109375" bestFit="1" customWidth="1"/>
    <col min="3" max="3" width="12.6640625" bestFit="1" customWidth="1"/>
    <col min="4" max="4" width="21.6640625" bestFit="1" customWidth="1"/>
  </cols>
  <sheetData>
    <row r="1" spans="1:10">
      <c r="A1" t="s">
        <v>3405</v>
      </c>
      <c r="B1" t="s">
        <v>3467</v>
      </c>
    </row>
    <row r="2" spans="1:10">
      <c r="A2" t="s">
        <v>3068</v>
      </c>
      <c r="B2" s="42">
        <v>46202</v>
      </c>
      <c r="C2" s="516">
        <v>0.2986111111111111</v>
      </c>
      <c r="D2" s="516">
        <v>0.46527777777777779</v>
      </c>
    </row>
    <row r="3" spans="1:10">
      <c r="A3" t="s">
        <v>2220</v>
      </c>
      <c r="B3" s="42">
        <v>46206</v>
      </c>
      <c r="C3" s="516">
        <v>0.83333333333333337</v>
      </c>
      <c r="D3" s="516">
        <v>0.91319444444444442</v>
      </c>
    </row>
    <row r="4" spans="1:10">
      <c r="A4" t="s">
        <v>3200</v>
      </c>
      <c r="B4">
        <f>DATEDIF(B2, B3, "D")</f>
        <v>4</v>
      </c>
    </row>
    <row r="5" spans="1:10">
      <c r="A5" t="s">
        <v>3069</v>
      </c>
    </row>
    <row r="6" spans="1:10">
      <c r="A6" s="307" t="s">
        <v>559</v>
      </c>
      <c r="B6" s="307" t="s">
        <v>1855</v>
      </c>
      <c r="C6" s="307" t="s">
        <v>3064</v>
      </c>
      <c r="D6" s="307" t="s">
        <v>3065</v>
      </c>
    </row>
    <row r="7" spans="1:10">
      <c r="A7" s="649" t="s">
        <v>2835</v>
      </c>
      <c r="B7" s="188">
        <v>580</v>
      </c>
      <c r="C7" s="648"/>
      <c r="D7" s="188"/>
    </row>
    <row r="8" spans="1:10">
      <c r="A8" s="649" t="s">
        <v>2868</v>
      </c>
      <c r="B8">
        <v>0</v>
      </c>
      <c r="C8" s="648"/>
      <c r="D8" s="188"/>
    </row>
    <row r="9" spans="1:10">
      <c r="A9" s="649" t="s">
        <v>2864</v>
      </c>
      <c r="B9" s="188">
        <v>0</v>
      </c>
      <c r="C9" s="648"/>
      <c r="D9" s="188"/>
    </row>
    <row r="10" spans="1:10">
      <c r="A10" s="305" t="s">
        <v>3468</v>
      </c>
      <c r="B10" s="188">
        <v>100</v>
      </c>
      <c r="C10" s="77"/>
    </row>
    <row r="11" spans="1:10">
      <c r="A11" s="305" t="s">
        <v>3469</v>
      </c>
      <c r="B11" s="188">
        <v>100</v>
      </c>
      <c r="C11" s="77"/>
    </row>
    <row r="12" spans="1:10">
      <c r="A12" s="305" t="s">
        <v>1008</v>
      </c>
      <c r="B12" s="188">
        <v>70</v>
      </c>
    </row>
    <row r="13" spans="1:10">
      <c r="A13" s="649" t="s">
        <v>857</v>
      </c>
      <c r="B13" s="188">
        <v>1100</v>
      </c>
      <c r="C13" s="648"/>
      <c r="D13" s="188"/>
    </row>
    <row r="14" spans="1:10">
      <c r="A14" s="649" t="s">
        <v>3404</v>
      </c>
      <c r="B14" s="188">
        <v>900</v>
      </c>
      <c r="C14" s="648"/>
      <c r="D14" s="188"/>
      <c r="J14" s="390"/>
    </row>
    <row r="15" spans="1:10">
      <c r="A15" s="649" t="s">
        <v>777</v>
      </c>
      <c r="B15" s="188">
        <v>500</v>
      </c>
      <c r="C15" s="648"/>
      <c r="D15" s="188"/>
      <c r="J15" s="390"/>
    </row>
    <row r="16" spans="1:10">
      <c r="A16" s="649"/>
      <c r="C16" s="648"/>
      <c r="D16" s="188"/>
      <c r="J16" s="79"/>
    </row>
    <row r="17" spans="1:10">
      <c r="A17" s="305" t="s">
        <v>3066</v>
      </c>
      <c r="B17">
        <f>SUM(B7:B16)</f>
        <v>3350</v>
      </c>
      <c r="J17" s="79"/>
    </row>
    <row r="18" spans="1:10">
      <c r="A18" s="305"/>
      <c r="J18" s="79"/>
    </row>
    <row r="19" spans="1:10">
      <c r="A19" s="649" t="s">
        <v>3070</v>
      </c>
      <c r="B19">
        <f>(ROUND(B4/7,0)*140)*-1</f>
        <v>-140</v>
      </c>
      <c r="C19" s="648"/>
      <c r="D19" s="188"/>
      <c r="J19" s="7"/>
    </row>
    <row r="20" spans="1:10">
      <c r="A20" s="649" t="s">
        <v>683</v>
      </c>
      <c r="B20">
        <f>-100</f>
        <v>-100</v>
      </c>
      <c r="C20" s="648"/>
      <c r="D20" s="188"/>
    </row>
    <row r="21" spans="1:10">
      <c r="A21" s="305" t="s">
        <v>3067</v>
      </c>
      <c r="B21" s="55">
        <f>SUMIF(C7:C16,"",B7:B16)+B19+B20</f>
        <v>3110</v>
      </c>
      <c r="D21" s="55"/>
    </row>
  </sheetData>
  <pageMargins left="0.7" right="0.7" top="0.75" bottom="0.75" header="0.3" footer="0.3"/>
  <pageSetup paperSize="0" orientation="portrait" horizontalDpi="203" verticalDpi="203" r:id="rId1"/>
  <legacyDrawing r:id="rId2"/>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AE827-F658-F24F-B9F9-41338D8BA552}">
  <dimension ref="A1:D20"/>
  <sheetViews>
    <sheetView topLeftCell="A4" workbookViewId="0">
      <selection activeCell="B20" sqref="B20"/>
    </sheetView>
  </sheetViews>
  <sheetFormatPr defaultColWidth="11.44140625" defaultRowHeight="14.4"/>
  <cols>
    <col min="1" max="1" width="14.77734375" bestFit="1" customWidth="1"/>
    <col min="2" max="2" width="10.44140625" bestFit="1" customWidth="1"/>
  </cols>
  <sheetData>
    <row r="1" spans="1:4">
      <c r="A1" t="s">
        <v>3068</v>
      </c>
      <c r="B1" s="42">
        <v>46199</v>
      </c>
      <c r="C1" s="516">
        <v>0.34375</v>
      </c>
    </row>
    <row r="2" spans="1:4">
      <c r="A2" t="s">
        <v>2220</v>
      </c>
      <c r="B2" s="42">
        <v>46202</v>
      </c>
      <c r="C2" s="516">
        <v>0.8125</v>
      </c>
    </row>
    <row r="3" spans="1:4">
      <c r="A3" t="s">
        <v>3069</v>
      </c>
      <c r="B3">
        <f>DATEDIF(B1, B2, "D")</f>
        <v>3</v>
      </c>
    </row>
    <row r="5" spans="1:4">
      <c r="A5" s="307" t="s">
        <v>559</v>
      </c>
      <c r="B5" s="307" t="s">
        <v>1855</v>
      </c>
      <c r="C5" s="307" t="s">
        <v>3064</v>
      </c>
      <c r="D5" s="307" t="s">
        <v>3065</v>
      </c>
    </row>
    <row r="6" spans="1:4">
      <c r="A6" s="649" t="s">
        <v>2835</v>
      </c>
      <c r="B6" s="188">
        <v>2</v>
      </c>
      <c r="C6" s="648">
        <v>45845</v>
      </c>
      <c r="D6" s="188" t="s">
        <v>3055</v>
      </c>
    </row>
    <row r="7" spans="1:4">
      <c r="A7" s="649" t="s">
        <v>2864</v>
      </c>
      <c r="B7" s="188">
        <f>5*33</f>
        <v>165</v>
      </c>
      <c r="C7" s="648"/>
      <c r="D7" s="188"/>
    </row>
    <row r="8" spans="1:4">
      <c r="A8" s="649" t="s">
        <v>1725</v>
      </c>
      <c r="B8" s="188">
        <f>B3*100</f>
        <v>300</v>
      </c>
      <c r="C8" s="648"/>
      <c r="D8" s="188"/>
    </row>
    <row r="9" spans="1:4">
      <c r="A9" s="649" t="s">
        <v>3166</v>
      </c>
      <c r="B9" s="188">
        <v>80</v>
      </c>
      <c r="C9" s="648"/>
      <c r="D9" s="188"/>
    </row>
    <row r="10" spans="1:4">
      <c r="A10" s="649" t="s">
        <v>3164</v>
      </c>
      <c r="B10">
        <v>50</v>
      </c>
      <c r="C10" s="648"/>
      <c r="D10" s="188"/>
    </row>
    <row r="11" spans="1:4">
      <c r="A11" s="305" t="s">
        <v>864</v>
      </c>
      <c r="B11">
        <v>60</v>
      </c>
    </row>
    <row r="12" spans="1:4">
      <c r="A12" s="649" t="s">
        <v>1713</v>
      </c>
      <c r="B12">
        <v>400</v>
      </c>
      <c r="C12" s="648"/>
      <c r="D12" s="188"/>
    </row>
    <row r="13" spans="1:4">
      <c r="A13" s="305" t="s">
        <v>3066</v>
      </c>
      <c r="B13">
        <f>SUM(B6:B12)</f>
        <v>1057</v>
      </c>
    </row>
    <row r="14" spans="1:4">
      <c r="A14" s="305"/>
    </row>
    <row r="15" spans="1:4">
      <c r="A15" s="649" t="s">
        <v>3070</v>
      </c>
      <c r="B15">
        <v>-50</v>
      </c>
      <c r="C15" s="648"/>
      <c r="D15" s="188"/>
    </row>
    <row r="16" spans="1:4">
      <c r="A16" s="649" t="s">
        <v>3165</v>
      </c>
      <c r="B16">
        <f>(100*2)*-1</f>
        <v>-200</v>
      </c>
      <c r="C16" s="648"/>
      <c r="D16" s="188"/>
    </row>
    <row r="17" spans="1:2">
      <c r="A17" s="305" t="s">
        <v>3067</v>
      </c>
      <c r="B17">
        <f>SUMIF(C6:C12,"",B6:B12)+B15+B16</f>
        <v>805</v>
      </c>
    </row>
    <row r="19" spans="1:2">
      <c r="B19">
        <f>B17/6</f>
        <v>134.16666666666666</v>
      </c>
    </row>
    <row r="20" spans="1:2">
      <c r="B20">
        <f>B19/2</f>
        <v>67.083333333333329</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E9099-29B1-C149-99ED-893EE5F4B041}">
  <dimension ref="A1:I32"/>
  <sheetViews>
    <sheetView topLeftCell="A5" workbookViewId="0">
      <selection activeCell="B7" sqref="B7"/>
    </sheetView>
  </sheetViews>
  <sheetFormatPr defaultColWidth="8.44140625" defaultRowHeight="14.4"/>
  <cols>
    <col min="1" max="1" width="16.109375" bestFit="1" customWidth="1"/>
    <col min="2" max="2" width="13.44140625" customWidth="1"/>
    <col min="3" max="3" width="18.6640625" customWidth="1"/>
    <col min="4" max="4" width="23" customWidth="1"/>
  </cols>
  <sheetData>
    <row r="1" spans="1:5">
      <c r="A1" t="s">
        <v>3068</v>
      </c>
      <c r="B1" s="42">
        <v>46286</v>
      </c>
      <c r="C1" s="516">
        <v>0.4375</v>
      </c>
    </row>
    <row r="2" spans="1:5">
      <c r="A2" t="s">
        <v>2220</v>
      </c>
      <c r="B2" s="42">
        <v>46297</v>
      </c>
      <c r="C2" s="516">
        <v>0.67013888888888884</v>
      </c>
    </row>
    <row r="3" spans="1:5">
      <c r="A3" t="s">
        <v>3069</v>
      </c>
      <c r="B3">
        <v>10</v>
      </c>
    </row>
    <row r="4" spans="1:5">
      <c r="A4" t="s">
        <v>3167</v>
      </c>
      <c r="B4">
        <v>12</v>
      </c>
    </row>
    <row r="6" spans="1:5">
      <c r="A6" s="307" t="s">
        <v>559</v>
      </c>
      <c r="B6" s="307" t="s">
        <v>1855</v>
      </c>
      <c r="C6" s="307" t="s">
        <v>3064</v>
      </c>
      <c r="D6" s="307" t="s">
        <v>3065</v>
      </c>
      <c r="E6" s="307" t="s">
        <v>1391</v>
      </c>
    </row>
    <row r="7" spans="1:5">
      <c r="A7" s="649" t="s">
        <v>2835</v>
      </c>
      <c r="B7" s="188">
        <v>1150</v>
      </c>
      <c r="C7" s="648">
        <v>45845</v>
      </c>
      <c r="D7" s="188" t="s">
        <v>3055</v>
      </c>
    </row>
    <row r="8" spans="1:5">
      <c r="A8" s="649" t="s">
        <v>863</v>
      </c>
      <c r="B8" s="188">
        <v>80</v>
      </c>
      <c r="C8" s="648"/>
      <c r="D8" s="188"/>
      <c r="E8">
        <f>(B8*0.8)*10</f>
        <v>640</v>
      </c>
    </row>
    <row r="9" spans="1:5">
      <c r="A9" s="649" t="s">
        <v>3169</v>
      </c>
      <c r="B9" s="188">
        <v>50</v>
      </c>
      <c r="C9" s="648"/>
      <c r="D9" s="188"/>
    </row>
    <row r="10" spans="1:5">
      <c r="A10" s="305" t="s">
        <v>864</v>
      </c>
      <c r="B10">
        <v>135</v>
      </c>
      <c r="E10">
        <f>(B10*0.8)*10</f>
        <v>1080</v>
      </c>
    </row>
    <row r="11" spans="1:5">
      <c r="A11" s="649" t="s">
        <v>2864</v>
      </c>
      <c r="B11" s="188">
        <f>B4*33</f>
        <v>396</v>
      </c>
      <c r="C11" s="648"/>
      <c r="D11" s="188"/>
    </row>
    <row r="12" spans="1:5">
      <c r="A12" s="649" t="s">
        <v>3168</v>
      </c>
      <c r="B12" s="188">
        <f>700-250</f>
        <v>450</v>
      </c>
      <c r="C12" s="648"/>
      <c r="D12" s="188"/>
      <c r="E12">
        <f>(B12*0.8)*5</f>
        <v>1800</v>
      </c>
    </row>
    <row r="13" spans="1:5">
      <c r="A13" s="649" t="s">
        <v>1008</v>
      </c>
      <c r="B13" s="188">
        <v>220</v>
      </c>
      <c r="C13" s="648"/>
      <c r="D13" s="188"/>
    </row>
    <row r="14" spans="1:5">
      <c r="A14" s="649" t="s">
        <v>169</v>
      </c>
      <c r="B14" s="188">
        <f>150*10</f>
        <v>1500</v>
      </c>
      <c r="C14" s="648"/>
      <c r="D14" s="188"/>
    </row>
    <row r="15" spans="1:5">
      <c r="A15" s="649" t="s">
        <v>3170</v>
      </c>
      <c r="B15" s="188">
        <v>200</v>
      </c>
      <c r="C15" s="648">
        <v>46033</v>
      </c>
      <c r="D15" s="188" t="s">
        <v>3035</v>
      </c>
    </row>
    <row r="16" spans="1:5">
      <c r="A16" s="649" t="s">
        <v>3172</v>
      </c>
      <c r="B16" s="188">
        <f>100*2</f>
        <v>200</v>
      </c>
      <c r="C16" s="648"/>
      <c r="D16" s="188"/>
    </row>
    <row r="17" spans="1:9">
      <c r="A17" s="649" t="s">
        <v>3171</v>
      </c>
      <c r="B17" s="188">
        <v>0</v>
      </c>
      <c r="C17" s="648"/>
      <c r="D17" s="188"/>
    </row>
    <row r="18" spans="1:9">
      <c r="A18" s="649" t="s">
        <v>777</v>
      </c>
      <c r="B18" s="188">
        <f>B3*50</f>
        <v>500</v>
      </c>
      <c r="C18" s="648"/>
      <c r="D18" s="188"/>
    </row>
    <row r="19" spans="1:9">
      <c r="A19" s="649" t="s">
        <v>1713</v>
      </c>
      <c r="B19">
        <f>SUM(H29:H32)</f>
        <v>1768</v>
      </c>
      <c r="C19" s="188"/>
      <c r="D19" s="188"/>
      <c r="E19">
        <f>(B19*0.8)*6</f>
        <v>8486.4000000000015</v>
      </c>
    </row>
    <row r="20" spans="1:9">
      <c r="A20" s="305" t="s">
        <v>3066</v>
      </c>
      <c r="B20">
        <f>SUM(B7:B19)</f>
        <v>6649</v>
      </c>
      <c r="C20" s="648"/>
      <c r="D20" s="188"/>
      <c r="E20">
        <f>(B20*1.5)+SUM(E7:E19)</f>
        <v>21979.9</v>
      </c>
    </row>
    <row r="21" spans="1:9">
      <c r="A21" s="305"/>
      <c r="C21" s="648"/>
      <c r="D21" s="188"/>
    </row>
    <row r="22" spans="1:9">
      <c r="A22" s="649" t="s">
        <v>3070</v>
      </c>
      <c r="B22">
        <f>(140*2)*-1</f>
        <v>-280</v>
      </c>
      <c r="C22" s="648"/>
      <c r="D22" s="188"/>
    </row>
    <row r="23" spans="1:9">
      <c r="A23" s="649" t="s">
        <v>2926</v>
      </c>
      <c r="B23">
        <f>((100*2)*2)*-1</f>
        <v>-400</v>
      </c>
      <c r="C23" s="648"/>
      <c r="D23" s="188"/>
    </row>
    <row r="24" spans="1:9">
      <c r="A24" s="305" t="s">
        <v>3067</v>
      </c>
      <c r="B24">
        <f>SUMIF(C7:C19,"",B7:B19)+B22+B23</f>
        <v>4619</v>
      </c>
    </row>
    <row r="25" spans="1:9">
      <c r="A25" s="649" t="s">
        <v>3174</v>
      </c>
      <c r="B25">
        <f>B24*0.0299</f>
        <v>138.10810000000001</v>
      </c>
    </row>
    <row r="26" spans="1:9">
      <c r="A26" s="649" t="s">
        <v>3173</v>
      </c>
      <c r="B26">
        <f>B24+B25</f>
        <v>4757.1081000000004</v>
      </c>
    </row>
    <row r="27" spans="1:9">
      <c r="E27" s="726" t="s">
        <v>1713</v>
      </c>
      <c r="F27" s="726"/>
      <c r="G27" s="726"/>
      <c r="H27" s="726"/>
    </row>
    <row r="28" spans="1:9">
      <c r="E28" t="s">
        <v>3342</v>
      </c>
      <c r="F28" t="s">
        <v>3343</v>
      </c>
      <c r="G28" t="s">
        <v>3344</v>
      </c>
      <c r="H28" t="s">
        <v>562</v>
      </c>
    </row>
    <row r="29" spans="1:9">
      <c r="E29" s="77">
        <v>46286</v>
      </c>
      <c r="F29" s="77">
        <v>46289</v>
      </c>
      <c r="G29" t="s">
        <v>3345</v>
      </c>
      <c r="H29">
        <v>600</v>
      </c>
      <c r="I29" t="s">
        <v>3347</v>
      </c>
    </row>
    <row r="30" spans="1:9">
      <c r="E30" s="77">
        <v>46289</v>
      </c>
      <c r="F30" s="77">
        <v>46291</v>
      </c>
      <c r="G30" t="s">
        <v>2887</v>
      </c>
      <c r="H30">
        <v>216</v>
      </c>
      <c r="I30" t="s">
        <v>3348</v>
      </c>
    </row>
    <row r="31" spans="1:9">
      <c r="E31" s="77">
        <v>46291</v>
      </c>
      <c r="F31" s="77">
        <v>46294</v>
      </c>
      <c r="G31" t="s">
        <v>3341</v>
      </c>
      <c r="H31">
        <f>600</f>
        <v>600</v>
      </c>
      <c r="I31" t="s">
        <v>3348</v>
      </c>
    </row>
    <row r="32" spans="1:9">
      <c r="E32" s="77">
        <v>46294</v>
      </c>
      <c r="F32" s="77">
        <v>46296</v>
      </c>
      <c r="G32" t="s">
        <v>3346</v>
      </c>
      <c r="H32">
        <v>352</v>
      </c>
      <c r="I32" t="s">
        <v>3347</v>
      </c>
    </row>
  </sheetData>
  <mergeCells count="1">
    <mergeCell ref="E27:H27"/>
  </mergeCells>
  <pageMargins left="0.7" right="0.7" top="0.75" bottom="0.75" header="0.3" footer="0.3"/>
  <pageSetup paperSize="0" orientation="portrait" horizontalDpi="203" verticalDpi="203" r:id="rId1"/>
  <legacyDrawing r:id="rId2"/>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1C96-9327-4E8A-B054-D75AA06A739C}">
  <dimension ref="A1:H38"/>
  <sheetViews>
    <sheetView topLeftCell="A20" workbookViewId="0">
      <selection activeCell="D40" sqref="A28:D40"/>
    </sheetView>
  </sheetViews>
  <sheetFormatPr defaultColWidth="8.44140625" defaultRowHeight="14.4"/>
  <cols>
    <col min="1" max="1" width="16.109375" bestFit="1" customWidth="1"/>
    <col min="2" max="2" width="13.44140625" customWidth="1"/>
    <col min="3" max="3" width="18.6640625" customWidth="1"/>
    <col min="4" max="4" width="23" customWidth="1"/>
  </cols>
  <sheetData>
    <row r="1" spans="1:5">
      <c r="A1" t="s">
        <v>3068</v>
      </c>
      <c r="B1" s="42">
        <v>46549</v>
      </c>
      <c r="C1" s="516" t="s">
        <v>3113</v>
      </c>
    </row>
    <row r="2" spans="1:5">
      <c r="A2" t="s">
        <v>2220</v>
      </c>
      <c r="B2" s="42">
        <v>46563</v>
      </c>
      <c r="C2" s="516" t="s">
        <v>3113</v>
      </c>
    </row>
    <row r="3" spans="1:5">
      <c r="A3" t="s">
        <v>3069</v>
      </c>
      <c r="B3">
        <f>B2-B1</f>
        <v>14</v>
      </c>
    </row>
    <row r="4" spans="1:5">
      <c r="A4" t="s">
        <v>3407</v>
      </c>
      <c r="B4">
        <v>2500</v>
      </c>
    </row>
    <row r="6" spans="1:5">
      <c r="A6" s="307" t="s">
        <v>559</v>
      </c>
      <c r="B6" s="307" t="s">
        <v>1855</v>
      </c>
      <c r="C6" s="307" t="s">
        <v>3064</v>
      </c>
      <c r="D6" s="307" t="s">
        <v>3065</v>
      </c>
      <c r="E6" s="307" t="s">
        <v>1391</v>
      </c>
    </row>
    <row r="7" spans="1:5">
      <c r="A7" s="649" t="s">
        <v>1008</v>
      </c>
      <c r="B7" s="188">
        <f>(B4/500)*70</f>
        <v>350</v>
      </c>
      <c r="C7" s="648"/>
      <c r="D7" s="188"/>
    </row>
    <row r="8" spans="1:5">
      <c r="A8" s="649" t="s">
        <v>3408</v>
      </c>
      <c r="B8" s="188">
        <v>80</v>
      </c>
      <c r="C8" s="648"/>
      <c r="D8" s="188"/>
      <c r="E8">
        <f>(B8*0.8)*10</f>
        <v>640</v>
      </c>
    </row>
    <row r="9" spans="1:5">
      <c r="A9" s="649" t="s">
        <v>3169</v>
      </c>
      <c r="B9" s="188">
        <v>50</v>
      </c>
      <c r="C9" s="648"/>
      <c r="D9" s="188"/>
    </row>
    <row r="10" spans="1:5">
      <c r="A10" s="305" t="s">
        <v>864</v>
      </c>
      <c r="B10">
        <v>135</v>
      </c>
      <c r="E10">
        <f>(B10*0.8)*10</f>
        <v>1080</v>
      </c>
    </row>
    <row r="11" spans="1:5">
      <c r="A11" s="649" t="s">
        <v>2864</v>
      </c>
      <c r="B11" s="188"/>
      <c r="C11" s="648"/>
      <c r="D11" s="188"/>
    </row>
    <row r="12" spans="1:5">
      <c r="A12" s="649" t="s">
        <v>3168</v>
      </c>
      <c r="B12" s="188">
        <f>700-250</f>
        <v>450</v>
      </c>
      <c r="C12" s="648"/>
      <c r="D12" s="188"/>
      <c r="E12">
        <f>(B12*0.8)*5</f>
        <v>1800</v>
      </c>
    </row>
    <row r="13" spans="1:5">
      <c r="A13" s="649" t="s">
        <v>1008</v>
      </c>
      <c r="B13" s="188">
        <v>220</v>
      </c>
      <c r="C13" s="648"/>
      <c r="D13" s="188"/>
    </row>
    <row r="14" spans="1:5">
      <c r="A14" s="649" t="s">
        <v>169</v>
      </c>
      <c r="B14" s="188">
        <f>150*10</f>
        <v>1500</v>
      </c>
      <c r="C14" s="648"/>
      <c r="D14" s="188"/>
    </row>
    <row r="15" spans="1:5">
      <c r="A15" s="649" t="s">
        <v>3170</v>
      </c>
      <c r="B15" s="188">
        <v>200</v>
      </c>
      <c r="C15" s="648">
        <v>46033</v>
      </c>
      <c r="D15" s="188" t="s">
        <v>3035</v>
      </c>
    </row>
    <row r="16" spans="1:5">
      <c r="A16" s="649" t="s">
        <v>3172</v>
      </c>
      <c r="B16" s="188">
        <f>100*2</f>
        <v>200</v>
      </c>
      <c r="C16" s="648"/>
      <c r="D16" s="188"/>
    </row>
    <row r="17" spans="1:8">
      <c r="A17" s="649" t="s">
        <v>3171</v>
      </c>
      <c r="B17" s="188">
        <v>0</v>
      </c>
      <c r="C17" s="648"/>
      <c r="D17" s="188"/>
    </row>
    <row r="18" spans="1:8">
      <c r="A18" s="649" t="s">
        <v>777</v>
      </c>
      <c r="B18" s="188">
        <f>B3*50</f>
        <v>700</v>
      </c>
      <c r="C18" s="648"/>
      <c r="D18" s="188"/>
    </row>
    <row r="19" spans="1:8">
      <c r="A19" s="649" t="s">
        <v>1713</v>
      </c>
      <c r="B19">
        <f>SUM(H29:H32)</f>
        <v>0</v>
      </c>
      <c r="C19" s="188"/>
      <c r="D19" s="188"/>
    </row>
    <row r="20" spans="1:8">
      <c r="A20" s="305" t="s">
        <v>3066</v>
      </c>
      <c r="B20">
        <f>SUM(B7:B19)</f>
        <v>3885</v>
      </c>
      <c r="C20" s="648"/>
      <c r="D20" s="188"/>
    </row>
    <row r="21" spans="1:8">
      <c r="A21" s="305"/>
      <c r="C21" s="648"/>
      <c r="D21" s="188"/>
    </row>
    <row r="22" spans="1:8">
      <c r="A22" s="649" t="s">
        <v>3070</v>
      </c>
      <c r="B22">
        <f>(140*2)*-1</f>
        <v>-280</v>
      </c>
      <c r="C22" s="648"/>
      <c r="D22" s="188"/>
    </row>
    <row r="23" spans="1:8">
      <c r="A23" s="649" t="s">
        <v>2926</v>
      </c>
      <c r="B23">
        <f>((100*2)*2)*-1</f>
        <v>-400</v>
      </c>
      <c r="C23" s="648"/>
      <c r="D23" s="188"/>
    </row>
    <row r="24" spans="1:8">
      <c r="A24" s="305" t="s">
        <v>3067</v>
      </c>
      <c r="B24">
        <f>SUMIF(C7:C19,"",B7:B19)+B22+B23</f>
        <v>3005</v>
      </c>
    </row>
    <row r="25" spans="1:8">
      <c r="A25" s="649" t="s">
        <v>3174</v>
      </c>
      <c r="B25">
        <f>B24*0.0299</f>
        <v>89.849499999999992</v>
      </c>
    </row>
    <row r="26" spans="1:8">
      <c r="A26" s="649" t="s">
        <v>3173</v>
      </c>
      <c r="B26">
        <f>B24+B25</f>
        <v>3094.8494999999998</v>
      </c>
    </row>
    <row r="27" spans="1:8">
      <c r="E27" s="726"/>
      <c r="F27" s="726"/>
      <c r="G27" s="726"/>
      <c r="H27" s="726"/>
    </row>
    <row r="28" spans="1:8">
      <c r="A28" s="550"/>
      <c r="B28" s="550"/>
      <c r="C28" s="550"/>
      <c r="D28" s="550"/>
    </row>
    <row r="29" spans="1:8">
      <c r="A29" s="334"/>
      <c r="B29" s="707"/>
      <c r="C29" s="707"/>
      <c r="D29" s="334"/>
      <c r="E29" s="77"/>
      <c r="F29" s="77"/>
    </row>
    <row r="30" spans="1:8">
      <c r="A30" s="334"/>
      <c r="B30" s="707"/>
      <c r="C30" s="707"/>
      <c r="D30" s="334"/>
      <c r="E30" s="77"/>
      <c r="F30" s="77"/>
    </row>
    <row r="31" spans="1:8">
      <c r="A31" s="334"/>
      <c r="B31" s="707"/>
      <c r="C31" s="707"/>
      <c r="D31" s="334"/>
      <c r="E31" s="77"/>
      <c r="F31" s="77"/>
    </row>
    <row r="32" spans="1:8">
      <c r="A32" s="334"/>
      <c r="B32" s="707"/>
      <c r="C32" s="707"/>
      <c r="D32" s="334"/>
      <c r="E32" s="77"/>
      <c r="F32" s="77"/>
    </row>
    <row r="33" spans="1:4">
      <c r="A33" s="334"/>
      <c r="B33" s="707"/>
      <c r="C33" s="707"/>
      <c r="D33" s="334"/>
    </row>
    <row r="34" spans="1:4">
      <c r="A34" s="334"/>
      <c r="B34" s="707"/>
      <c r="C34" s="707"/>
      <c r="D34" s="334"/>
    </row>
    <row r="35" spans="1:4">
      <c r="A35" s="334"/>
      <c r="B35" s="707"/>
      <c r="C35" s="707"/>
      <c r="D35" s="334"/>
    </row>
    <row r="36" spans="1:4">
      <c r="A36" s="334"/>
      <c r="B36" s="707"/>
      <c r="C36" s="707"/>
      <c r="D36" s="334"/>
    </row>
    <row r="37" spans="1:4">
      <c r="A37" s="334"/>
      <c r="B37" s="707"/>
      <c r="C37" s="707"/>
      <c r="D37" s="334"/>
    </row>
    <row r="38" spans="1:4">
      <c r="B38" s="494"/>
      <c r="C38" s="494"/>
    </row>
  </sheetData>
  <mergeCells count="1">
    <mergeCell ref="E27:H27"/>
  </mergeCells>
  <pageMargins left="0.7" right="0.7" top="0.75" bottom="0.75" header="0.3" footer="0.3"/>
  <pageSetup paperSize="0" orientation="portrait" horizontalDpi="203" verticalDpi="203" r:id="rId1"/>
  <legacyDrawing r:id="rId2"/>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40B37-7611-490A-930C-CF66B6E291E0}">
  <dimension ref="A1:F23"/>
  <sheetViews>
    <sheetView workbookViewId="0">
      <selection activeCell="C18" sqref="C18"/>
    </sheetView>
  </sheetViews>
  <sheetFormatPr defaultColWidth="8.44140625" defaultRowHeight="14.4"/>
  <cols>
    <col min="1" max="3" width="26.6640625" customWidth="1"/>
    <col min="4" max="4" width="16" customWidth="1"/>
  </cols>
  <sheetData>
    <row r="1" spans="1:6">
      <c r="A1" s="544" t="s">
        <v>559</v>
      </c>
      <c r="B1" s="544" t="s">
        <v>3233</v>
      </c>
      <c r="C1" s="544" t="s">
        <v>2239</v>
      </c>
      <c r="D1" s="544" t="s">
        <v>2174</v>
      </c>
      <c r="E1" s="544" t="s">
        <v>2175</v>
      </c>
      <c r="F1" s="544" t="s">
        <v>615</v>
      </c>
    </row>
    <row r="2" spans="1:6">
      <c r="A2" s="448" t="s">
        <v>2176</v>
      </c>
      <c r="B2" s="448" t="s">
        <v>20</v>
      </c>
      <c r="C2" s="448" t="s">
        <v>20</v>
      </c>
      <c r="D2" s="448">
        <v>20</v>
      </c>
      <c r="E2" s="448">
        <v>3.5</v>
      </c>
      <c r="F2" s="448">
        <f t="shared" ref="F2:F21" si="0">D2-E2</f>
        <v>16.5</v>
      </c>
    </row>
    <row r="3" spans="1:6">
      <c r="A3" s="358" t="s">
        <v>2177</v>
      </c>
      <c r="B3" s="358" t="s">
        <v>20</v>
      </c>
      <c r="C3" s="358" t="s">
        <v>20</v>
      </c>
      <c r="D3" s="358">
        <v>55</v>
      </c>
      <c r="E3" s="358">
        <v>1.5</v>
      </c>
      <c r="F3" s="358">
        <f t="shared" si="0"/>
        <v>53.5</v>
      </c>
    </row>
    <row r="4" spans="1:6">
      <c r="A4" s="448" t="s">
        <v>2178</v>
      </c>
      <c r="B4" s="448" t="s">
        <v>20</v>
      </c>
      <c r="C4" s="448" t="s">
        <v>20</v>
      </c>
      <c r="D4" s="448">
        <v>66</v>
      </c>
      <c r="E4" s="448">
        <v>1.5</v>
      </c>
      <c r="F4" s="448">
        <f t="shared" si="0"/>
        <v>64.5</v>
      </c>
    </row>
    <row r="5" spans="1:6">
      <c r="A5" s="448" t="s">
        <v>2180</v>
      </c>
      <c r="B5" s="448" t="s">
        <v>20</v>
      </c>
      <c r="C5" s="448" t="s">
        <v>20</v>
      </c>
      <c r="D5" s="448">
        <v>191.27</v>
      </c>
      <c r="E5" s="448">
        <v>0</v>
      </c>
      <c r="F5" s="448">
        <f t="shared" si="0"/>
        <v>191.27</v>
      </c>
    </row>
    <row r="6" spans="1:6">
      <c r="A6" s="448" t="s">
        <v>2181</v>
      </c>
      <c r="B6" s="448" t="s">
        <v>20</v>
      </c>
      <c r="C6" s="448" t="s">
        <v>20</v>
      </c>
      <c r="D6" s="448">
        <v>42.5</v>
      </c>
      <c r="E6" s="448">
        <v>3.5</v>
      </c>
      <c r="F6" s="448">
        <f t="shared" si="0"/>
        <v>39</v>
      </c>
    </row>
    <row r="7" spans="1:6">
      <c r="A7" s="448" t="s">
        <v>2182</v>
      </c>
      <c r="B7" s="448" t="s">
        <v>20</v>
      </c>
      <c r="C7" s="448" t="s">
        <v>20</v>
      </c>
      <c r="D7" s="448">
        <v>23</v>
      </c>
      <c r="E7" s="448">
        <v>0</v>
      </c>
      <c r="F7" s="448">
        <f t="shared" si="0"/>
        <v>23</v>
      </c>
    </row>
    <row r="8" spans="1:6">
      <c r="A8" s="448" t="s">
        <v>2219</v>
      </c>
      <c r="B8" s="448" t="s">
        <v>20</v>
      </c>
      <c r="C8" s="448" t="s">
        <v>20</v>
      </c>
      <c r="D8" s="448">
        <v>45</v>
      </c>
      <c r="E8" s="448">
        <v>7</v>
      </c>
      <c r="F8" s="448">
        <f t="shared" si="0"/>
        <v>38</v>
      </c>
    </row>
    <row r="9" spans="1:6">
      <c r="A9" s="358" t="s">
        <v>2240</v>
      </c>
      <c r="B9" s="358" t="s">
        <v>20</v>
      </c>
      <c r="C9" s="358" t="s">
        <v>20</v>
      </c>
      <c r="D9" s="358">
        <v>71.400000000000006</v>
      </c>
      <c r="E9" s="358">
        <v>5</v>
      </c>
      <c r="F9" s="358">
        <f t="shared" si="0"/>
        <v>66.400000000000006</v>
      </c>
    </row>
    <row r="10" spans="1:6">
      <c r="A10" s="478" t="s">
        <v>3239</v>
      </c>
      <c r="B10" s="478" t="s">
        <v>213</v>
      </c>
      <c r="C10" s="478" t="s">
        <v>213</v>
      </c>
      <c r="D10" s="478"/>
      <c r="E10" s="478"/>
      <c r="F10" s="478"/>
    </row>
    <row r="11" spans="1:6">
      <c r="A11" s="478" t="s">
        <v>3238</v>
      </c>
      <c r="B11" s="478" t="s">
        <v>213</v>
      </c>
      <c r="C11" s="478" t="s">
        <v>213</v>
      </c>
      <c r="D11" s="478">
        <v>150</v>
      </c>
      <c r="E11" s="478">
        <v>0</v>
      </c>
      <c r="F11" s="478">
        <f t="shared" si="0"/>
        <v>150</v>
      </c>
    </row>
    <row r="12" spans="1:6">
      <c r="A12" s="478" t="s">
        <v>3237</v>
      </c>
      <c r="B12" s="478" t="s">
        <v>213</v>
      </c>
      <c r="C12" s="478" t="s">
        <v>213</v>
      </c>
      <c r="D12" s="478"/>
      <c r="E12" s="478"/>
      <c r="F12" s="478"/>
    </row>
    <row r="13" spans="1:6">
      <c r="A13" s="242" t="s">
        <v>3024</v>
      </c>
      <c r="B13" s="242" t="s">
        <v>20</v>
      </c>
      <c r="C13" s="242" t="s">
        <v>213</v>
      </c>
      <c r="D13" s="242">
        <v>50</v>
      </c>
      <c r="E13" s="242">
        <v>10</v>
      </c>
      <c r="F13" s="242">
        <f>D13-E13</f>
        <v>40</v>
      </c>
    </row>
    <row r="14" spans="1:6">
      <c r="A14" s="242" t="s">
        <v>2179</v>
      </c>
      <c r="B14" s="242" t="s">
        <v>20</v>
      </c>
      <c r="C14" s="242" t="s">
        <v>213</v>
      </c>
      <c r="D14" s="242">
        <v>18.989999999999998</v>
      </c>
      <c r="E14" s="242">
        <v>0</v>
      </c>
      <c r="F14" s="242">
        <f>D14-E14</f>
        <v>18.989999999999998</v>
      </c>
    </row>
    <row r="15" spans="1:6">
      <c r="A15" s="242" t="s">
        <v>3236</v>
      </c>
      <c r="B15" s="242" t="s">
        <v>20</v>
      </c>
      <c r="C15" s="242" t="s">
        <v>213</v>
      </c>
      <c r="D15" s="242">
        <v>49.99</v>
      </c>
      <c r="E15" s="242">
        <v>5</v>
      </c>
      <c r="F15" s="242">
        <f t="shared" si="0"/>
        <v>44.99</v>
      </c>
    </row>
    <row r="16" spans="1:6">
      <c r="A16" s="242" t="s">
        <v>3235</v>
      </c>
      <c r="B16" s="242" t="s">
        <v>20</v>
      </c>
      <c r="C16" s="242" t="s">
        <v>213</v>
      </c>
      <c r="D16" s="242">
        <v>17.649999999999999</v>
      </c>
      <c r="E16" s="242">
        <v>5.88</v>
      </c>
      <c r="F16" s="242">
        <f t="shared" si="0"/>
        <v>11.77</v>
      </c>
    </row>
    <row r="17" spans="1:6">
      <c r="A17" s="242" t="s">
        <v>2966</v>
      </c>
      <c r="B17" s="242" t="s">
        <v>20</v>
      </c>
      <c r="C17" s="242" t="s">
        <v>213</v>
      </c>
      <c r="D17" s="242">
        <v>76.239999999999995</v>
      </c>
      <c r="E17" s="242">
        <v>2.8</v>
      </c>
      <c r="F17" s="242">
        <f t="shared" si="0"/>
        <v>73.44</v>
      </c>
    </row>
    <row r="18" spans="1:6">
      <c r="A18" s="242" t="s">
        <v>3234</v>
      </c>
      <c r="B18" s="242" t="s">
        <v>20</v>
      </c>
      <c r="C18" s="242" t="s">
        <v>213</v>
      </c>
      <c r="D18" s="242">
        <v>177</v>
      </c>
      <c r="E18" s="242">
        <v>5</v>
      </c>
      <c r="F18" s="242">
        <f t="shared" si="0"/>
        <v>172</v>
      </c>
    </row>
    <row r="19" spans="1:6">
      <c r="A19" s="242" t="s">
        <v>3314</v>
      </c>
      <c r="B19" s="242" t="s">
        <v>20</v>
      </c>
      <c r="C19" s="242" t="s">
        <v>213</v>
      </c>
      <c r="D19" s="242">
        <v>16.73</v>
      </c>
      <c r="E19" s="242">
        <v>2.73</v>
      </c>
      <c r="F19" s="242">
        <f t="shared" si="0"/>
        <v>14</v>
      </c>
    </row>
    <row r="20" spans="1:6">
      <c r="A20" s="242" t="s">
        <v>3315</v>
      </c>
      <c r="B20" s="242" t="s">
        <v>20</v>
      </c>
      <c r="C20" s="242" t="s">
        <v>213</v>
      </c>
      <c r="D20" s="242">
        <v>19.39</v>
      </c>
      <c r="E20" s="242">
        <v>3.8</v>
      </c>
      <c r="F20" s="242">
        <f t="shared" si="0"/>
        <v>15.59</v>
      </c>
    </row>
    <row r="21" spans="1:6">
      <c r="A21" s="242" t="s">
        <v>1321</v>
      </c>
      <c r="B21" s="242" t="s">
        <v>20</v>
      </c>
      <c r="C21" s="242" t="s">
        <v>213</v>
      </c>
      <c r="D21" s="242">
        <v>47.39</v>
      </c>
      <c r="E21" s="242">
        <v>0</v>
      </c>
      <c r="F21" s="242">
        <f t="shared" si="0"/>
        <v>47.39</v>
      </c>
    </row>
    <row r="22" spans="1:6">
      <c r="A22" s="544" t="s">
        <v>2237</v>
      </c>
      <c r="B22" s="544"/>
      <c r="F22">
        <f>SUMIFS(F2:F21,$C$2:$C$21,"N")</f>
        <v>588.17000000000007</v>
      </c>
    </row>
    <row r="23" spans="1:6">
      <c r="A23" s="544" t="s">
        <v>2238</v>
      </c>
      <c r="B23" s="544"/>
      <c r="F23">
        <f>SUMIFS(F2:F21,$C$2:$C$21,"Y")</f>
        <v>492.16999999999996</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1C451-CC4F-4A54-A42F-A5FAA2E012E6}">
  <dimension ref="A1:R34"/>
  <sheetViews>
    <sheetView topLeftCell="A13" workbookViewId="0">
      <selection activeCell="E22" sqref="E22"/>
    </sheetView>
  </sheetViews>
  <sheetFormatPr defaultColWidth="8.44140625" defaultRowHeight="14.4"/>
  <cols>
    <col min="1" max="1" width="19.77734375" bestFit="1" customWidth="1"/>
    <col min="2" max="2" width="10.44140625" bestFit="1" customWidth="1"/>
    <col min="3" max="3" width="12.77734375" bestFit="1" customWidth="1"/>
    <col min="4" max="4" width="15.44140625" customWidth="1"/>
    <col min="5" max="6" width="14.109375" customWidth="1"/>
    <col min="7" max="7" width="14.44140625" customWidth="1"/>
    <col min="8" max="8" width="21.33203125" bestFit="1" customWidth="1"/>
    <col min="9" max="9" width="15.44140625" customWidth="1"/>
    <col min="10" max="10" width="13.6640625" customWidth="1"/>
    <col min="11" max="11" width="16.109375" customWidth="1"/>
    <col min="12" max="13" width="13.6640625" customWidth="1"/>
    <col min="14" max="14" width="18.33203125" customWidth="1"/>
    <col min="16" max="16" width="12.6640625" customWidth="1"/>
    <col min="17" max="17" width="13.33203125" customWidth="1"/>
    <col min="18" max="18" width="20" customWidth="1"/>
  </cols>
  <sheetData>
    <row r="1" spans="1:18">
      <c r="A1" s="7" t="s">
        <v>606</v>
      </c>
      <c r="B1" s="7" t="s">
        <v>1212</v>
      </c>
      <c r="C1" s="7" t="s">
        <v>5</v>
      </c>
      <c r="D1" s="7">
        <v>2023</v>
      </c>
      <c r="E1" s="7" t="s">
        <v>3243</v>
      </c>
      <c r="F1" s="7" t="s">
        <v>3244</v>
      </c>
      <c r="G1" s="7" t="s">
        <v>2269</v>
      </c>
      <c r="H1" s="7" t="s">
        <v>3245</v>
      </c>
      <c r="I1" s="7" t="s">
        <v>2268</v>
      </c>
      <c r="J1" s="7" t="s">
        <v>1207</v>
      </c>
      <c r="K1" s="7" t="s">
        <v>1206</v>
      </c>
      <c r="L1" s="7" t="s">
        <v>1213</v>
      </c>
      <c r="M1" s="7" t="s">
        <v>1008</v>
      </c>
      <c r="N1" s="7" t="s">
        <v>600</v>
      </c>
      <c r="O1" s="7" t="s">
        <v>935</v>
      </c>
      <c r="P1" s="7" t="s">
        <v>920</v>
      </c>
      <c r="Q1" s="7" t="s">
        <v>1208</v>
      </c>
      <c r="R1" s="7" t="s">
        <v>1209</v>
      </c>
    </row>
    <row r="2" spans="1:18" s="242" customFormat="1">
      <c r="A2" s="406" t="s">
        <v>1210</v>
      </c>
      <c r="B2" s="242" t="s">
        <v>1223</v>
      </c>
      <c r="C2" s="242">
        <v>2016</v>
      </c>
      <c r="D2" s="242">
        <v>62168</v>
      </c>
      <c r="E2" s="242">
        <v>67102</v>
      </c>
      <c r="G2" s="242">
        <v>75500</v>
      </c>
      <c r="H2" s="242">
        <f>G2-E2</f>
        <v>8398</v>
      </c>
      <c r="I2" s="481">
        <v>45863</v>
      </c>
      <c r="J2" s="242">
        <v>40</v>
      </c>
      <c r="K2" s="242">
        <f>ROUND((E2-D2)/12,2)</f>
        <v>411.17</v>
      </c>
      <c r="L2" s="242" t="s">
        <v>1214</v>
      </c>
      <c r="M2" s="242" t="s">
        <v>1211</v>
      </c>
      <c r="N2" s="242">
        <v>48.17</v>
      </c>
      <c r="O2" s="242">
        <v>14</v>
      </c>
      <c r="P2" s="242">
        <v>270</v>
      </c>
      <c r="Q2" s="242">
        <f>ROUND((IF(M2="Petrol",((K2/J2)*4.5)*B8,((K2/J2)*4.5)*B7))/100, 2)</f>
        <v>64.760000000000005</v>
      </c>
      <c r="R2" s="242">
        <f>SUM(N2:Q2)</f>
        <v>396.93</v>
      </c>
    </row>
    <row r="3" spans="1:18" s="242" customFormat="1">
      <c r="A3" s="406" t="s">
        <v>1390</v>
      </c>
      <c r="B3" s="242" t="s">
        <v>2266</v>
      </c>
      <c r="C3" s="242">
        <v>2016</v>
      </c>
      <c r="D3" s="242">
        <v>72284</v>
      </c>
      <c r="E3" s="242">
        <v>79177</v>
      </c>
      <c r="F3" s="242">
        <v>81983</v>
      </c>
      <c r="G3" s="242">
        <v>81983</v>
      </c>
      <c r="H3" s="242">
        <f>G3-F3</f>
        <v>0</v>
      </c>
      <c r="I3" s="481">
        <v>46043</v>
      </c>
      <c r="J3" s="242">
        <v>35</v>
      </c>
      <c r="K3" s="242">
        <f>ROUND((F3-E3)/12, 2)</f>
        <v>233.83</v>
      </c>
      <c r="L3" s="242" t="s">
        <v>1214</v>
      </c>
      <c r="M3" s="242" t="s">
        <v>1211</v>
      </c>
      <c r="N3" s="242">
        <v>58</v>
      </c>
      <c r="O3" s="242">
        <v>16.62</v>
      </c>
      <c r="P3" s="242">
        <v>472</v>
      </c>
      <c r="Q3" s="242">
        <f>ROUND((IF(M3="Petrol",((K3/J3)*4.5)*B8,((K3/J3)*4.5)*B7))/100, 2)</f>
        <v>42.09</v>
      </c>
      <c r="R3" s="242">
        <f>SUM(N3:Q3)</f>
        <v>588.71</v>
      </c>
    </row>
    <row r="4" spans="1:18" s="305" customFormat="1">
      <c r="A4" s="548" t="s">
        <v>2279</v>
      </c>
      <c r="C4" s="305">
        <v>2021</v>
      </c>
      <c r="G4" s="305">
        <v>51800</v>
      </c>
      <c r="I4" s="549"/>
      <c r="J4" s="305">
        <v>135</v>
      </c>
      <c r="K4" s="242">
        <v>1000</v>
      </c>
      <c r="L4" s="305" t="s">
        <v>1214</v>
      </c>
      <c r="M4" s="305" t="s">
        <v>702</v>
      </c>
      <c r="N4" s="305">
        <v>48</v>
      </c>
      <c r="O4" s="305">
        <v>16.62</v>
      </c>
      <c r="P4" s="305">
        <v>0</v>
      </c>
      <c r="Q4" s="242">
        <f>ROUND((IF(M4="Petrol",((K4/J4)*4.5)*B8,((K4/J4)*4.5)*B7))/100, 2)</f>
        <v>41.67</v>
      </c>
    </row>
    <row r="6" spans="1:18">
      <c r="A6" t="s">
        <v>2267</v>
      </c>
      <c r="P6" t="s">
        <v>2280</v>
      </c>
      <c r="Q6">
        <f>SUM(Q2:Q3)-Q4</f>
        <v>65.180000000000007</v>
      </c>
    </row>
    <row r="7" spans="1:18">
      <c r="A7" s="494" t="s">
        <v>1211</v>
      </c>
      <c r="B7">
        <v>140</v>
      </c>
      <c r="P7" t="s">
        <v>2281</v>
      </c>
      <c r="Q7">
        <f>SUM(N2:O3)-SUM(N4:O4)</f>
        <v>72.169999999999987</v>
      </c>
    </row>
    <row r="8" spans="1:18">
      <c r="A8" t="s">
        <v>702</v>
      </c>
      <c r="B8">
        <v>125</v>
      </c>
      <c r="Q8">
        <f>SUM(Q6:Q7)</f>
        <v>137.35</v>
      </c>
    </row>
    <row r="10" spans="1:18">
      <c r="Q10">
        <f>SUM(Q2:Q3)*12</f>
        <v>1282.2</v>
      </c>
    </row>
    <row r="11" spans="1:18">
      <c r="A11" s="726" t="s">
        <v>1149</v>
      </c>
      <c r="B11" s="726"/>
      <c r="D11" t="s">
        <v>1390</v>
      </c>
      <c r="Q11">
        <f>Q10-1000</f>
        <v>282.20000000000005</v>
      </c>
    </row>
    <row r="12" spans="1:18">
      <c r="A12" t="s">
        <v>2055</v>
      </c>
      <c r="G12" s="726" t="s">
        <v>2282</v>
      </c>
      <c r="H12" s="726"/>
      <c r="O12" t="s">
        <v>2297</v>
      </c>
      <c r="Q12">
        <f>Q11/12</f>
        <v>23.516666666666669</v>
      </c>
    </row>
    <row r="13" spans="1:18">
      <c r="A13" t="s">
        <v>2056</v>
      </c>
      <c r="B13">
        <v>8585</v>
      </c>
      <c r="D13">
        <v>6785</v>
      </c>
      <c r="G13" t="s">
        <v>2283</v>
      </c>
      <c r="H13">
        <v>21000</v>
      </c>
      <c r="O13" t="s">
        <v>2298</v>
      </c>
      <c r="Q13">
        <f>N3-N2</f>
        <v>9.8299999999999983</v>
      </c>
    </row>
    <row r="14" spans="1:18">
      <c r="A14" t="s">
        <v>2057</v>
      </c>
      <c r="B14">
        <v>10500</v>
      </c>
      <c r="D14">
        <v>10500</v>
      </c>
      <c r="G14" t="s">
        <v>2058</v>
      </c>
      <c r="H14">
        <v>19000</v>
      </c>
    </row>
    <row r="15" spans="1:18">
      <c r="A15" t="s">
        <v>2059</v>
      </c>
      <c r="B15">
        <v>0</v>
      </c>
      <c r="D15">
        <v>0</v>
      </c>
      <c r="G15" t="s">
        <v>19</v>
      </c>
      <c r="H15">
        <f>H13-H14</f>
        <v>2000</v>
      </c>
    </row>
    <row r="16" spans="1:18">
      <c r="A16" t="s">
        <v>2060</v>
      </c>
      <c r="B16">
        <v>9300</v>
      </c>
      <c r="D16">
        <v>8150</v>
      </c>
      <c r="G16" t="s">
        <v>2284</v>
      </c>
      <c r="H16">
        <f>Q8</f>
        <v>137.35</v>
      </c>
    </row>
    <row r="17" spans="1:6">
      <c r="A17" t="s">
        <v>2270</v>
      </c>
      <c r="B17">
        <v>7600</v>
      </c>
      <c r="D17">
        <v>5400</v>
      </c>
    </row>
    <row r="20" spans="1:6">
      <c r="A20" s="726" t="s">
        <v>3240</v>
      </c>
      <c r="B20" s="726"/>
      <c r="C20" s="726"/>
      <c r="D20" s="726"/>
    </row>
    <row r="21" spans="1:6">
      <c r="A21" t="s">
        <v>559</v>
      </c>
      <c r="B21" t="s">
        <v>15</v>
      </c>
      <c r="C21" t="s">
        <v>841</v>
      </c>
      <c r="D21" t="s">
        <v>3249</v>
      </c>
      <c r="E21" t="s">
        <v>3253</v>
      </c>
      <c r="F21" t="s">
        <v>3254</v>
      </c>
    </row>
    <row r="22" spans="1:6">
      <c r="A22" t="s">
        <v>3241</v>
      </c>
      <c r="B22" s="42">
        <v>45323</v>
      </c>
      <c r="C22" t="s">
        <v>3259</v>
      </c>
      <c r="D22" t="s">
        <v>1850</v>
      </c>
      <c r="E22">
        <v>222</v>
      </c>
    </row>
    <row r="23" spans="1:6">
      <c r="A23" t="s">
        <v>3248</v>
      </c>
      <c r="B23" s="42">
        <v>45833</v>
      </c>
      <c r="C23" t="s">
        <v>3252</v>
      </c>
      <c r="D23" t="s">
        <v>1850</v>
      </c>
      <c r="E23">
        <f>249+164.82+187.5</f>
        <v>601.31999999999994</v>
      </c>
    </row>
    <row r="24" spans="1:6">
      <c r="A24" t="s">
        <v>3255</v>
      </c>
      <c r="B24" s="42">
        <v>45946</v>
      </c>
      <c r="C24" t="s">
        <v>3252</v>
      </c>
      <c r="D24" t="s">
        <v>1968</v>
      </c>
      <c r="E24">
        <v>1224</v>
      </c>
    </row>
    <row r="25" spans="1:6">
      <c r="A25" t="s">
        <v>1987</v>
      </c>
      <c r="B25" s="42">
        <v>45950</v>
      </c>
      <c r="C25" t="s">
        <v>3252</v>
      </c>
      <c r="D25" t="s">
        <v>2125</v>
      </c>
      <c r="E25">
        <v>5000</v>
      </c>
    </row>
    <row r="26" spans="1:6">
      <c r="A26" t="s">
        <v>3256</v>
      </c>
      <c r="B26" s="42">
        <v>45681</v>
      </c>
      <c r="C26" t="s">
        <v>3252</v>
      </c>
      <c r="D26" t="s">
        <v>1968</v>
      </c>
      <c r="E26">
        <f>600*1.2</f>
        <v>720</v>
      </c>
    </row>
    <row r="27" spans="1:6">
      <c r="A27" t="s">
        <v>3257</v>
      </c>
      <c r="B27" s="42">
        <v>45681</v>
      </c>
      <c r="C27" t="s">
        <v>3252</v>
      </c>
      <c r="D27" t="s">
        <v>1968</v>
      </c>
      <c r="E27">
        <f>(473.04*1.2)+(300*1.2)</f>
        <v>927.64800000000002</v>
      </c>
    </row>
    <row r="28" spans="1:6">
      <c r="A28" t="s">
        <v>3258</v>
      </c>
      <c r="B28" s="42">
        <v>45681</v>
      </c>
      <c r="C28" t="s">
        <v>3252</v>
      </c>
      <c r="D28" t="s">
        <v>1968</v>
      </c>
      <c r="E28">
        <f>49.92</f>
        <v>49.92</v>
      </c>
    </row>
    <row r="29" spans="1:6">
      <c r="A29" t="s">
        <v>3247</v>
      </c>
      <c r="B29" s="42">
        <v>45769</v>
      </c>
      <c r="C29" t="s">
        <v>3252</v>
      </c>
      <c r="D29" t="s">
        <v>3250</v>
      </c>
      <c r="E29">
        <v>594</v>
      </c>
    </row>
    <row r="30" spans="1:6">
      <c r="A30" t="s">
        <v>3241</v>
      </c>
      <c r="B30" s="42">
        <v>46043</v>
      </c>
      <c r="C30" t="s">
        <v>3259</v>
      </c>
      <c r="D30" t="s">
        <v>3251</v>
      </c>
      <c r="E30">
        <f>107.33+15.41+96</f>
        <v>218.74</v>
      </c>
    </row>
    <row r="31" spans="1:6">
      <c r="A31" t="s">
        <v>3242</v>
      </c>
      <c r="B31" s="42">
        <v>46043</v>
      </c>
      <c r="C31" t="s">
        <v>3259</v>
      </c>
      <c r="D31" t="s">
        <v>3251</v>
      </c>
      <c r="E31">
        <f>53.56+23.76</f>
        <v>77.320000000000007</v>
      </c>
    </row>
    <row r="32" spans="1:6">
      <c r="A32" t="s">
        <v>3246</v>
      </c>
      <c r="B32" s="42">
        <v>46043</v>
      </c>
      <c r="C32" t="s">
        <v>3259</v>
      </c>
      <c r="D32" t="s">
        <v>3251</v>
      </c>
      <c r="E32">
        <f>21.1+50.63</f>
        <v>71.73</v>
      </c>
    </row>
    <row r="33" spans="1:5">
      <c r="A33" t="s">
        <v>1389</v>
      </c>
      <c r="B33" s="42">
        <v>46043</v>
      </c>
      <c r="C33" t="s">
        <v>3259</v>
      </c>
      <c r="D33" t="s">
        <v>3251</v>
      </c>
      <c r="E33">
        <v>52</v>
      </c>
    </row>
    <row r="34" spans="1:5">
      <c r="A34" t="s">
        <v>3260</v>
      </c>
      <c r="B34" s="42">
        <v>46043</v>
      </c>
      <c r="C34" t="s">
        <v>3259</v>
      </c>
      <c r="D34" t="s">
        <v>3251</v>
      </c>
      <c r="E34">
        <f>180</f>
        <v>180</v>
      </c>
    </row>
  </sheetData>
  <mergeCells count="3">
    <mergeCell ref="A11:B11"/>
    <mergeCell ref="G12:H12"/>
    <mergeCell ref="A20:D20"/>
  </mergeCells>
  <hyperlinks>
    <hyperlink ref="A2" r:id="rId1" xr:uid="{E8B0AC68-7730-443D-87A2-94698EB6CB59}"/>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895DDA-28E2-411D-BEE0-88C0CBBE02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197</vt:i4>
      </vt:variant>
    </vt:vector>
  </HeadingPairs>
  <TitlesOfParts>
    <vt:vector size="197" baseType="lpstr">
      <vt:lpstr>Gifts</vt:lpstr>
      <vt:lpstr>5 week template</vt:lpstr>
      <vt:lpstr>4 week template</vt:lpstr>
      <vt:lpstr>Wages 2014</vt:lpstr>
      <vt:lpstr>Wages 2015</vt:lpstr>
      <vt:lpstr>Wages 2016</vt:lpstr>
      <vt:lpstr>BRI Wages 2017</vt:lpstr>
      <vt:lpstr>Savings 2017</vt:lpstr>
      <vt:lpstr>SFE Repayments</vt:lpstr>
      <vt:lpstr>Wages 2018</vt:lpstr>
      <vt:lpstr>LFHA Wages 2017</vt:lpstr>
      <vt:lpstr>Joint Outgoings</vt:lpstr>
      <vt:lpstr>FEB-MAR 2017</vt:lpstr>
      <vt:lpstr>MAR-APR 2017</vt:lpstr>
      <vt:lpstr>APR-MAY 2017</vt:lpstr>
      <vt:lpstr>MAY-JUN 2017</vt:lpstr>
      <vt:lpstr>JAN-FEB 2017</vt:lpstr>
      <vt:lpstr>Birthdays 2016</vt:lpstr>
      <vt:lpstr>Jury 2016</vt:lpstr>
      <vt:lpstr>MAR-APR 2016</vt:lpstr>
      <vt:lpstr>APR-MAY 2016</vt:lpstr>
      <vt:lpstr>MAY-JUN 2016</vt:lpstr>
      <vt:lpstr>JUN-JUL 2016</vt:lpstr>
      <vt:lpstr>JUL-AUG 2016</vt:lpstr>
      <vt:lpstr>AUG-SEP 2016</vt:lpstr>
      <vt:lpstr>Birthdays 2017</vt:lpstr>
      <vt:lpstr>Christmas 2018</vt:lpstr>
      <vt:lpstr>Christmas 2017</vt:lpstr>
      <vt:lpstr>Christmas 2016</vt:lpstr>
      <vt:lpstr>SEP-OCT 2016</vt:lpstr>
      <vt:lpstr>OCT-NOV 2016</vt:lpstr>
      <vt:lpstr>NOV-DEC 2016</vt:lpstr>
      <vt:lpstr>DEC-JAN 2016</vt:lpstr>
      <vt:lpstr>JUN-JUL 2017</vt:lpstr>
      <vt:lpstr>AUG-SEP 2017</vt:lpstr>
      <vt:lpstr>SEP-OCT 2017</vt:lpstr>
      <vt:lpstr>NOV-DEC 2017</vt:lpstr>
      <vt:lpstr>DEC-JAN 2017</vt:lpstr>
      <vt:lpstr>JAN-FEB 2018</vt:lpstr>
      <vt:lpstr>FEB-MAR 2018</vt:lpstr>
      <vt:lpstr>MAR-APR 2018</vt:lpstr>
      <vt:lpstr>APR-MAY 2018</vt:lpstr>
      <vt:lpstr>MAY-JUN 2018</vt:lpstr>
      <vt:lpstr>JUN-JUL 2018</vt:lpstr>
      <vt:lpstr>JUL-AUG 2018</vt:lpstr>
      <vt:lpstr>AUG-SEP 2018</vt:lpstr>
      <vt:lpstr>SEP-OCT 2018</vt:lpstr>
      <vt:lpstr>OCT-NOV 2018</vt:lpstr>
      <vt:lpstr>NOV-DEC 2018</vt:lpstr>
      <vt:lpstr>DEC-JAN 2019</vt:lpstr>
      <vt:lpstr>JAN-FEB 2019</vt:lpstr>
      <vt:lpstr>JAN-FEB 2019 (2)</vt:lpstr>
      <vt:lpstr>FEB-MAR 2019</vt:lpstr>
      <vt:lpstr>MAR-APR 2019</vt:lpstr>
      <vt:lpstr>APR-MAY 2019</vt:lpstr>
      <vt:lpstr>MAY-JUN 2019</vt:lpstr>
      <vt:lpstr>JUN-JUL 2019</vt:lpstr>
      <vt:lpstr>JUL-AUG 2019</vt:lpstr>
      <vt:lpstr>AUG-SEP 2019</vt:lpstr>
      <vt:lpstr>Mortgage</vt:lpstr>
      <vt:lpstr>Avios</vt:lpstr>
      <vt:lpstr>Home Contents</vt:lpstr>
      <vt:lpstr>SEP-OCT 2019</vt:lpstr>
      <vt:lpstr>SEP-OCT 2019 (2)</vt:lpstr>
      <vt:lpstr>SEP-OCT 2019 (3)</vt:lpstr>
      <vt:lpstr>SEP-OCT 2019 (4)</vt:lpstr>
      <vt:lpstr>OCT-NOV 2019</vt:lpstr>
      <vt:lpstr>NOV-DEC 2019</vt:lpstr>
      <vt:lpstr>Student Loan</vt:lpstr>
      <vt:lpstr>DEC-JAN 2020</vt:lpstr>
      <vt:lpstr>JAN-FEB 2020</vt:lpstr>
      <vt:lpstr>FEB-MAR 2020</vt:lpstr>
      <vt:lpstr>MAR-APR 2020</vt:lpstr>
      <vt:lpstr>APR-MAY 2020</vt:lpstr>
      <vt:lpstr>MAY-JUN 2020</vt:lpstr>
      <vt:lpstr>JUN-JUL 2020</vt:lpstr>
      <vt:lpstr>JUL-AUG 2020</vt:lpstr>
      <vt:lpstr>AUG-SEP 2020</vt:lpstr>
      <vt:lpstr>SEP-OCT 2020</vt:lpstr>
      <vt:lpstr>OCT-NOV 2020</vt:lpstr>
      <vt:lpstr>NOV-DEC 2020</vt:lpstr>
      <vt:lpstr>DEC-JAN 2021</vt:lpstr>
      <vt:lpstr>JAN-FEB 2021</vt:lpstr>
      <vt:lpstr>FEB-MAR 2021</vt:lpstr>
      <vt:lpstr>MAR-APR 2021</vt:lpstr>
      <vt:lpstr>APR-MAY 2021</vt:lpstr>
      <vt:lpstr>MAY-JUN 2021</vt:lpstr>
      <vt:lpstr>JUN-JUL 2021</vt:lpstr>
      <vt:lpstr>JUL-AUG 2021</vt:lpstr>
      <vt:lpstr>AUG-SEP 2021</vt:lpstr>
      <vt:lpstr>SEP-OCT 2021</vt:lpstr>
      <vt:lpstr>OCT-NOV 2021</vt:lpstr>
      <vt:lpstr>NOV-DEC 2021</vt:lpstr>
      <vt:lpstr>DEC-JAN 2022</vt:lpstr>
      <vt:lpstr>JAN-FEB 2022</vt:lpstr>
      <vt:lpstr>FEB-MAR 2022</vt:lpstr>
      <vt:lpstr>MAR-APR 2022</vt:lpstr>
      <vt:lpstr>APR-MAY 2022</vt:lpstr>
      <vt:lpstr>Sheet1</vt:lpstr>
      <vt:lpstr>OCT-2021 ONW</vt:lpstr>
      <vt:lpstr>2022 Goals</vt:lpstr>
      <vt:lpstr>OCT-NOV 2017</vt:lpstr>
      <vt:lpstr>MAY-JUN 2022</vt:lpstr>
      <vt:lpstr>JUN-JUL 2022</vt:lpstr>
      <vt:lpstr>JUL-AUG 2022</vt:lpstr>
      <vt:lpstr>AUG-SEP 2022</vt:lpstr>
      <vt:lpstr>SEP-OCT 2022</vt:lpstr>
      <vt:lpstr>OCT-NOV 2022</vt:lpstr>
      <vt:lpstr>NOV-DEC 2022</vt:lpstr>
      <vt:lpstr>DEC-JAN 2023</vt:lpstr>
      <vt:lpstr>Remortgage</vt:lpstr>
      <vt:lpstr>Wedding</vt:lpstr>
      <vt:lpstr>Accounts</vt:lpstr>
      <vt:lpstr>PTO</vt:lpstr>
      <vt:lpstr>Rosita Claim</vt:lpstr>
      <vt:lpstr>JAN-FEB 2023</vt:lpstr>
      <vt:lpstr>FEB-MAR 2023</vt:lpstr>
      <vt:lpstr>MAR-APR 2023</vt:lpstr>
      <vt:lpstr>APR-MAY 2023</vt:lpstr>
      <vt:lpstr>MAY-JUN 2023</vt:lpstr>
      <vt:lpstr>JUN-JUL 2023</vt:lpstr>
      <vt:lpstr>JUL-AUG 2023</vt:lpstr>
      <vt:lpstr>AUG-SEP 2023</vt:lpstr>
      <vt:lpstr>SEP-OCT 2023</vt:lpstr>
      <vt:lpstr>OCT-NOV 23</vt:lpstr>
      <vt:lpstr>NOV-DEC 23</vt:lpstr>
      <vt:lpstr>DEC-JAN 24</vt:lpstr>
      <vt:lpstr>JAN-FEB 24</vt:lpstr>
      <vt:lpstr>FEB-MAR 24</vt:lpstr>
      <vt:lpstr>MAR-APR 24</vt:lpstr>
      <vt:lpstr>APR-MAY 24</vt:lpstr>
      <vt:lpstr>MAY-JUN 24</vt:lpstr>
      <vt:lpstr>JUN-JUL 24</vt:lpstr>
      <vt:lpstr>JUL-AUG 24</vt:lpstr>
      <vt:lpstr>AUG-SEP 24</vt:lpstr>
      <vt:lpstr>SEP-OCT 24</vt:lpstr>
      <vt:lpstr>OCT-NOV 24</vt:lpstr>
      <vt:lpstr>NOV-DEC 24</vt:lpstr>
      <vt:lpstr>DEC-JAN 25</vt:lpstr>
      <vt:lpstr>JAN-FEB 25</vt:lpstr>
      <vt:lpstr>NEW HOME (IMMEDIATE)</vt:lpstr>
      <vt:lpstr>FEB-MAR 25</vt:lpstr>
      <vt:lpstr>MAR-APR 25</vt:lpstr>
      <vt:lpstr>APR-MAY 25</vt:lpstr>
      <vt:lpstr>MAY-JUN 25</vt:lpstr>
      <vt:lpstr>JUN-JUL 25</vt:lpstr>
      <vt:lpstr>JUL-AUG 25</vt:lpstr>
      <vt:lpstr>AUG-SEP 25</vt:lpstr>
      <vt:lpstr>Vegas 2025</vt:lpstr>
      <vt:lpstr>Thailand 2025</vt:lpstr>
      <vt:lpstr>NEW HOME (NEAR FUTURE)</vt:lpstr>
      <vt:lpstr>avios (2)</vt:lpstr>
      <vt:lpstr>Tier Points</vt:lpstr>
      <vt:lpstr>Avios Flow</vt:lpstr>
      <vt:lpstr>SEP-OCT 25</vt:lpstr>
      <vt:lpstr>Travel Insurance Claim</vt:lpstr>
      <vt:lpstr>OCT-NOV 25</vt:lpstr>
      <vt:lpstr>NOV-DEC 25</vt:lpstr>
      <vt:lpstr>PTO 2025</vt:lpstr>
      <vt:lpstr>DEC-JAN 26</vt:lpstr>
      <vt:lpstr>JAN-FEB 26</vt:lpstr>
      <vt:lpstr>Vitality 2026</vt:lpstr>
      <vt:lpstr>Renewals</vt:lpstr>
      <vt:lpstr>Direct Debits</vt:lpstr>
      <vt:lpstr>2026 Euro</vt:lpstr>
      <vt:lpstr>Sinking Fund</vt:lpstr>
      <vt:lpstr>Debt</vt:lpstr>
      <vt:lpstr>LONG TERM</vt:lpstr>
      <vt:lpstr>Bonus Tracker 2024</vt:lpstr>
      <vt:lpstr>Bonus Tracker 2025</vt:lpstr>
      <vt:lpstr>Bonus Tracker 2026</vt:lpstr>
      <vt:lpstr>Savings</vt:lpstr>
      <vt:lpstr>PTO 2026</vt:lpstr>
      <vt:lpstr>Gas + Elec</vt:lpstr>
      <vt:lpstr>FEB-MAR 26</vt:lpstr>
      <vt:lpstr>MAR-APR 26</vt:lpstr>
      <vt:lpstr>Scotland 2026</vt:lpstr>
      <vt:lpstr>APR-MAY 26</vt:lpstr>
      <vt:lpstr>Latvia 2026</vt:lpstr>
      <vt:lpstr>MAY-JUN 26</vt:lpstr>
      <vt:lpstr>JUN-JUL 26</vt:lpstr>
      <vt:lpstr>JUL-AUG 26</vt:lpstr>
      <vt:lpstr>HOL - Italy 2026</vt:lpstr>
      <vt:lpstr>AUG-SEP 26</vt:lpstr>
      <vt:lpstr>SEP-OCT 26</vt:lpstr>
      <vt:lpstr>OCT-NOV 26</vt:lpstr>
      <vt:lpstr>HOL - Bali 2026</vt:lpstr>
      <vt:lpstr>HOL - Barbados 2027</vt:lpstr>
      <vt:lpstr>HOL - Scotland 2027</vt:lpstr>
      <vt:lpstr>HOL - Scarborough 2027</vt:lpstr>
      <vt:lpstr>HOL - Greece 2027</vt:lpstr>
      <vt:lpstr>NY 2026</vt:lpstr>
      <vt:lpstr>HOL - Santorini 2026</vt:lpstr>
      <vt:lpstr>LA 2026</vt:lpstr>
      <vt:lpstr>HOL - Dolomites 2027</vt:lpstr>
      <vt:lpstr>eBay</vt:lpstr>
      <vt:lpstr>Cars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Varley</dc:creator>
  <cp:keywords/>
  <dc:description/>
  <cp:lastModifiedBy>Matthew Varley</cp:lastModifiedBy>
  <cp:revision/>
  <dcterms:created xsi:type="dcterms:W3CDTF">2016-03-22T09:46:42Z</dcterms:created>
  <dcterms:modified xsi:type="dcterms:W3CDTF">2026-08-17T12:24:52Z</dcterms:modified>
  <cp:category/>
  <cp:contentStatus/>
</cp:coreProperties>
</file>