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AEA6B262-F9B7-4F18-B577-F39CBC92E658}" xr6:coauthVersionLast="45" xr6:coauthVersionMax="45" xr10:uidLastSave="{00000000-0000-0000-0000-000000000000}"/>
  <bookViews>
    <workbookView xWindow="6030" yWindow="1500" windowWidth="26130" windowHeight="17685" firstSheet="2" activeTab="10" xr2:uid="{456AB35E-0355-4F16-B1D8-5CF582B696FE}"/>
  </bookViews>
  <sheets>
    <sheet name="&lt;workbook&gt;SET" sheetId="7" r:id="rId1"/>
    <sheet name="&lt;zall&gt;DEVEXPORT" sheetId="11" r:id="rId2"/>
    <sheet name="BD" sheetId="4" r:id="rId3"/>
    <sheet name="BDКаб" sheetId="13" r:id="rId4"/>
    <sheet name="BDKc" sheetId="12" r:id="rId5"/>
    <sheet name="&lt;zmain&gt;SET" sheetId="8" r:id="rId6"/>
    <sheet name="&lt;zmain&gt;DEVEXPORT" sheetId="9" r:id="rId7"/>
    <sheet name="&lt;zmain&gt;" sheetId="10" r:id="rId8"/>
    <sheet name="&lt;zlight&gt;SET" sheetId="1" r:id="rId9"/>
    <sheet name="&lt;zlight&gt;TOCAD" sheetId="6" r:id="rId10"/>
    <sheet name="&lt;zlight&gt;" sheetId="3" r:id="rId11"/>
    <sheet name="&lt;zlight&gt;DEVEXPORT" sheetId="2" r:id="rId12"/>
    <sheet name="&lt;zlight&gt;CABEXPORT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2" l="1"/>
  <c r="K24" i="3"/>
  <c r="BL24" i="3" l="1"/>
  <c r="L5" i="4" l="1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AX6" i="4" l="1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M24" i="3" l="1"/>
  <c r="P24" i="3"/>
  <c r="U11" i="2" l="1"/>
  <c r="J11" i="2"/>
  <c r="R11" i="2"/>
  <c r="C5" i="4"/>
  <c r="C4" i="4"/>
  <c r="N24" i="3"/>
  <c r="J24" i="3"/>
  <c r="D24" i="3"/>
  <c r="E9" i="12"/>
  <c r="E7" i="12"/>
  <c r="E5" i="12"/>
  <c r="E3" i="12"/>
  <c r="E24" i="3" l="1"/>
  <c r="F24" i="3"/>
  <c r="G24" i="3"/>
  <c r="AM24" i="3"/>
  <c r="AF24" i="3"/>
  <c r="AG24" i="3"/>
  <c r="CI24" i="3" s="1"/>
  <c r="P5" i="11"/>
  <c r="Q5" i="11" s="1"/>
  <c r="O5" i="11"/>
  <c r="N5" i="11"/>
  <c r="J5" i="11"/>
  <c r="BF24" i="3" l="1"/>
  <c r="BD24" i="3"/>
  <c r="BE24" i="3"/>
  <c r="AY24" i="3"/>
  <c r="AW24" i="3"/>
  <c r="AX24" i="3"/>
  <c r="R5" i="11"/>
  <c r="U5" i="11"/>
  <c r="W24" i="3"/>
  <c r="L24" i="3"/>
  <c r="CQ24" i="3" s="1"/>
  <c r="AD8" i="6" l="1"/>
  <c r="CW24" i="3"/>
  <c r="S5" i="11"/>
  <c r="V5" i="11" s="1"/>
  <c r="X5" i="11" s="1"/>
  <c r="Y5" i="11" s="1"/>
  <c r="E8" i="6"/>
  <c r="T5" i="11" l="1"/>
  <c r="W5" i="11" s="1"/>
  <c r="L5" i="5" l="1"/>
  <c r="N5" i="5" s="1"/>
  <c r="K5" i="5"/>
  <c r="J5" i="5"/>
  <c r="M5" i="5" l="1"/>
  <c r="S24" i="3" l="1"/>
  <c r="P11" i="2" l="1"/>
  <c r="O11" i="2"/>
  <c r="T24" i="3" s="1"/>
  <c r="O24" i="3" s="1"/>
  <c r="CS24" i="3" s="1"/>
  <c r="Q24" i="3" l="1"/>
  <c r="CU24" i="3" s="1"/>
  <c r="Z24" i="3"/>
  <c r="R24" i="3"/>
  <c r="AC24" i="3" s="1"/>
  <c r="X8" i="6"/>
  <c r="S11" i="2"/>
  <c r="V11" i="2"/>
  <c r="Q11" i="2"/>
  <c r="Y24" i="3" l="1"/>
  <c r="AB24" i="3" s="1"/>
  <c r="AD24" i="3"/>
  <c r="H8" i="6"/>
  <c r="J8" i="6"/>
  <c r="AB8" i="6"/>
  <c r="Z8" i="6"/>
  <c r="L14" i="3"/>
  <c r="X11" i="2"/>
  <c r="Y11" i="2" s="1"/>
  <c r="T11" i="2"/>
  <c r="W11" i="2" s="1"/>
  <c r="X14" i="3"/>
  <c r="BC24" i="3"/>
  <c r="BH24" i="3"/>
  <c r="AU24" i="3" l="1"/>
  <c r="BY24" i="3"/>
  <c r="BI24" i="3"/>
  <c r="AV24" i="3"/>
  <c r="BG24" i="3"/>
  <c r="AT24" i="3"/>
  <c r="BW24" i="3" l="1"/>
  <c r="I24" i="3"/>
  <c r="CA24" i="3"/>
  <c r="BB24" i="3"/>
  <c r="L8" i="6"/>
  <c r="AI24" i="3"/>
  <c r="T8" i="6"/>
  <c r="AZ24" i="3"/>
  <c r="BA24" i="3"/>
  <c r="DE24" i="3" l="1"/>
  <c r="DQ24" i="3"/>
  <c r="V8" i="6"/>
  <c r="AP24" i="3"/>
  <c r="AS24" i="3"/>
  <c r="AN24" i="3" l="1"/>
  <c r="AA24" i="3" s="1"/>
  <c r="AH24" i="3"/>
  <c r="H24" i="3" l="1"/>
  <c r="DO24" i="3" s="1"/>
  <c r="BS24" i="3" l="1"/>
  <c r="BU24" i="3"/>
  <c r="DI24" i="3"/>
  <c r="BQ24" i="3"/>
  <c r="CK24" i="3"/>
  <c r="DC24" i="3"/>
  <c r="DG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L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S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T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U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V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W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X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E23" authorId="0" shapeId="0" xr:uid="{1BE7EC3D-2B88-4327-9CC0-673231908086}">
      <text>
        <r>
          <rPr>
            <b/>
            <sz val="9"/>
            <color indexed="81"/>
            <rFont val="Tahoma"/>
            <charset val="1"/>
          </rPr>
          <t>Коэффициент запаса по току для подбора электротехнического оборудования</t>
        </r>
      </text>
    </comment>
    <comment ref="AJ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K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L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N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</commentList>
</comments>
</file>

<file path=xl/sharedStrings.xml><?xml version="1.0" encoding="utf-8"?>
<sst xmlns="http://schemas.openxmlformats.org/spreadsheetml/2006/main" count="631" uniqueCount="313">
  <si>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</si>
  <si>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</si>
  <si>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</si>
  <si>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</si>
  <si>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</si>
  <si>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</si>
  <si>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</si>
  <si>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</si>
  <si>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</si>
  <si>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</si>
  <si>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</si>
  <si>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</si>
  <si>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</si>
  <si>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</si>
  <si>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</si>
  <si>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</si>
  <si>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</si>
  <si>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</si>
  <si>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</si>
  <si>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</si>
  <si>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</si>
  <si>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</si>
  <si>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</si>
  <si>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</si>
  <si>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</si>
  <si>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</si>
  <si>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</si>
  <si>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</si>
  <si>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</si>
  <si>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</si>
  <si>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</si>
  <si>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</si>
  <si>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</si>
  <si>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</si>
  <si>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</si>
  <si>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</si>
  <si>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</si>
  <si>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</si>
  <si>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</si>
  <si>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</si>
  <si>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</si>
  <si>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</si>
  <si>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</si>
  <si>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</si>
  <si>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</si>
  <si>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</si>
  <si>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</si>
  <si>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</si>
  <si>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</si>
  <si>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</si>
  <si>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&lt;zcopyrow targetsheet="&lt;zlight&gt;DEVEXPORT" targetcodename="zimportdev" keynumcol="16"&gt;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</si>
  <si>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</si>
  <si>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</si>
  <si>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</si>
  <si>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</si>
  <si>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</si>
  <si>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</si>
  <si>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</si>
  <si>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</si>
  <si>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</si>
  <si>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</si>
  <si>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</si>
  <si>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</si>
  <si>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</si>
  <si>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</si>
  <si>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</si>
  <si>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</si>
  <si>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</si>
  <si>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</si>
  <si>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</si>
  <si>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</si>
  <si>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</si>
  <si>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</si>
  <si>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</si>
  <si>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</si>
  <si>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</si>
  <si>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</si>
  <si>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</si>
  <si>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</si>
  <si>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</si>
  <si>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</si>
  <si>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</si>
  <si>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</si>
  <si>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</si>
  <si>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Имя щита</t>
  </si>
  <si>
    <t>Общая мощность</t>
  </si>
  <si>
    <t>T27</t>
  </si>
  <si>
    <t>BOOLEAN_1</t>
  </si>
  <si>
    <t>BOOLEAN_0</t>
  </si>
  <si>
    <t>T31</t>
  </si>
  <si>
    <t>INTEGER_2</t>
  </si>
  <si>
    <t>suffix</t>
  </si>
  <si>
    <t>Electrical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</si>
  <si>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</si>
  <si>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</si>
  <si>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</si>
  <si>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</si>
  <si>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</si>
  <si>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</si>
  <si>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</si>
  <si>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</si>
  <si>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</si>
  <si>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</si>
  <si>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</si>
  <si>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</si>
  <si>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</si>
  <si>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</si>
  <si>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</si>
  <si>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</si>
  <si>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</si>
  <si>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</si>
  <si>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</si>
  <si>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</si>
  <si>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</si>
  <si>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</si>
  <si>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</si>
  <si>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</si>
  <si>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</si>
  <si>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</si>
  <si>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</si>
  <si>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</si>
  <si>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</si>
  <si>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</si>
  <si>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</si>
  <si>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</si>
  <si>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</si>
  <si>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</si>
  <si>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</si>
  <si>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</si>
  <si>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</si>
  <si>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</si>
  <si>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</si>
  <si>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</si>
  <si>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</si>
  <si>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</si>
  <si>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</si>
  <si>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</si>
  <si>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</si>
  <si>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</si>
  <si>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</t>
  </si>
  <si>
    <t>Мате- риал</t>
  </si>
  <si>
    <t>Кол-во жил</t>
  </si>
  <si>
    <t>Марка кабеля</t>
  </si>
  <si>
    <t>ВВГнг(А)-LS</t>
  </si>
  <si>
    <t>Полное имя кабеля</t>
  </si>
  <si>
    <t>Сечение, мм²</t>
  </si>
  <si>
    <t>Жильность</t>
  </si>
  <si>
    <t>Место</t>
  </si>
  <si>
    <t>В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</si>
  <si>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</si>
  <si>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</si>
  <si>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</si>
  <si>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</si>
  <si>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</si>
  <si>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</si>
  <si>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</si>
  <si>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</si>
  <si>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</si>
  <si>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</si>
  <si>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</si>
  <si>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</si>
  <si>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</si>
  <si>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</si>
  <si>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</si>
  <si>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</si>
  <si>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</si>
  <si>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</si>
  <si>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</si>
  <si>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</si>
  <si>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</si>
  <si>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</si>
  <si>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</si>
  <si>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</si>
  <si>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</si>
  <si>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</si>
  <si>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</si>
  <si>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</si>
  <si>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</si>
  <si>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</si>
  <si>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</si>
  <si>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</si>
  <si>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</si>
  <si>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</si>
  <si>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</si>
  <si>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</si>
  <si>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</si>
  <si>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</si>
  <si>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</si>
  <si>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</si>
  <si>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</si>
  <si>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</si>
  <si>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</si>
  <si>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</si>
  <si>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</si>
  <si>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</si>
  <si>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</si>
  <si>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</si>
  <si>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</si>
  <si>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</si>
  <si>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</si>
  <si>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</si>
  <si>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</si>
  <si>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</si>
  <si>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</si>
  <si>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</si>
  <si>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</si>
  <si>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</si>
  <si>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</si>
  <si>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</si>
  <si>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</si>
  <si>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</si>
  <si>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</si>
  <si>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</si>
  <si>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</si>
  <si>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</si>
  <si>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</si>
  <si>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</si>
  <si>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</si>
  <si>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</si>
  <si>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</si>
  <si>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</si>
  <si>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</si>
  <si>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</si>
  <si>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</si>
  <si>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</si>
  <si>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</si>
  <si>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</si>
  <si>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</si>
  <si>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</si>
  <si>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</si>
  <si>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</si>
  <si>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</si>
  <si>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</si>
  <si>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</si>
  <si>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</si>
  <si>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</si>
  <si>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</si>
  <si>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</si>
  <si>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</si>
  <si>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</si>
  <si>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</si>
  <si>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</si>
  <si>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Сумм групп ток,А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</si>
  <si>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</si>
  <si>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</si>
  <si>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</si>
  <si>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</si>
  <si>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</si>
  <si>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</si>
  <si>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</si>
  <si>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</si>
  <si>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</si>
  <si>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</si>
  <si>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</si>
  <si>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</si>
  <si>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</si>
  <si>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</si>
  <si>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</si>
  <si>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</si>
  <si>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</si>
  <si>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</si>
  <si>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</si>
  <si>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</si>
  <si>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</si>
  <si>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</si>
  <si>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</si>
  <si>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</si>
  <si>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</si>
  <si>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</si>
  <si>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</si>
  <si>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</si>
  <si>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</si>
  <si>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</si>
  <si>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T7</t>
  </si>
  <si>
    <t>T8</t>
  </si>
  <si>
    <t>T9</t>
  </si>
  <si>
    <t xml:space="preserve"> </t>
  </si>
  <si>
    <t>T12</t>
  </si>
  <si>
    <t>T13</t>
  </si>
  <si>
    <t>T21</t>
  </si>
  <si>
    <t>T22</t>
  </si>
  <si>
    <t>T23</t>
  </si>
  <si>
    <t>T24</t>
  </si>
  <si>
    <t>T25</t>
  </si>
  <si>
    <t>Шина1</t>
  </si>
  <si>
    <t>Шина2</t>
  </si>
  <si>
    <t>Аппарат1</t>
  </si>
  <si>
    <t>Аппарат2</t>
  </si>
  <si>
    <t>Переход1</t>
  </si>
  <si>
    <t>Переход2</t>
  </si>
  <si>
    <t>Кабель1</t>
  </si>
  <si>
    <t>Кабель2</t>
  </si>
  <si>
    <t>T28</t>
  </si>
  <si>
    <t>Аппарат3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</si>
  <si>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</si>
  <si>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</si>
  <si>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</si>
  <si>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</si>
  <si>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</si>
  <si>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</si>
  <si>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</si>
  <si>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</si>
  <si>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T32</t>
  </si>
  <si>
    <t>T33</t>
  </si>
  <si>
    <t>INTEGER_0</t>
  </si>
  <si>
    <t>NAME_BLOCK</t>
  </si>
  <si>
    <t>MOVE_X</t>
  </si>
  <si>
    <t>MOVE_Y</t>
  </si>
  <si>
    <t>SCALE_X</t>
  </si>
  <si>
    <t>SCALE_Y</t>
  </si>
  <si>
    <t>EL_VL_SCHEMA1_0</t>
  </si>
  <si>
    <t>EL_VL_SCHEMA1_1</t>
  </si>
  <si>
    <t>EL_VL_SCHEMA1_2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</si>
</sst>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2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3" xfId="1" applyFont="1" applyFill="1" applyBorder="1" applyAlignment="1" applyProtection="1">
      <alignment horizontal="center" vertical="center"/>
      <protection hidden="1"/>
    </xf>
    <xf numFmtId="0" fontId="4" fillId="8" borderId="44" xfId="1" applyFont="1" applyFill="1" applyBorder="1" applyAlignment="1" applyProtection="1">
      <alignment horizontal="center" vertical="center" wrapText="1"/>
      <protection hidden="1"/>
    </xf>
    <xf numFmtId="0" fontId="11" fillId="8" borderId="45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9" xfId="2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8" xfId="1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5" fillId="5" borderId="5" xfId="2" applyFont="1" applyFill="1" applyBorder="1" applyAlignment="1" applyProtection="1">
      <alignment horizontal="center" vertical="center" wrapText="1"/>
      <protection hidden="1"/>
    </xf>
    <xf numFmtId="0" fontId="5" fillId="5" borderId="9" xfId="2" applyFont="1" applyFill="1" applyBorder="1" applyAlignment="1" applyProtection="1">
      <alignment horizontal="center" vertical="center" wrapText="1"/>
      <protection hidden="1"/>
    </xf>
    <xf numFmtId="0" fontId="5" fillId="5" borderId="41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C9" sqref="C9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91</v>
      </c>
      <c r="B1" t="s">
        <v>92</v>
      </c>
    </row>
    <row r="2" spans="1:2" x14ac:dyDescent="0.25">
      <c r="A2" t="s">
        <v>93</v>
      </c>
      <c r="B2" t="s">
        <v>1</v>
      </c>
    </row>
    <row r="3" spans="1:2" x14ac:dyDescent="0.25">
      <c r="A3" t="s">
        <v>93</v>
      </c>
      <c r="B3" t="s">
        <v>102</v>
      </c>
    </row>
    <row r="4" spans="1:2" ht="15.75" customHeight="1" x14ac:dyDescent="0.25">
      <c r="A4" t="s">
        <v>93</v>
      </c>
      <c r="B4" t="s">
        <v>96</v>
      </c>
    </row>
    <row r="5" spans="1:2" ht="15.75" customHeight="1" x14ac:dyDescent="0.25">
      <c r="A5" t="s">
        <v>93</v>
      </c>
      <c r="B5" t="s">
        <v>99</v>
      </c>
    </row>
    <row r="6" spans="1:2" x14ac:dyDescent="0.25">
      <c r="A6" t="s">
        <v>93</v>
      </c>
      <c r="B6" t="s">
        <v>97</v>
      </c>
    </row>
    <row r="7" spans="1:2" x14ac:dyDescent="0.25">
      <c r="A7" t="s">
        <v>93</v>
      </c>
      <c r="B7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C6" sqref="C6:AK7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62</v>
      </c>
      <c r="E4" t="s">
        <v>63</v>
      </c>
      <c r="F4" t="s">
        <v>64</v>
      </c>
    </row>
    <row r="5" spans="2:38" ht="17.25" customHeight="1" x14ac:dyDescent="0.25">
      <c r="E5">
        <v>0</v>
      </c>
    </row>
    <row r="6" spans="2:38" ht="17.25" customHeight="1" x14ac:dyDescent="0.25">
      <c r="C6" t="s">
        <v>61</v>
      </c>
      <c r="D6" t="s">
        <v>67</v>
      </c>
      <c r="E6">
        <v>0</v>
      </c>
      <c r="F6">
        <v>0</v>
      </c>
      <c r="AK6" t="s">
        <v>60</v>
      </c>
    </row>
    <row r="7" spans="2:38" x14ac:dyDescent="0.25">
      <c r="C7" t="s">
        <v>61</v>
      </c>
      <c r="D7" t="s">
        <v>66</v>
      </c>
      <c r="E7">
        <v>60</v>
      </c>
      <c r="F7">
        <v>0</v>
      </c>
      <c r="AK7" t="s">
        <v>60</v>
      </c>
    </row>
    <row r="8" spans="2:38" x14ac:dyDescent="0.25">
      <c r="B8" t="s">
        <v>59</v>
      </c>
      <c r="C8" t="s">
        <v>61</v>
      </c>
      <c r="D8" t="s">
        <v>65</v>
      </c>
      <c r="E8">
        <f>E7+25</f>
        <v>85</v>
      </c>
      <c r="F8">
        <v>0</v>
      </c>
      <c r="G8" s="1" t="s">
        <v>68</v>
      </c>
      <c r="H8" s="1" t="e">
        <f>'&lt;zlight&gt;'!#REF!&amp;'&lt;zlight&gt;'!D24</f>
        <v>#REF!</v>
      </c>
      <c r="I8" s="1" t="s">
        <v>69</v>
      </c>
      <c r="J8" s="1" t="e">
        <f>'&lt;zlight&gt;'!#REF!</f>
        <v>#REF!</v>
      </c>
      <c r="K8" s="1" t="s">
        <v>70</v>
      </c>
      <c r="L8" s="1" t="e">
        <f>'&lt;zlight&gt;'!#REF!</f>
        <v>#REF!</v>
      </c>
      <c r="M8" s="1" t="s">
        <v>71</v>
      </c>
      <c r="N8" s="1"/>
      <c r="O8" s="1" t="s">
        <v>72</v>
      </c>
      <c r="P8" s="1"/>
      <c r="Q8" s="1" t="s">
        <v>73</v>
      </c>
      <c r="S8" t="s">
        <v>76</v>
      </c>
      <c r="T8" s="1" t="str">
        <f>'&lt;zlight&gt;'!AG24</f>
        <v>GC_HeadDevice.GC_HDGroup</v>
      </c>
      <c r="U8" t="s">
        <v>75</v>
      </c>
      <c r="V8" s="1">
        <f>'&lt;zlight&gt;'!AI24</f>
        <v>0</v>
      </c>
      <c r="W8" t="s">
        <v>77</v>
      </c>
      <c r="X8" s="1" t="str">
        <f>'&lt;zlight&gt;'!L24&amp;" ("&amp;'&lt;zlight&gt;'!T24&amp;" шт.)"</f>
        <v>Position (1 шт.)</v>
      </c>
      <c r="Y8" s="1" t="s">
        <v>78</v>
      </c>
      <c r="Z8" s="1" t="e">
        <f>'&lt;zlight&gt;'!O24</f>
        <v>#VALUE!</v>
      </c>
      <c r="AA8" s="1" t="s">
        <v>79</v>
      </c>
      <c r="AB8" s="1" t="e">
        <f>'&lt;zlight&gt;'!Q24</f>
        <v>#VALUE!</v>
      </c>
      <c r="AC8" s="1" t="s">
        <v>82</v>
      </c>
      <c r="AD8" s="1" t="str">
        <f>'&lt;zlight&gt;'!W24</f>
        <v>realnamedev</v>
      </c>
      <c r="AE8" s="1" t="s">
        <v>86</v>
      </c>
      <c r="AF8" s="1" t="s">
        <v>87</v>
      </c>
      <c r="AG8" s="1" t="s">
        <v>83</v>
      </c>
      <c r="AH8" s="1" t="s">
        <v>88</v>
      </c>
      <c r="AI8" s="1" t="s">
        <v>89</v>
      </c>
      <c r="AJ8" s="1" t="s">
        <v>90</v>
      </c>
      <c r="AK8" t="s">
        <v>60</v>
      </c>
      <c r="AL8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3:DU24"/>
  <sheetViews>
    <sheetView tabSelected="1" workbookViewId="0">
      <selection activeCell="I29" sqref="I29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1" width="3.7109375" customWidth="1"/>
    <col min="12" max="12" width="9.5703125" customWidth="1"/>
    <col min="13" max="13" width="10.7109375" customWidth="1"/>
    <col min="18" max="21" width="9.140625" customWidth="1"/>
    <col min="22" max="22" width="23.140625" customWidth="1"/>
    <col min="23" max="23" width="20.7109375" customWidth="1"/>
    <col min="24" max="24" width="10.28515625" bestFit="1" customWidth="1"/>
    <col min="25" max="28" width="10.28515625" customWidth="1"/>
    <col min="33" max="33" width="10.7109375" customWidth="1"/>
    <col min="34" max="34" width="21.5703125" customWidth="1"/>
    <col min="35" max="35" width="10.7109375" customWidth="1"/>
    <col min="36" max="38" width="5.7109375" customWidth="1"/>
    <col min="39" max="40" width="7.7109375" customWidth="1"/>
    <col min="41" max="41" width="19" customWidth="1"/>
    <col min="42" max="47" width="8.28515625" customWidth="1"/>
    <col min="48" max="49" width="7.7109375" customWidth="1"/>
    <col min="50" max="53" width="8.85546875" customWidth="1"/>
    <col min="54" max="62" width="10.42578125" customWidth="1"/>
    <col min="63" max="63" width="28" customWidth="1"/>
    <col min="64" max="124" width="10.42578125" customWidth="1"/>
  </cols>
  <sheetData>
    <row r="13" spans="12:123" ht="54.75" customHeight="1" x14ac:dyDescent="0.25">
      <c r="L13" s="10" t="s">
        <v>84</v>
      </c>
      <c r="X13" s="11" t="s">
        <v>85</v>
      </c>
      <c r="Y13" s="53"/>
      <c r="Z13" s="53"/>
      <c r="AA13" s="53"/>
      <c r="AB13" s="53"/>
    </row>
    <row r="14" spans="12:123" x14ac:dyDescent="0.25">
      <c r="L14" s="10" t="e">
        <f>#REF!</f>
        <v>#REF!</v>
      </c>
      <c r="X14">
        <f>SUM(X24:X12000)</f>
        <v>1</v>
      </c>
      <c r="CZ14" s="1" t="s">
        <v>83</v>
      </c>
      <c r="DA14" s="1" t="s">
        <v>88</v>
      </c>
      <c r="DB14" s="1"/>
      <c r="DC14" s="1"/>
      <c r="DD14" s="1"/>
      <c r="DE14" s="1"/>
      <c r="DF14" s="1" t="s">
        <v>89</v>
      </c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</row>
    <row r="16" spans="12:123" x14ac:dyDescent="0.25">
      <c r="DR16" s="1" t="s">
        <v>90</v>
      </c>
    </row>
    <row r="21" spans="3:125" ht="15.75" thickBot="1" x14ac:dyDescent="0.3">
      <c r="BK21" s="78" t="s">
        <v>305</v>
      </c>
      <c r="BL21" s="78" t="s">
        <v>306</v>
      </c>
      <c r="BM21" s="78" t="s">
        <v>307</v>
      </c>
      <c r="BN21" s="78" t="s">
        <v>308</v>
      </c>
      <c r="BO21" s="78" t="s">
        <v>309</v>
      </c>
      <c r="CY21" t="s">
        <v>284</v>
      </c>
      <c r="DA21" t="s">
        <v>285</v>
      </c>
      <c r="DC21" t="s">
        <v>286</v>
      </c>
      <c r="DE21" t="s">
        <v>287</v>
      </c>
      <c r="DG21" t="s">
        <v>288</v>
      </c>
      <c r="DI21" t="s">
        <v>289</v>
      </c>
      <c r="DK21" t="s">
        <v>290</v>
      </c>
      <c r="DM21" t="s">
        <v>291</v>
      </c>
      <c r="DO21" t="s">
        <v>286</v>
      </c>
      <c r="DQ21" t="s">
        <v>287</v>
      </c>
      <c r="DS21" t="s">
        <v>293</v>
      </c>
    </row>
    <row r="22" spans="3:125" ht="15.75" customHeight="1" thickBot="1" x14ac:dyDescent="0.3">
      <c r="D22" s="106" t="s">
        <v>116</v>
      </c>
      <c r="E22" s="114" t="s">
        <v>197</v>
      </c>
      <c r="F22" s="104" t="s">
        <v>198</v>
      </c>
      <c r="G22" s="114" t="s">
        <v>199</v>
      </c>
      <c r="H22" s="104" t="s">
        <v>200</v>
      </c>
      <c r="I22" s="104" t="s">
        <v>201</v>
      </c>
      <c r="J22" s="110" t="s">
        <v>130</v>
      </c>
      <c r="K22" s="111"/>
      <c r="L22" s="108" t="s">
        <v>131</v>
      </c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95" t="s">
        <v>49</v>
      </c>
      <c r="Y22" s="96"/>
      <c r="Z22" s="96"/>
      <c r="AA22" s="96"/>
      <c r="AB22" s="96"/>
      <c r="AC22" s="96"/>
      <c r="AD22" s="96"/>
      <c r="AE22" s="96"/>
      <c r="AF22" s="97"/>
      <c r="AG22" s="98" t="s">
        <v>137</v>
      </c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  <c r="AU22" s="95" t="s">
        <v>229</v>
      </c>
      <c r="AV22" s="96"/>
      <c r="AW22" s="96"/>
      <c r="AX22" s="96"/>
      <c r="AY22" s="96"/>
      <c r="AZ22" s="96"/>
      <c r="BA22" s="96"/>
      <c r="BB22" s="97"/>
      <c r="BC22" s="101" t="s">
        <v>237</v>
      </c>
      <c r="BD22" s="102"/>
      <c r="BE22" s="102"/>
      <c r="BF22" s="102"/>
      <c r="BG22" s="102"/>
      <c r="BH22" s="102"/>
      <c r="BI22" s="103"/>
      <c r="BJ22" t="s">
        <v>61</v>
      </c>
      <c r="BK22" s="1" t="s">
        <v>310</v>
      </c>
      <c r="BL22" s="1">
        <v>0</v>
      </c>
      <c r="BM22" s="1">
        <v>0</v>
      </c>
      <c r="BN22" s="1">
        <v>1</v>
      </c>
      <c r="BO22" s="1">
        <v>1</v>
      </c>
      <c r="DT22" t="s">
        <v>60</v>
      </c>
    </row>
    <row r="23" spans="3:125" ht="33.75" x14ac:dyDescent="0.25">
      <c r="D23" s="107"/>
      <c r="E23" s="115"/>
      <c r="F23" s="105"/>
      <c r="G23" s="115"/>
      <c r="H23" s="105"/>
      <c r="I23" s="105"/>
      <c r="J23" s="112"/>
      <c r="K23" s="113"/>
      <c r="L23" s="57" t="s">
        <v>129</v>
      </c>
      <c r="M23" s="57" t="s">
        <v>36</v>
      </c>
      <c r="N23" s="57" t="s">
        <v>23</v>
      </c>
      <c r="O23" s="58" t="s">
        <v>39</v>
      </c>
      <c r="P23" s="59" t="s">
        <v>42</v>
      </c>
      <c r="Q23" s="58" t="s">
        <v>40</v>
      </c>
      <c r="R23" s="60" t="s">
        <v>43</v>
      </c>
      <c r="S23" s="60" t="s">
        <v>37</v>
      </c>
      <c r="T23" s="59" t="s">
        <v>38</v>
      </c>
      <c r="U23" s="61" t="s">
        <v>41</v>
      </c>
      <c r="V23" s="62" t="s">
        <v>136</v>
      </c>
      <c r="W23" s="63" t="s">
        <v>117</v>
      </c>
      <c r="X23" s="64" t="s">
        <v>127</v>
      </c>
      <c r="Y23" s="70" t="s">
        <v>126</v>
      </c>
      <c r="Z23" s="64" t="s">
        <v>128</v>
      </c>
      <c r="AA23" s="64" t="s">
        <v>150</v>
      </c>
      <c r="AB23" s="64" t="s">
        <v>46</v>
      </c>
      <c r="AC23" s="64" t="s">
        <v>44</v>
      </c>
      <c r="AD23" s="64" t="s">
        <v>45</v>
      </c>
      <c r="AE23" s="74" t="s">
        <v>192</v>
      </c>
      <c r="AF23" s="71" t="s">
        <v>151</v>
      </c>
      <c r="AG23" s="64" t="s">
        <v>138</v>
      </c>
      <c r="AH23" s="64" t="s">
        <v>144</v>
      </c>
      <c r="AI23" s="64" t="s">
        <v>58</v>
      </c>
      <c r="AJ23" s="64" t="s">
        <v>140</v>
      </c>
      <c r="AK23" s="64" t="s">
        <v>146</v>
      </c>
      <c r="AL23" s="64" t="s">
        <v>147</v>
      </c>
      <c r="AM23" s="64" t="s">
        <v>141</v>
      </c>
      <c r="AN23" s="64" t="s">
        <v>145</v>
      </c>
      <c r="AO23" s="64" t="s">
        <v>142</v>
      </c>
      <c r="AP23" s="64" t="s">
        <v>152</v>
      </c>
      <c r="AQ23" s="64" t="s">
        <v>188</v>
      </c>
      <c r="AR23" s="64" t="s">
        <v>187</v>
      </c>
      <c r="AS23" s="64" t="s">
        <v>190</v>
      </c>
      <c r="AT23" s="64" t="s">
        <v>189</v>
      </c>
      <c r="AU23" s="64" t="s">
        <v>242</v>
      </c>
      <c r="AV23" s="74" t="s">
        <v>232</v>
      </c>
      <c r="AW23" s="74" t="s">
        <v>191</v>
      </c>
      <c r="AX23" s="74" t="s">
        <v>194</v>
      </c>
      <c r="AY23" s="74" t="s">
        <v>231</v>
      </c>
      <c r="AZ23" s="64" t="s">
        <v>228</v>
      </c>
      <c r="BA23" s="74" t="s">
        <v>227</v>
      </c>
      <c r="BB23" s="71" t="s">
        <v>230</v>
      </c>
      <c r="BC23" s="77" t="s">
        <v>232</v>
      </c>
      <c r="BD23" s="77" t="s">
        <v>191</v>
      </c>
      <c r="BE23" s="77" t="s">
        <v>194</v>
      </c>
      <c r="BF23" s="77" t="s">
        <v>231</v>
      </c>
      <c r="BG23" s="77" t="s">
        <v>228</v>
      </c>
      <c r="BH23" s="77" t="s">
        <v>227</v>
      </c>
      <c r="BI23" s="77" t="s">
        <v>230</v>
      </c>
      <c r="BJ23" t="s">
        <v>61</v>
      </c>
      <c r="BK23" s="1" t="s">
        <v>311</v>
      </c>
      <c r="BL23" s="1">
        <v>60</v>
      </c>
      <c r="BM23" s="1">
        <v>0</v>
      </c>
      <c r="BN23" s="1">
        <v>1</v>
      </c>
      <c r="BO23" s="1">
        <v>1</v>
      </c>
      <c r="DT23" t="s">
        <v>60</v>
      </c>
    </row>
    <row r="24" spans="3:125" x14ac:dyDescent="0.25">
      <c r="C24" t="s">
        <v>50</v>
      </c>
      <c r="D24" s="65" t="str">
        <f>IF('&lt;zlight&gt;DEVEXPORT'!N11=1,'&lt;zlight&gt;DEVEXPORT'!F11,"")</f>
        <v>GC_HDGroup</v>
      </c>
      <c r="E24" s="65" t="str">
        <f>IF(D24="","","УЗДП")</f>
        <v>УЗДП</v>
      </c>
      <c r="F24" s="65">
        <f>IF(D24="","",1)</f>
        <v>1</v>
      </c>
      <c r="G24" s="65" t="str">
        <f>IF(D24="","","АВ")</f>
        <v>АВ</v>
      </c>
      <c r="H24" s="65" t="e">
        <f ca="1">IF(E24="","",IF(F24="",AZ24&amp;", "&amp;BA24&amp;", "&amp;BB24,IF(MATCH(F24,$F$24:F24,0)=MATCH(F24,$F$24:F24,1),AZ24&amp;", "&amp;BA24&amp;", "&amp;BB24,"")))</f>
        <v>#VALUE!</v>
      </c>
      <c r="I24" s="65" t="e">
        <f ca="1">IF(G24="","",BG24&amp;", "&amp;BH24&amp;", "&amp;BI24)</f>
        <v>#VALUE!</v>
      </c>
      <c r="J24" s="12" t="str">
        <f>'&lt;zlight&gt;DEVEXPORT'!F11</f>
        <v>GC_HDGroup</v>
      </c>
      <c r="K24" s="12" t="e">
        <f ca="1">INDIRECT("'"&amp;L24&amp;"'!"&amp;"X14")</f>
        <v>#REF!</v>
      </c>
      <c r="L24" s="66" t="str">
        <f>'&lt;zlight&gt;DEVEXPORT'!G11</f>
        <v>Position</v>
      </c>
      <c r="M24" s="67" t="e">
        <f>VLOOKUP('&lt;zlight&gt;DEVEXPORT'!K11,BD!$A$4:$C$5,2,FALSE)</f>
        <v>#N/A</v>
      </c>
      <c r="N24" s="67" t="e">
        <f>VLOOKUP('&lt;zlight&gt;DEVEXPORT'!L11,BD!$A$10:$B$13,2,FALSE)</f>
        <v>#N/A</v>
      </c>
      <c r="O24" s="67" t="e">
        <f>T24*S24</f>
        <v>#VALUE!</v>
      </c>
      <c r="P24" s="67" t="str">
        <f>'&lt;zlight&gt;DEVEXPORT'!I11</f>
        <v>CosPHI</v>
      </c>
      <c r="Q24" s="66" t="e">
        <f>ROUNDUP((O24*1000)/(VLOOKUP(M24,BD!$B$4:$C$5,2,FALSE)*P24),2)</f>
        <v>#VALUE!</v>
      </c>
      <c r="R24" s="66" t="e">
        <f>ROUNDUP(O24*ROUNDUP(TAN(ACOS(P24)),2),2)</f>
        <v>#VALUE!</v>
      </c>
      <c r="S24" s="66" t="str">
        <f>'&lt;zlight&gt;DEVEXPORT'!H11</f>
        <v>Power</v>
      </c>
      <c r="T24" s="66">
        <f>'&lt;zlight&gt;DEVEXPORT'!O11</f>
        <v>1</v>
      </c>
      <c r="U24" s="66">
        <v>1</v>
      </c>
      <c r="V24" s="67"/>
      <c r="W24" s="66" t="str">
        <f>'&lt;zlight&gt;DEVEXPORT'!C11</f>
        <v>realnamedev</v>
      </c>
      <c r="X24" s="68">
        <v>1</v>
      </c>
      <c r="Y24" s="68" t="e">
        <f ca="1">IF(D24="","",ROUNDUP(COS(ATAN(ROUNDUP(AC24/Z24,2))),2))</f>
        <v>#VALUE!</v>
      </c>
      <c r="Z24" s="68" t="e">
        <f ca="1">IF(D24="","",IFERROR(K24,X24*SUMIFS($O$24:$O$12000,$J$24:$J$12000,J24)))</f>
        <v>#VALUE!</v>
      </c>
      <c r="AA24" s="68" t="e">
        <f ca="1">ROUNDUP(IF(M24=380,SQRT(3),2)*AB24*AI24*(HLOOKUP(AJ24&amp;AK24&amp;AL24&amp;"R",BDКаб!$B$3:$AH$12,MATCH(AN24,BDКаб!$B$5:$B$12,1)+2,FALSE)*Y24 + HLOOKUP(AJ24&amp;AK24&amp;AL24&amp;"X",BDКаб!$B$3:$AH$12,MATCH(AN24,BDКаб!$B$5:$B$12,1)+2,FALSE)*SQRT(1-Y24*Y24))/(1000*IF(M24=380,380,220)),2)</f>
        <v>#N/A</v>
      </c>
      <c r="AB24" s="68" t="e">
        <f ca="1">IF(D24="","",ROUNDUP((Z24*1000)/(VLOOKUP(M24,BD!$B$4:$C$5,2,FALSE)*Y24),2))</f>
        <v>#VALUE!</v>
      </c>
      <c r="AC24" s="68" t="e">
        <f>IF(D24="","",X24*SUMIFS($R$24:$R$12000,$J$24:$J$12000,J24))</f>
        <v>#VALUE!</v>
      </c>
      <c r="AD24" s="68" t="e">
        <f ca="1">IF(D24="","",ROUNDUP(SQRT(Z24*Z24+AC24*AC24),2))</f>
        <v>#VALUE!</v>
      </c>
      <c r="AE24" s="69">
        <v>1.3</v>
      </c>
      <c r="AF24" s="69">
        <f>IF(D24="","",3)</f>
        <v>3</v>
      </c>
      <c r="AG24" s="68" t="str">
        <f>IF(D24="","",'&lt;zlight&gt;DEVEXPORT'!E11&amp;"."&amp;'&lt;zlight&gt;DEVEXPORT'!F11)</f>
        <v>GC_HeadDevice.GC_HDGroup</v>
      </c>
      <c r="AH24" s="68" t="e">
        <f ca="1">IF(D24="","",AO24&amp;"-"&amp;AM24&amp;"х"&amp;AS24&amp;"мм²")</f>
        <v>#N/A</v>
      </c>
      <c r="AI24" s="68">
        <f>IF(D24="","",SUMIFS('&lt;zlight&gt;CABEXPORT'!$H$4:$H$12000,'&lt;zlight&gt;CABEXPORT'!$D$4:$D$12000,'&lt;zlight&gt;'!AG24))</f>
        <v>0</v>
      </c>
      <c r="AJ24" s="69" t="s">
        <v>139</v>
      </c>
      <c r="AK24" s="69" t="s">
        <v>139</v>
      </c>
      <c r="AL24" s="69" t="s">
        <v>148</v>
      </c>
      <c r="AM24" s="67" t="e">
        <f>IF(D24="","",IF(M24=380,5,3))</f>
        <v>#N/A</v>
      </c>
      <c r="AN24" s="67" t="e">
        <f ca="1">IF(AQ24&gt;IF(AS24&gt;AT24,AS24,AT24),AQ24,IF(AS24&gt;AT24,AS24,AT24))</f>
        <v>#VALUE!</v>
      </c>
      <c r="AO24" s="67" t="s">
        <v>143</v>
      </c>
      <c r="AP24" s="67" t="e">
        <f ca="1">(AF24*380*1000)/(SQRT(3)*AB24*AI24*100)</f>
        <v>#VALUE!</v>
      </c>
      <c r="AQ24" s="69"/>
      <c r="AR24" s="69"/>
      <c r="AS24" s="67" t="e">
        <f ca="1">INDEX(BDКаб!$B$5:$B$12,MATCH(AP24,INDIRECT("BDКаб!"&amp;HLOOKUP(AJ24&amp;AK24&amp;AL24&amp;"Z",BDКаб!$B$3:$AH$4,2,FALSE)),-1)+1)</f>
        <v>#VALUE!</v>
      </c>
      <c r="AT24" s="67" t="e">
        <f ca="1">INDEX(BDКаб!$B$5:$B$12,MATCH(AB24,INDIRECT("BDКаб!"&amp;HLOOKUP(AJ24&amp;AK24&amp;AL24&amp;"I",BDКаб!$B$3:$AH$4,2,FALSE)),1)+1)</f>
        <v>#VALUE!</v>
      </c>
      <c r="AU24" s="67" t="e">
        <f ca="1">IF(E24="","",SUMIFS($AB$24:$AB$12000,$F$24:$F$12000,F24))</f>
        <v>#VALUE!</v>
      </c>
      <c r="AV24" s="68" t="e">
        <f ca="1">IF(E24="","",INDEX(INDIRECT("BD!"&amp;INDEX(BD!$K$5:$BO$5,1,MATCH(E24&amp;"I",BD!$K$4:$BP$4,0))),MATCH(AE24*IF(F24="",AB24,AU24),INDIRECT("BD!"&amp;INDEX(BD!$K$5:$BO$5,1,MATCH(E24&amp;"I",BD!$K$4:$BP$4,0))),-1)))</f>
        <v>#VALUE!</v>
      </c>
      <c r="AW24" s="69" t="str">
        <f>IF(E24="","","C")</f>
        <v>C</v>
      </c>
      <c r="AX24" s="73" t="str">
        <f>IF(E24="","","3")</f>
        <v>3</v>
      </c>
      <c r="AY24" s="73" t="str">
        <f>IF(E24="","","30")</f>
        <v>30</v>
      </c>
      <c r="AZ24" s="73" t="e">
        <f ca="1">IF(E24="","",INDEX(INDIRECT("BD!"&amp;INDEX(BD!$K$5:$BO$5,1,MATCH(E24&amp;"О",BD!$K$4:$BP$4,0))),MATCH(AV24,INDIRECT("BD!"&amp;INDEX(BD!$K$5:$BO$5,1,MATCH(E24&amp;"I",BD!$K$4:$BP$4,0))),0))&amp;D24)</f>
        <v>#VALUE!</v>
      </c>
      <c r="BA24" s="72" t="e">
        <f ca="1">IF(E24="","",INDEX(INDIRECT("BD!"&amp;INDEX(BD!$K$5:$BO$5,1,MATCH(E24&amp;"М",BD!$K$4:$BP$4,0))),MATCH(AV24,INDIRECT("BD!"&amp;INDEX(BD!$K$5:$BO$5,1,MATCH(E24&amp;"I",BD!$K$4:$BP$4,0))),0)))</f>
        <v>#VALUE!</v>
      </c>
      <c r="BB24" t="e">
        <f ca="1">IF(E24="","",AX24&amp;"P,"&amp;AV24&amp;"А,"&amp;AW24&amp;IF(AY24="","",","&amp;AY24&amp;"мА"))</f>
        <v>#VALUE!</v>
      </c>
      <c r="BC24" s="68" t="e">
        <f ca="1">IF(G24="","",INDEX(INDIRECT("BD!"&amp;INDEX(BD!$K$5:$BR$5,1,MATCH(G24&amp;"I",BD!$K$4:$BS$4,0))),MATCH(AE24*AB24,INDIRECT("BD!"&amp;INDEX(BD!$K$5:$BR$5,1,MATCH(G24&amp;"I",BD!$K$4:$BS$4,0))),-1)))</f>
        <v>#VALUE!</v>
      </c>
      <c r="BD24" s="69" t="str">
        <f>IF(G24="","","C")</f>
        <v>C</v>
      </c>
      <c r="BE24" s="73" t="str">
        <f>IF(G24="","","3")</f>
        <v>3</v>
      </c>
      <c r="BF24" s="73" t="str">
        <f>IF(G24="","","30")</f>
        <v>30</v>
      </c>
      <c r="BG24" s="73" t="e">
        <f ca="1">IF(G24="","",INDEX(INDIRECT("BD!"&amp;INDEX(BD!$K$5:$BR$5,1,MATCH(G24&amp;"О",BD!$K$4:$BS$4,0))),MATCH(BC24,INDIRECT("BD!"&amp;INDEX(BD!$K$5:$BR$5,1,MATCH(G24&amp;"I",BD!$K$4:$BS$4,0))),0))&amp;D24)</f>
        <v>#VALUE!</v>
      </c>
      <c r="BH24" s="72" t="e">
        <f ca="1">IF(G24="","",INDEX(INDIRECT("BD!"&amp;INDEX(BD!$K$5:$BR$5,1,MATCH(G24&amp;"М",BD!$K$4:$BS$4,0))),MATCH(BC24,INDIRECT("BD!"&amp;INDEX(BD!$K$5:$BR$5,1,MATCH(G24&amp;"I",BD!$K$4:$BS$4,0))),0)))</f>
        <v>#VALUE!</v>
      </c>
      <c r="BI24" t="e">
        <f ca="1">IF(G24="","",BE24&amp;"P,"&amp;BC24&amp;"А,"&amp;BD24&amp;IF(BF24="","",","&amp;BF24&amp;"мА"))</f>
        <v>#VALUE!</v>
      </c>
      <c r="BJ24" t="s">
        <v>61</v>
      </c>
      <c r="BK24" s="1" t="s">
        <v>312</v>
      </c>
      <c r="BL24" s="1">
        <f>COUNTIF($BK$24:BK24,"*")*25+$BL$23</f>
        <v>85</v>
      </c>
      <c r="BM24" s="1">
        <v>0</v>
      </c>
      <c r="BN24" s="1">
        <v>1</v>
      </c>
      <c r="BO24" s="1">
        <v>1</v>
      </c>
      <c r="BP24" s="1" t="s">
        <v>68</v>
      </c>
      <c r="BQ24" s="1" t="e">
        <f ca="1">IF(H24="","",AZ24)</f>
        <v>#VALUE!</v>
      </c>
      <c r="BR24" s="1" t="s">
        <v>69</v>
      </c>
      <c r="BS24" s="1" t="e">
        <f ca="1">IF(H24="","",BA24)</f>
        <v>#VALUE!</v>
      </c>
      <c r="BT24" s="1" t="s">
        <v>70</v>
      </c>
      <c r="BU24" s="1" t="e">
        <f ca="1">IF(H24="","",BB24)</f>
        <v>#VALUE!</v>
      </c>
      <c r="BV24" s="1" t="s">
        <v>71</v>
      </c>
      <c r="BW24" s="1" t="e">
        <f ca="1">BG24</f>
        <v>#VALUE!</v>
      </c>
      <c r="BX24" s="1" t="s">
        <v>72</v>
      </c>
      <c r="BY24" s="1" t="e">
        <f ca="1">BH24</f>
        <v>#VALUE!</v>
      </c>
      <c r="BZ24" s="1" t="s">
        <v>73</v>
      </c>
      <c r="CA24" t="e">
        <f ca="1">BI24</f>
        <v>#VALUE!</v>
      </c>
      <c r="CB24" s="1" t="s">
        <v>273</v>
      </c>
      <c r="CC24" t="s">
        <v>276</v>
      </c>
      <c r="CD24" s="1" t="s">
        <v>274</v>
      </c>
      <c r="CE24" t="s">
        <v>276</v>
      </c>
      <c r="CF24" s="1" t="s">
        <v>275</v>
      </c>
      <c r="CG24" t="s">
        <v>276</v>
      </c>
      <c r="CH24" t="s">
        <v>76</v>
      </c>
      <c r="CI24" s="1" t="str">
        <f>AG24</f>
        <v>GC_HeadDevice.GC_HDGroup</v>
      </c>
      <c r="CJ24" t="s">
        <v>75</v>
      </c>
      <c r="CK24" s="1" t="e">
        <f ca="1">IF(H24="",IF(I24="","","L="&amp;AI24&amp;"м"),"L="&amp;AI24&amp;"м")</f>
        <v>#VALUE!</v>
      </c>
      <c r="CL24" t="s">
        <v>277</v>
      </c>
      <c r="CM24" s="1"/>
      <c r="CN24" t="s">
        <v>278</v>
      </c>
      <c r="CO24" s="1"/>
      <c r="CP24" t="s">
        <v>77</v>
      </c>
      <c r="CQ24" s="1" t="str">
        <f>L24</f>
        <v>Position</v>
      </c>
      <c r="CR24" s="1" t="s">
        <v>78</v>
      </c>
      <c r="CS24" s="1" t="e">
        <f>O24</f>
        <v>#VALUE!</v>
      </c>
      <c r="CT24" s="1" t="s">
        <v>79</v>
      </c>
      <c r="CU24" s="1" t="e">
        <f>Q24</f>
        <v>#VALUE!</v>
      </c>
      <c r="CV24" s="1" t="s">
        <v>82</v>
      </c>
      <c r="CW24" s="1" t="str">
        <f>W24</f>
        <v>realnamedev</v>
      </c>
      <c r="CX24" s="1" t="s">
        <v>279</v>
      </c>
      <c r="CY24" s="1" t="s">
        <v>87</v>
      </c>
      <c r="CZ24" s="1" t="s">
        <v>280</v>
      </c>
      <c r="DA24" s="1" t="s">
        <v>88</v>
      </c>
      <c r="DB24" s="1" t="s">
        <v>281</v>
      </c>
      <c r="DC24" s="1" t="e">
        <f ca="1">IF(H24="","BOOLEAN_0","BOOLEAN_1")</f>
        <v>#VALUE!</v>
      </c>
      <c r="DD24" s="1" t="s">
        <v>282</v>
      </c>
      <c r="DE24" s="1" t="e">
        <f ca="1">IF(I24="","BOOLEAN_0","BOOLEAN_1")</f>
        <v>#VALUE!</v>
      </c>
      <c r="DF24" t="s">
        <v>283</v>
      </c>
      <c r="DG24" t="e">
        <f ca="1">IF(H24="",IF(I24="","BOOLEAN_0","BOOLEAN_0"),"BOOLEAN_0")</f>
        <v>#VALUE!</v>
      </c>
      <c r="DH24" t="s">
        <v>83</v>
      </c>
      <c r="DI24" s="1" t="e">
        <f ca="1">IF(H24="",IF(I24="","BOOLEAN_1","BOOLEAN_0"),"BOOLEAN_0")</f>
        <v>#VALUE!</v>
      </c>
      <c r="DJ24" t="s">
        <v>86</v>
      </c>
      <c r="DK24" s="1" t="s">
        <v>87</v>
      </c>
      <c r="DL24" t="s">
        <v>292</v>
      </c>
      <c r="DM24" s="1" t="s">
        <v>88</v>
      </c>
      <c r="DN24" t="s">
        <v>89</v>
      </c>
      <c r="DO24" t="e">
        <f ca="1">IF(H24="","INTEGER_0","INTEGER_"&amp;INDEX(INDIRECT("BD!"&amp;INDEX(BD!$K$5:$BO$5,1,MATCH(E24&amp;"N",BD!$K$4:$BP$4,0))),MATCH(AV24,INDIRECT("BD!"&amp;INDEX(BD!$K$5:$BO$5,1,MATCH(E24&amp;"I",BD!$K$4:$BP$4,0))),0)))</f>
        <v>#VALUE!</v>
      </c>
      <c r="DP24" t="s">
        <v>302</v>
      </c>
      <c r="DQ24" t="e">
        <f ca="1">IF(I24="","INTEGER_0","INTEGER_"&amp;INDEX(INDIRECT("BD!"&amp;INDEX(BD!$K$5:$BR$5,1,MATCH(G24&amp;"N",BD!$K$4:$BS$4,0))),MATCH(BC24,INDIRECT("BD!"&amp;INDEX(BD!$K$5:$BR$5,1,MATCH(G24&amp;"I",BD!$K$4:$BS$4,0))),0)))</f>
        <v>#VALUE!</v>
      </c>
      <c r="DR24" t="s">
        <v>303</v>
      </c>
      <c r="DS24" s="1" t="s">
        <v>304</v>
      </c>
      <c r="DT24" t="s">
        <v>60</v>
      </c>
      <c r="DU24" t="s">
        <v>12</v>
      </c>
    </row>
  </sheetData>
  <mergeCells count="12">
    <mergeCell ref="D22:D23"/>
    <mergeCell ref="L22:W22"/>
    <mergeCell ref="J22:K23"/>
    <mergeCell ref="E22:E23"/>
    <mergeCell ref="F22:F23"/>
    <mergeCell ref="G22:G23"/>
    <mergeCell ref="H22:H23"/>
    <mergeCell ref="X22:AF22"/>
    <mergeCell ref="AG22:AT22"/>
    <mergeCell ref="BC22:BI22"/>
    <mergeCell ref="AU22:BB22"/>
    <mergeCell ref="I22:I23"/>
  </mergeCells>
  <conditionalFormatting sqref="M24">
    <cfRule type="expression" dxfId="8" priority="16">
      <formula>NOT(_xlfn.ISFORMULA(M24))</formula>
    </cfRule>
  </conditionalFormatting>
  <conditionalFormatting sqref="N24">
    <cfRule type="expression" dxfId="7" priority="10">
      <formula>NOT(_xlfn.ISFORMULA(N24))</formula>
    </cfRule>
  </conditionalFormatting>
  <conditionalFormatting sqref="O24">
    <cfRule type="expression" dxfId="6" priority="9">
      <formula>NOT(_xlfn.ISFORMULA(O24))</formula>
    </cfRule>
  </conditionalFormatting>
  <conditionalFormatting sqref="P24">
    <cfRule type="expression" dxfId="5" priority="8">
      <formula>NOT(_xlfn.ISFORMULA(P24))</formula>
    </cfRule>
  </conditionalFormatting>
  <conditionalFormatting sqref="V24">
    <cfRule type="expression" dxfId="4" priority="7">
      <formula>NOT(_xlfn.ISFORMULA(V24))</formula>
    </cfRule>
  </conditionalFormatting>
  <conditionalFormatting sqref="AM24">
    <cfRule type="expression" dxfId="3" priority="5">
      <formula>NOT(_xlfn.ISFORMULA(AM24))</formula>
    </cfRule>
  </conditionalFormatting>
  <conditionalFormatting sqref="AP24">
    <cfRule type="expression" dxfId="2" priority="4">
      <formula>NOT(_xlfn.ISFORMULA(AP24))</formula>
    </cfRule>
  </conditionalFormatting>
  <conditionalFormatting sqref="AS24">
    <cfRule type="expression" dxfId="1" priority="2">
      <formula>NOT(_xlfn.ISFORMULA(AS24))</formula>
    </cfRule>
  </conditionalFormatting>
  <conditionalFormatting sqref="AN24">
    <cfRule type="expression" dxfId="0" priority="1">
      <formula>NOT(_xlfn.ISFORMULA(AN24))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Z11"/>
  <sheetViews>
    <sheetView workbookViewId="0">
      <selection activeCell="N11" sqref="N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5" spans="2:26" x14ac:dyDescent="0.25">
      <c r="B5" t="s">
        <v>103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t="s">
        <v>104</v>
      </c>
    </row>
    <row r="9" spans="2:26" ht="90" x14ac:dyDescent="0.25">
      <c r="C9" t="s">
        <v>81</v>
      </c>
      <c r="D9" s="1" t="s">
        <v>10</v>
      </c>
      <c r="E9" s="1" t="s">
        <v>7</v>
      </c>
      <c r="F9" s="1" t="s">
        <v>8</v>
      </c>
      <c r="G9" s="1" t="s">
        <v>13</v>
      </c>
      <c r="H9" s="1" t="s">
        <v>11</v>
      </c>
      <c r="I9" s="6" t="s">
        <v>20</v>
      </c>
      <c r="J9" s="6" t="s">
        <v>21</v>
      </c>
      <c r="K9" s="7" t="s">
        <v>22</v>
      </c>
      <c r="L9" s="7" t="s">
        <v>23</v>
      </c>
      <c r="M9" s="2" t="s">
        <v>14</v>
      </c>
      <c r="N9" s="2" t="s">
        <v>15</v>
      </c>
      <c r="O9" s="2" t="s">
        <v>16</v>
      </c>
      <c r="P9" s="2" t="s">
        <v>17</v>
      </c>
      <c r="Q9" s="3" t="s">
        <v>18</v>
      </c>
      <c r="R9" s="3" t="s">
        <v>27</v>
      </c>
      <c r="S9" s="6" t="s">
        <v>29</v>
      </c>
      <c r="T9" s="6" t="s">
        <v>30</v>
      </c>
      <c r="U9" s="3" t="s">
        <v>28</v>
      </c>
      <c r="V9" s="6" t="s">
        <v>31</v>
      </c>
      <c r="W9" s="6" t="s">
        <v>32</v>
      </c>
      <c r="X9" s="6" t="s">
        <v>33</v>
      </c>
      <c r="Y9" s="6" t="s">
        <v>34</v>
      </c>
    </row>
    <row r="10" spans="2:26" ht="45" x14ac:dyDescent="0.25">
      <c r="B10" s="4" t="s">
        <v>19</v>
      </c>
      <c r="C10" s="4"/>
      <c r="N10" s="1"/>
      <c r="Q10" s="5"/>
      <c r="R10" s="5"/>
      <c r="S10" s="5"/>
      <c r="T10" s="5"/>
      <c r="U10" s="5"/>
      <c r="V10" s="5"/>
      <c r="W10" s="5"/>
      <c r="X10" s="5"/>
      <c r="Y10" s="5"/>
    </row>
    <row r="11" spans="2:26" x14ac:dyDescent="0.25">
      <c r="B11" t="s">
        <v>2</v>
      </c>
      <c r="C11" t="s">
        <v>80</v>
      </c>
      <c r="D11" t="s">
        <v>9</v>
      </c>
      <c r="E11" t="s">
        <v>5</v>
      </c>
      <c r="F11" t="s">
        <v>6</v>
      </c>
      <c r="G11" t="s">
        <v>74</v>
      </c>
      <c r="H11" t="s">
        <v>4</v>
      </c>
      <c r="I11" s="8" t="s">
        <v>24</v>
      </c>
      <c r="J11" t="e">
        <f>ROUNDUP(TAN(ACOS(I11)),2)</f>
        <v>#VALUE!</v>
      </c>
      <c r="K11" s="9" t="s">
        <v>25</v>
      </c>
      <c r="L11" s="9" t="s">
        <v>26</v>
      </c>
      <c r="M11">
        <v>1</v>
      </c>
      <c r="N11">
        <f>IF(F10&lt;&gt;F11,IFERROR(IF(MATCH(E11,$D$11:D11,0)&gt;0,0,1),1),0)</f>
        <v>1</v>
      </c>
      <c r="O11">
        <f>SUMIFS($M$11:$M$12006,$G$11:$G$12006,G11,$F$11:$F$12006,F11)</f>
        <v>1</v>
      </c>
      <c r="P11">
        <f>IF(SUMIFS($M$11:M11,$G$11:G11,G11,$F$11:F11,F11)=1,1,0)</f>
        <v>1</v>
      </c>
      <c r="Q11">
        <f>IF(P11=1,1,0)</f>
        <v>1</v>
      </c>
      <c r="R11">
        <f>IF(P11=1,SUMIFS($H$11:$H$12006,$G$11:$G$12006,G11,$F$11:$F$12006,F11),0)</f>
        <v>0</v>
      </c>
      <c r="S11" t="e">
        <f>ROUNDUP(R11*J11,2)</f>
        <v>#VALUE!</v>
      </c>
      <c r="T11" t="e">
        <f>ROUNDUP(SQRT(R11*R11+S11*S11),2)</f>
        <v>#VALUE!</v>
      </c>
      <c r="U11">
        <f>IF(N11=1,SUMIFS($H$11:$H$12006,$F$11:$F$12006,F11),0)</f>
        <v>0</v>
      </c>
      <c r="V11" t="e">
        <f>IF(N11=1,SUMIFS($S$11:$S$12006,$F$11:$F$12006,F11),0)</f>
        <v>#VALUE!</v>
      </c>
      <c r="W11" t="e">
        <f>IF(N11=1,SUMIFS($T$11:$T$12006,$F$11:$F$12006,F11),0)</f>
        <v>#VALUE!</v>
      </c>
      <c r="X11" t="e">
        <f>ROUNDUP(V11/U11,2)</f>
        <v>#VALUE!</v>
      </c>
      <c r="Y11" t="e">
        <f>ROUNDUP(COS(ATAN(X11)),2)</f>
        <v>#VALUE!</v>
      </c>
      <c r="Z11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topLeftCell="C5" workbookViewId="0">
      <selection activeCell="M5" sqref="M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56</v>
      </c>
      <c r="J3" s="2" t="s">
        <v>15</v>
      </c>
      <c r="K3" s="2" t="s">
        <v>57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52</v>
      </c>
      <c r="D5" s="1" t="s">
        <v>9</v>
      </c>
      <c r="E5" s="1" t="s">
        <v>5</v>
      </c>
      <c r="F5" s="1" t="s">
        <v>6</v>
      </c>
      <c r="G5" s="1" t="s">
        <v>54</v>
      </c>
      <c r="H5" s="1" t="s">
        <v>55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81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100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O67"/>
  <sheetViews>
    <sheetView topLeftCell="AB1" workbookViewId="0">
      <selection activeCell="BG11" sqref="BG11"/>
    </sheetView>
  </sheetViews>
  <sheetFormatPr defaultRowHeight="15" x14ac:dyDescent="0.25"/>
  <cols>
    <col min="1" max="1" width="15" bestFit="1" customWidth="1"/>
    <col min="2" max="2" width="14.7109375" customWidth="1"/>
    <col min="32" max="32" width="10.28515625" bestFit="1" customWidth="1"/>
    <col min="50" max="50" width="22.28515625" customWidth="1"/>
    <col min="57" max="57" width="31.85546875" customWidth="1"/>
  </cols>
  <sheetData>
    <row r="2" spans="1:67" ht="15.75" thickBot="1" x14ac:dyDescent="0.3"/>
    <row r="3" spans="1:67" ht="52.5" customHeight="1" thickBot="1" x14ac:dyDescent="0.3">
      <c r="A3" s="79" t="s">
        <v>35</v>
      </c>
      <c r="B3" s="80"/>
      <c r="C3" s="81"/>
      <c r="F3" s="82" t="s">
        <v>112</v>
      </c>
      <c r="G3" s="83"/>
      <c r="H3" s="84"/>
      <c r="K3" s="87" t="s">
        <v>202</v>
      </c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</row>
    <row r="4" spans="1:67" ht="32.25" thickBot="1" x14ac:dyDescent="0.3">
      <c r="A4" s="14" t="s">
        <v>48</v>
      </c>
      <c r="B4" s="35">
        <v>220</v>
      </c>
      <c r="C4" s="49">
        <f>B4</f>
        <v>220</v>
      </c>
      <c r="F4" s="46" t="s">
        <v>113</v>
      </c>
      <c r="G4" s="47" t="s">
        <v>114</v>
      </c>
      <c r="H4" s="48" t="s">
        <v>115</v>
      </c>
      <c r="K4" s="54" t="s">
        <v>203</v>
      </c>
      <c r="L4" s="54" t="s">
        <v>204</v>
      </c>
      <c r="M4" s="54" t="s">
        <v>205</v>
      </c>
      <c r="N4" s="54" t="s">
        <v>233</v>
      </c>
      <c r="O4" s="54" t="s">
        <v>234</v>
      </c>
      <c r="P4" s="54" t="s">
        <v>235</v>
      </c>
      <c r="Q4" s="54" t="s">
        <v>294</v>
      </c>
      <c r="R4" s="54" t="s">
        <v>206</v>
      </c>
      <c r="S4" s="54" t="s">
        <v>207</v>
      </c>
      <c r="T4" s="54" t="s">
        <v>208</v>
      </c>
      <c r="U4" s="54" t="s">
        <v>243</v>
      </c>
      <c r="V4" s="54" t="s">
        <v>244</v>
      </c>
      <c r="W4" s="54" t="s">
        <v>245</v>
      </c>
      <c r="X4" s="54" t="s">
        <v>295</v>
      </c>
      <c r="Y4" s="54" t="s">
        <v>209</v>
      </c>
      <c r="Z4" s="54" t="s">
        <v>210</v>
      </c>
      <c r="AA4" s="54" t="s">
        <v>211</v>
      </c>
      <c r="AB4" s="54" t="s">
        <v>238</v>
      </c>
      <c r="AC4" s="54" t="s">
        <v>239</v>
      </c>
      <c r="AD4" s="54" t="s">
        <v>240</v>
      </c>
      <c r="AE4" s="54" t="s">
        <v>296</v>
      </c>
      <c r="AF4" s="54" t="s">
        <v>212</v>
      </c>
      <c r="AG4" s="54" t="s">
        <v>213</v>
      </c>
      <c r="AH4" s="54" t="s">
        <v>214</v>
      </c>
      <c r="AI4" s="54" t="s">
        <v>246</v>
      </c>
      <c r="AJ4" s="54" t="s">
        <v>247</v>
      </c>
      <c r="AK4" s="54" t="s">
        <v>248</v>
      </c>
      <c r="AL4" s="54" t="s">
        <v>297</v>
      </c>
      <c r="AM4" s="54" t="s">
        <v>215</v>
      </c>
      <c r="AN4" s="54" t="s">
        <v>216</v>
      </c>
      <c r="AO4" s="54" t="s">
        <v>217</v>
      </c>
      <c r="AP4" s="54" t="s">
        <v>249</v>
      </c>
      <c r="AQ4" s="54" t="s">
        <v>250</v>
      </c>
      <c r="AR4" s="54" t="s">
        <v>251</v>
      </c>
      <c r="AS4" s="54" t="s">
        <v>298</v>
      </c>
      <c r="AT4" s="54" t="s">
        <v>218</v>
      </c>
      <c r="AU4" s="54" t="s">
        <v>219</v>
      </c>
      <c r="AV4" s="54" t="s">
        <v>220</v>
      </c>
      <c r="AW4" s="54" t="s">
        <v>252</v>
      </c>
      <c r="AX4" s="54" t="s">
        <v>253</v>
      </c>
      <c r="AY4" s="54" t="s">
        <v>254</v>
      </c>
      <c r="AZ4" s="54" t="s">
        <v>299</v>
      </c>
      <c r="BA4" s="54" t="s">
        <v>221</v>
      </c>
      <c r="BB4" s="54" t="s">
        <v>222</v>
      </c>
      <c r="BC4" s="54" t="s">
        <v>223</v>
      </c>
      <c r="BD4" s="54" t="s">
        <v>255</v>
      </c>
      <c r="BE4" s="54" t="s">
        <v>256</v>
      </c>
      <c r="BF4" s="54" t="s">
        <v>257</v>
      </c>
      <c r="BG4" s="54" t="s">
        <v>300</v>
      </c>
      <c r="BH4" s="54" t="s">
        <v>224</v>
      </c>
      <c r="BI4" s="54" t="s">
        <v>225</v>
      </c>
      <c r="BJ4" s="54" t="s">
        <v>226</v>
      </c>
      <c r="BK4" s="54" t="s">
        <v>258</v>
      </c>
      <c r="BL4" s="54" t="s">
        <v>259</v>
      </c>
      <c r="BM4" s="54" t="s">
        <v>260</v>
      </c>
      <c r="BN4" s="54" t="s">
        <v>301</v>
      </c>
      <c r="BO4" s="54"/>
    </row>
    <row r="5" spans="1:67" ht="23.25" thickBot="1" x14ac:dyDescent="0.3">
      <c r="A5" s="17" t="s">
        <v>47</v>
      </c>
      <c r="B5" s="36">
        <v>380</v>
      </c>
      <c r="C5" s="50">
        <f>ROUNDUP(SQRT(3)*B5,2)</f>
        <v>658.18</v>
      </c>
      <c r="F5" s="37">
        <v>6300</v>
      </c>
      <c r="G5" s="38">
        <v>2.7E-2</v>
      </c>
      <c r="H5" s="39">
        <v>2E-3</v>
      </c>
      <c r="K5" s="75" t="str">
        <f>ADDRESS(ROW()+1,COLUMN())&amp;":"&amp;ADDRESS(100,COLUMN())</f>
        <v>$K$6:$K$100</v>
      </c>
      <c r="L5" s="75" t="str">
        <f t="shared" ref="L5:BN5" si="0">ADDRESS(ROW()+1,COLUMN())&amp;":"&amp;ADDRESS(100,COLUMN())</f>
        <v>$L$6:$L$100</v>
      </c>
      <c r="M5" s="75" t="str">
        <f t="shared" si="0"/>
        <v>$M$6:$M$100</v>
      </c>
      <c r="N5" s="75" t="str">
        <f t="shared" si="0"/>
        <v>$N$6:$N$100</v>
      </c>
      <c r="O5" s="75" t="str">
        <f t="shared" si="0"/>
        <v>$O$6:$O$100</v>
      </c>
      <c r="P5" s="75" t="str">
        <f t="shared" si="0"/>
        <v>$P$6:$P$100</v>
      </c>
      <c r="Q5" s="75" t="str">
        <f t="shared" si="0"/>
        <v>$Q$6:$Q$100</v>
      </c>
      <c r="R5" s="75" t="str">
        <f t="shared" si="0"/>
        <v>$R$6:$R$100</v>
      </c>
      <c r="S5" s="75" t="str">
        <f t="shared" si="0"/>
        <v>$S$6:$S$100</v>
      </c>
      <c r="T5" s="75" t="str">
        <f t="shared" si="0"/>
        <v>$T$6:$T$100</v>
      </c>
      <c r="U5" s="75" t="str">
        <f t="shared" si="0"/>
        <v>$U$6:$U$100</v>
      </c>
      <c r="V5" s="75" t="str">
        <f t="shared" si="0"/>
        <v>$V$6:$V$100</v>
      </c>
      <c r="W5" s="75" t="str">
        <f t="shared" si="0"/>
        <v>$W$6:$W$100</v>
      </c>
      <c r="X5" s="75" t="str">
        <f t="shared" si="0"/>
        <v>$X$6:$X$100</v>
      </c>
      <c r="Y5" s="75" t="str">
        <f t="shared" si="0"/>
        <v>$Y$6:$Y$100</v>
      </c>
      <c r="Z5" s="75" t="str">
        <f t="shared" si="0"/>
        <v>$Z$6:$Z$100</v>
      </c>
      <c r="AA5" s="75" t="str">
        <f t="shared" si="0"/>
        <v>$AA$6:$AA$100</v>
      </c>
      <c r="AB5" s="75" t="str">
        <f t="shared" si="0"/>
        <v>$AB$6:$AB$100</v>
      </c>
      <c r="AC5" s="75" t="str">
        <f t="shared" si="0"/>
        <v>$AC$6:$AC$100</v>
      </c>
      <c r="AD5" s="75" t="str">
        <f t="shared" si="0"/>
        <v>$AD$6:$AD$100</v>
      </c>
      <c r="AE5" s="75" t="str">
        <f t="shared" si="0"/>
        <v>$AE$6:$AE$100</v>
      </c>
      <c r="AF5" s="75" t="str">
        <f t="shared" si="0"/>
        <v>$AF$6:$AF$100</v>
      </c>
      <c r="AG5" s="75" t="str">
        <f t="shared" si="0"/>
        <v>$AG$6:$AG$100</v>
      </c>
      <c r="AH5" s="75" t="str">
        <f t="shared" si="0"/>
        <v>$AH$6:$AH$100</v>
      </c>
      <c r="AI5" s="75" t="str">
        <f t="shared" si="0"/>
        <v>$AI$6:$AI$100</v>
      </c>
      <c r="AJ5" s="75" t="str">
        <f t="shared" si="0"/>
        <v>$AJ$6:$AJ$100</v>
      </c>
      <c r="AK5" s="75" t="str">
        <f t="shared" si="0"/>
        <v>$AK$6:$AK$100</v>
      </c>
      <c r="AL5" s="75" t="str">
        <f t="shared" si="0"/>
        <v>$AL$6:$AL$100</v>
      </c>
      <c r="AM5" s="75" t="str">
        <f t="shared" si="0"/>
        <v>$AM$6:$AM$100</v>
      </c>
      <c r="AN5" s="75" t="str">
        <f t="shared" si="0"/>
        <v>$AN$6:$AN$100</v>
      </c>
      <c r="AO5" s="75" t="str">
        <f t="shared" si="0"/>
        <v>$AO$6:$AO$100</v>
      </c>
      <c r="AP5" s="75" t="str">
        <f t="shared" si="0"/>
        <v>$AP$6:$AP$100</v>
      </c>
      <c r="AQ5" s="75" t="str">
        <f t="shared" si="0"/>
        <v>$AQ$6:$AQ$100</v>
      </c>
      <c r="AR5" s="75" t="str">
        <f t="shared" si="0"/>
        <v>$AR$6:$AR$100</v>
      </c>
      <c r="AS5" s="75" t="str">
        <f t="shared" si="0"/>
        <v>$AS$6:$AS$100</v>
      </c>
      <c r="AT5" s="75" t="str">
        <f t="shared" si="0"/>
        <v>$AT$6:$AT$100</v>
      </c>
      <c r="AU5" s="75" t="str">
        <f t="shared" si="0"/>
        <v>$AU$6:$AU$100</v>
      </c>
      <c r="AV5" s="75" t="str">
        <f t="shared" si="0"/>
        <v>$AV$6:$AV$100</v>
      </c>
      <c r="AW5" s="75" t="str">
        <f t="shared" si="0"/>
        <v>$AW$6:$AW$100</v>
      </c>
      <c r="AX5" s="75" t="str">
        <f t="shared" si="0"/>
        <v>$AX$6:$AX$100</v>
      </c>
      <c r="AY5" s="75" t="str">
        <f t="shared" si="0"/>
        <v>$AY$6:$AY$100</v>
      </c>
      <c r="AZ5" s="75" t="str">
        <f t="shared" si="0"/>
        <v>$AZ$6:$AZ$100</v>
      </c>
      <c r="BA5" s="75" t="str">
        <f t="shared" si="0"/>
        <v>$BA$6:$BA$100</v>
      </c>
      <c r="BB5" s="75" t="str">
        <f t="shared" si="0"/>
        <v>$BB$6:$BB$100</v>
      </c>
      <c r="BC5" s="75" t="str">
        <f t="shared" si="0"/>
        <v>$BC$6:$BC$100</v>
      </c>
      <c r="BD5" s="75" t="str">
        <f t="shared" si="0"/>
        <v>$BD$6:$BD$100</v>
      </c>
      <c r="BE5" s="75" t="str">
        <f t="shared" si="0"/>
        <v>$BE$6:$BE$100</v>
      </c>
      <c r="BF5" s="75" t="str">
        <f t="shared" si="0"/>
        <v>$BF$6:$BF$100</v>
      </c>
      <c r="BG5" s="75" t="str">
        <f t="shared" si="0"/>
        <v>$BG$6:$BG$100</v>
      </c>
      <c r="BH5" s="75" t="str">
        <f t="shared" si="0"/>
        <v>$BH$6:$BH$100</v>
      </c>
      <c r="BI5" s="75" t="str">
        <f t="shared" si="0"/>
        <v>$BI$6:$BI$100</v>
      </c>
      <c r="BJ5" s="75" t="str">
        <f t="shared" si="0"/>
        <v>$BJ$6:$BJ$100</v>
      </c>
      <c r="BK5" s="75" t="str">
        <f t="shared" si="0"/>
        <v>$BK$6:$BK$100</v>
      </c>
      <c r="BL5" s="75" t="str">
        <f t="shared" si="0"/>
        <v>$BL$6:$BL$100</v>
      </c>
      <c r="BM5" s="75" t="str">
        <f t="shared" si="0"/>
        <v>$BM$6:$BM$100</v>
      </c>
      <c r="BN5" s="75" t="str">
        <f t="shared" si="0"/>
        <v>$BN$6:$BN$100</v>
      </c>
      <c r="BO5" s="75"/>
    </row>
    <row r="6" spans="1:67" x14ac:dyDescent="0.25">
      <c r="F6" s="37">
        <v>5000</v>
      </c>
      <c r="G6" s="38">
        <v>2.8000000000000001E-2</v>
      </c>
      <c r="H6" s="39">
        <v>2E-3</v>
      </c>
      <c r="K6" s="10">
        <v>6300</v>
      </c>
      <c r="L6" s="10">
        <v>2.7E-2</v>
      </c>
      <c r="M6" s="10">
        <v>2E-3</v>
      </c>
      <c r="N6" s="10" t="s">
        <v>236</v>
      </c>
      <c r="O6" s="10"/>
      <c r="P6" s="10"/>
      <c r="Q6" s="10">
        <v>2</v>
      </c>
      <c r="R6" s="10">
        <v>125</v>
      </c>
      <c r="S6" s="10">
        <v>0</v>
      </c>
      <c r="T6" s="10">
        <v>0</v>
      </c>
      <c r="U6" s="10" t="s">
        <v>261</v>
      </c>
      <c r="V6" s="10" t="s">
        <v>196</v>
      </c>
      <c r="W6" s="10"/>
      <c r="X6" s="10">
        <v>1</v>
      </c>
      <c r="Y6" s="10">
        <v>100</v>
      </c>
      <c r="Z6" s="10">
        <v>0</v>
      </c>
      <c r="AA6" s="10">
        <v>0</v>
      </c>
      <c r="AB6" s="10" t="s">
        <v>266</v>
      </c>
      <c r="AC6" s="10" t="s">
        <v>241</v>
      </c>
      <c r="AD6" s="10">
        <v>0</v>
      </c>
      <c r="AE6" s="10">
        <v>3</v>
      </c>
      <c r="AF6" s="10">
        <v>100</v>
      </c>
      <c r="AG6" s="10">
        <v>0</v>
      </c>
      <c r="AH6" s="10">
        <v>0</v>
      </c>
      <c r="AI6" s="10" t="s">
        <v>267</v>
      </c>
      <c r="AJ6" s="10" t="s">
        <v>265</v>
      </c>
      <c r="AK6" s="10">
        <v>4</v>
      </c>
      <c r="AL6" s="10"/>
      <c r="AM6" s="10">
        <v>32</v>
      </c>
      <c r="AN6" s="10">
        <v>0</v>
      </c>
      <c r="AO6" s="10">
        <v>0</v>
      </c>
      <c r="AP6" s="10" t="s">
        <v>268</v>
      </c>
      <c r="AQ6" s="10" t="s">
        <v>262</v>
      </c>
      <c r="AR6" s="10"/>
      <c r="AS6" s="10">
        <v>5</v>
      </c>
      <c r="AT6" s="10">
        <v>5000</v>
      </c>
      <c r="AU6" s="10">
        <v>0</v>
      </c>
      <c r="AV6" s="10">
        <v>0</v>
      </c>
      <c r="AW6" s="10" t="s">
        <v>269</v>
      </c>
      <c r="AX6" s="10" t="str">
        <f t="shared" ref="AX6:AX36" si="1">"ТТИ-А "&amp;AT6&amp;"/5А 5ВА 0,5S"</f>
        <v>ТТИ-А 5000/5А 5ВА 0,5S</v>
      </c>
      <c r="AZ6">
        <v>6</v>
      </c>
      <c r="BA6" s="10">
        <v>100</v>
      </c>
      <c r="BB6" s="10">
        <v>0</v>
      </c>
      <c r="BC6" s="10">
        <v>0</v>
      </c>
      <c r="BD6" s="10" t="s">
        <v>270</v>
      </c>
      <c r="BE6" s="10" t="s">
        <v>264</v>
      </c>
      <c r="BF6" s="10"/>
      <c r="BG6" s="10">
        <v>7</v>
      </c>
      <c r="BH6" s="10">
        <v>80</v>
      </c>
      <c r="BI6" s="10">
        <v>0</v>
      </c>
      <c r="BJ6" s="10">
        <v>0</v>
      </c>
      <c r="BK6" s="10" t="s">
        <v>271</v>
      </c>
      <c r="BL6" s="10" t="s">
        <v>272</v>
      </c>
      <c r="BM6" s="10"/>
      <c r="BN6" s="10">
        <v>8</v>
      </c>
      <c r="BO6" s="10"/>
    </row>
    <row r="7" spans="1:67" x14ac:dyDescent="0.25">
      <c r="F7" s="37">
        <v>4000</v>
      </c>
      <c r="G7" s="38">
        <v>0.1</v>
      </c>
      <c r="H7" s="39">
        <v>0.05</v>
      </c>
      <c r="K7" s="10">
        <v>5000</v>
      </c>
      <c r="L7" s="10">
        <v>2.8000000000000001E-2</v>
      </c>
      <c r="M7" s="10">
        <v>2E-3</v>
      </c>
      <c r="N7" s="10" t="s">
        <v>236</v>
      </c>
      <c r="O7" s="10"/>
      <c r="P7" s="10"/>
      <c r="Q7" s="10">
        <v>2</v>
      </c>
      <c r="R7" s="10">
        <v>100</v>
      </c>
      <c r="S7" s="10">
        <v>0</v>
      </c>
      <c r="T7" s="10">
        <v>0</v>
      </c>
      <c r="U7" s="10" t="s">
        <v>261</v>
      </c>
      <c r="V7" s="10" t="s">
        <v>196</v>
      </c>
      <c r="W7" s="10"/>
      <c r="X7" s="10">
        <v>1</v>
      </c>
      <c r="Y7" s="10">
        <v>63</v>
      </c>
      <c r="Z7" s="10">
        <v>0</v>
      </c>
      <c r="AA7" s="10">
        <v>0</v>
      </c>
      <c r="AB7" s="10" t="s">
        <v>266</v>
      </c>
      <c r="AC7" s="10" t="s">
        <v>241</v>
      </c>
      <c r="AD7" s="10">
        <v>0</v>
      </c>
      <c r="AE7" s="10">
        <v>3</v>
      </c>
      <c r="AF7" s="10">
        <v>80</v>
      </c>
      <c r="AG7" s="10">
        <v>0</v>
      </c>
      <c r="AH7" s="10">
        <v>0</v>
      </c>
      <c r="AI7" s="10" t="s">
        <v>267</v>
      </c>
      <c r="AJ7" s="10" t="s">
        <v>265</v>
      </c>
      <c r="AK7" s="10">
        <v>4</v>
      </c>
      <c r="AL7" s="10"/>
      <c r="AM7" s="10">
        <v>25</v>
      </c>
      <c r="AN7" s="10">
        <v>0</v>
      </c>
      <c r="AO7" s="10">
        <v>0</v>
      </c>
      <c r="AP7" s="10" t="s">
        <v>268</v>
      </c>
      <c r="AQ7" s="10" t="s">
        <v>262</v>
      </c>
      <c r="AR7" s="10"/>
      <c r="AS7" s="10">
        <v>5</v>
      </c>
      <c r="AT7" s="10">
        <v>4000</v>
      </c>
      <c r="AU7" s="10">
        <v>0</v>
      </c>
      <c r="AV7" s="10">
        <v>0</v>
      </c>
      <c r="AW7" s="10" t="s">
        <v>269</v>
      </c>
      <c r="AX7" s="10" t="str">
        <f t="shared" si="1"/>
        <v>ТТИ-А 4000/5А 5ВА 0,5S</v>
      </c>
      <c r="AY7" s="10"/>
      <c r="AZ7">
        <v>6</v>
      </c>
      <c r="BA7" s="10">
        <v>60</v>
      </c>
      <c r="BB7" s="10">
        <v>0</v>
      </c>
      <c r="BC7" s="10">
        <v>0</v>
      </c>
      <c r="BD7" s="10" t="s">
        <v>270</v>
      </c>
      <c r="BE7" s="10" t="s">
        <v>263</v>
      </c>
      <c r="BF7" s="10"/>
      <c r="BG7" s="10">
        <v>7</v>
      </c>
      <c r="BH7" s="10">
        <v>63</v>
      </c>
      <c r="BI7" s="10">
        <v>0</v>
      </c>
      <c r="BJ7" s="10">
        <v>0</v>
      </c>
      <c r="BK7" s="10" t="s">
        <v>271</v>
      </c>
      <c r="BL7" s="10" t="s">
        <v>272</v>
      </c>
      <c r="BM7" s="10"/>
      <c r="BN7" s="10">
        <v>8</v>
      </c>
      <c r="BO7" s="10"/>
    </row>
    <row r="8" spans="1:67" ht="15.75" thickBot="1" x14ac:dyDescent="0.3">
      <c r="F8" s="37">
        <v>3200</v>
      </c>
      <c r="G8" s="38">
        <v>0.12</v>
      </c>
      <c r="H8" s="39">
        <v>0.06</v>
      </c>
      <c r="K8" s="10">
        <v>4000</v>
      </c>
      <c r="L8" s="10">
        <v>0.1</v>
      </c>
      <c r="M8" s="10">
        <v>0.05</v>
      </c>
      <c r="N8" s="10" t="s">
        <v>236</v>
      </c>
      <c r="O8" s="10"/>
      <c r="P8" s="10"/>
      <c r="Q8" s="10">
        <v>2</v>
      </c>
      <c r="R8" s="10">
        <v>63</v>
      </c>
      <c r="S8" s="10">
        <v>0</v>
      </c>
      <c r="T8" s="10">
        <v>0</v>
      </c>
      <c r="U8" s="10" t="s">
        <v>261</v>
      </c>
      <c r="V8" s="10" t="s">
        <v>196</v>
      </c>
      <c r="W8" s="10"/>
      <c r="X8" s="10">
        <v>1</v>
      </c>
      <c r="Y8" s="10">
        <v>50</v>
      </c>
      <c r="Z8" s="10">
        <v>0</v>
      </c>
      <c r="AA8" s="10">
        <v>0</v>
      </c>
      <c r="AB8" s="10" t="s">
        <v>266</v>
      </c>
      <c r="AC8" s="10" t="s">
        <v>241</v>
      </c>
      <c r="AD8" s="10">
        <v>0</v>
      </c>
      <c r="AE8" s="10">
        <v>3</v>
      </c>
      <c r="AF8" s="10">
        <v>63</v>
      </c>
      <c r="AG8" s="10">
        <v>0</v>
      </c>
      <c r="AH8" s="10">
        <v>0</v>
      </c>
      <c r="AI8" s="10" t="s">
        <v>267</v>
      </c>
      <c r="AJ8" s="10" t="s">
        <v>265</v>
      </c>
      <c r="AK8" s="10">
        <v>4</v>
      </c>
      <c r="AL8" s="10"/>
      <c r="AM8" s="10">
        <v>20</v>
      </c>
      <c r="AN8" s="10">
        <v>0</v>
      </c>
      <c r="AO8" s="10">
        <v>0</v>
      </c>
      <c r="AP8" s="10" t="s">
        <v>268</v>
      </c>
      <c r="AQ8" s="10" t="s">
        <v>262</v>
      </c>
      <c r="AR8" s="10"/>
      <c r="AS8" s="10">
        <v>5</v>
      </c>
      <c r="AT8" s="10">
        <v>3000</v>
      </c>
      <c r="AU8" s="10">
        <v>0</v>
      </c>
      <c r="AV8" s="10">
        <v>0</v>
      </c>
      <c r="AW8" s="10" t="s">
        <v>269</v>
      </c>
      <c r="AX8" s="10" t="str">
        <f t="shared" si="1"/>
        <v>ТТИ-А 3000/5А 5ВА 0,5S</v>
      </c>
      <c r="AY8" s="10"/>
      <c r="AZ8">
        <v>6</v>
      </c>
      <c r="BA8" s="10">
        <v>0</v>
      </c>
      <c r="BB8" s="10">
        <v>0</v>
      </c>
      <c r="BC8" s="10">
        <v>0</v>
      </c>
      <c r="BD8" s="10"/>
      <c r="BE8" s="10"/>
      <c r="BF8" s="10"/>
      <c r="BG8" s="10"/>
      <c r="BH8" s="10">
        <v>50</v>
      </c>
      <c r="BI8" s="10">
        <v>0</v>
      </c>
      <c r="BJ8" s="10">
        <v>0</v>
      </c>
      <c r="BK8" s="10" t="s">
        <v>271</v>
      </c>
      <c r="BL8" s="10" t="s">
        <v>272</v>
      </c>
      <c r="BM8" s="10"/>
      <c r="BN8" s="10">
        <v>8</v>
      </c>
      <c r="BO8" s="10"/>
    </row>
    <row r="9" spans="1:67" ht="15.75" thickBot="1" x14ac:dyDescent="0.3">
      <c r="A9" s="85" t="s">
        <v>23</v>
      </c>
      <c r="B9" s="86"/>
      <c r="F9" s="37">
        <v>2500</v>
      </c>
      <c r="G9" s="38">
        <v>0.13</v>
      </c>
      <c r="H9" s="39">
        <v>7.0000000000000007E-2</v>
      </c>
      <c r="K9" s="10">
        <v>3200</v>
      </c>
      <c r="L9" s="10">
        <v>0.12</v>
      </c>
      <c r="M9" s="10">
        <v>0.06</v>
      </c>
      <c r="N9" s="10" t="s">
        <v>236</v>
      </c>
      <c r="O9" s="10"/>
      <c r="P9" s="10"/>
      <c r="Q9" s="10">
        <v>2</v>
      </c>
      <c r="R9" s="10">
        <v>40</v>
      </c>
      <c r="S9" s="10">
        <v>0</v>
      </c>
      <c r="T9" s="10">
        <v>0</v>
      </c>
      <c r="U9" s="10" t="s">
        <v>261</v>
      </c>
      <c r="V9" s="10" t="s">
        <v>196</v>
      </c>
      <c r="W9" s="10"/>
      <c r="X9" s="10">
        <v>1</v>
      </c>
      <c r="Y9" s="10">
        <v>40</v>
      </c>
      <c r="Z9" s="10">
        <v>0</v>
      </c>
      <c r="AA9" s="10">
        <v>0</v>
      </c>
      <c r="AB9" s="10" t="s">
        <v>266</v>
      </c>
      <c r="AC9" s="10" t="s">
        <v>241</v>
      </c>
      <c r="AD9" s="10">
        <v>0</v>
      </c>
      <c r="AE9" s="10">
        <v>3</v>
      </c>
      <c r="AF9" s="10">
        <v>50</v>
      </c>
      <c r="AG9" s="10">
        <v>0</v>
      </c>
      <c r="AH9" s="10">
        <v>0</v>
      </c>
      <c r="AI9" s="10" t="s">
        <v>267</v>
      </c>
      <c r="AJ9" s="10" t="s">
        <v>265</v>
      </c>
      <c r="AK9" s="10">
        <v>4</v>
      </c>
      <c r="AL9" s="10"/>
      <c r="AM9" s="10">
        <v>16</v>
      </c>
      <c r="AN9" s="10">
        <v>0</v>
      </c>
      <c r="AO9" s="10">
        <v>0</v>
      </c>
      <c r="AP9" s="10" t="s">
        <v>268</v>
      </c>
      <c r="AQ9" s="10" t="s">
        <v>262</v>
      </c>
      <c r="AR9" s="10"/>
      <c r="AS9" s="10">
        <v>5</v>
      </c>
      <c r="AT9" s="10">
        <v>2000</v>
      </c>
      <c r="AU9" s="10">
        <v>0</v>
      </c>
      <c r="AV9" s="10">
        <v>0</v>
      </c>
      <c r="AW9" s="10" t="s">
        <v>269</v>
      </c>
      <c r="AX9" s="10" t="str">
        <f t="shared" si="1"/>
        <v>ТТИ-А 2000/5А 5ВА 0,5S</v>
      </c>
      <c r="AY9" s="10"/>
      <c r="AZ9">
        <v>6</v>
      </c>
      <c r="BA9" s="10">
        <v>0</v>
      </c>
      <c r="BB9" s="10">
        <v>0</v>
      </c>
      <c r="BC9" s="10">
        <v>0</v>
      </c>
      <c r="BD9" s="10"/>
      <c r="BE9" s="10"/>
      <c r="BF9" s="10"/>
      <c r="BG9" s="10"/>
      <c r="BH9" s="10">
        <v>40</v>
      </c>
      <c r="BI9" s="10">
        <v>0</v>
      </c>
      <c r="BJ9" s="10">
        <v>0</v>
      </c>
      <c r="BK9" s="10" t="s">
        <v>271</v>
      </c>
      <c r="BL9" s="10" t="s">
        <v>272</v>
      </c>
      <c r="BM9" s="10"/>
      <c r="BN9" s="10">
        <v>8</v>
      </c>
      <c r="BO9" s="10"/>
    </row>
    <row r="10" spans="1:67" x14ac:dyDescent="0.25">
      <c r="A10" s="14" t="s">
        <v>118</v>
      </c>
      <c r="B10" s="49" t="s">
        <v>122</v>
      </c>
      <c r="F10" s="37">
        <v>2000</v>
      </c>
      <c r="G10" s="38">
        <v>0.13500000000000001</v>
      </c>
      <c r="H10" s="39">
        <v>7.4999999999999997E-2</v>
      </c>
      <c r="K10" s="10">
        <v>2500</v>
      </c>
      <c r="L10" s="10">
        <v>0.13</v>
      </c>
      <c r="M10" s="10">
        <v>7.0000000000000007E-2</v>
      </c>
      <c r="N10" s="10" t="s">
        <v>236</v>
      </c>
      <c r="O10" s="10"/>
      <c r="P10" s="10"/>
      <c r="Q10" s="10">
        <v>2</v>
      </c>
      <c r="R10" s="10">
        <v>32</v>
      </c>
      <c r="S10" s="10">
        <v>0</v>
      </c>
      <c r="T10" s="10">
        <v>0</v>
      </c>
      <c r="U10" s="10" t="s">
        <v>261</v>
      </c>
      <c r="V10" s="10" t="s">
        <v>196</v>
      </c>
      <c r="W10" s="10"/>
      <c r="X10" s="10">
        <v>1</v>
      </c>
      <c r="Y10" s="10">
        <v>32</v>
      </c>
      <c r="Z10" s="10">
        <v>0</v>
      </c>
      <c r="AA10" s="10">
        <v>0</v>
      </c>
      <c r="AB10" s="10" t="s">
        <v>266</v>
      </c>
      <c r="AC10" s="10" t="s">
        <v>241</v>
      </c>
      <c r="AD10" s="10">
        <v>0</v>
      </c>
      <c r="AE10" s="10">
        <v>3</v>
      </c>
      <c r="AF10" s="10">
        <v>40</v>
      </c>
      <c r="AG10" s="10">
        <v>0</v>
      </c>
      <c r="AH10" s="10">
        <v>0</v>
      </c>
      <c r="AI10" s="10" t="s">
        <v>267</v>
      </c>
      <c r="AJ10" s="10" t="s">
        <v>265</v>
      </c>
      <c r="AK10" s="10">
        <v>4</v>
      </c>
      <c r="AL10" s="10"/>
      <c r="AM10" s="10">
        <v>10</v>
      </c>
      <c r="AN10" s="10">
        <v>0</v>
      </c>
      <c r="AO10" s="10">
        <v>0</v>
      </c>
      <c r="AP10" s="10" t="s">
        <v>268</v>
      </c>
      <c r="AQ10" s="10" t="s">
        <v>262</v>
      </c>
      <c r="AR10" s="10"/>
      <c r="AS10" s="10">
        <v>5</v>
      </c>
      <c r="AT10" s="10">
        <v>1600</v>
      </c>
      <c r="AU10" s="10">
        <v>0</v>
      </c>
      <c r="AV10" s="10">
        <v>0</v>
      </c>
      <c r="AW10" s="10" t="s">
        <v>269</v>
      </c>
      <c r="AX10" s="10" t="str">
        <f t="shared" si="1"/>
        <v>ТТИ-А 1600/5А 5ВА 0,5S</v>
      </c>
      <c r="AY10" s="10"/>
      <c r="AZ10">
        <v>6</v>
      </c>
      <c r="BA10" s="10">
        <v>0</v>
      </c>
      <c r="BB10" s="10">
        <v>0</v>
      </c>
      <c r="BC10" s="10">
        <v>0</v>
      </c>
      <c r="BD10" s="10"/>
      <c r="BE10" s="10"/>
      <c r="BF10" s="10"/>
      <c r="BG10" s="10"/>
      <c r="BH10" s="10">
        <v>32</v>
      </c>
      <c r="BI10" s="10">
        <v>0</v>
      </c>
      <c r="BJ10" s="10">
        <v>0</v>
      </c>
      <c r="BK10" s="10" t="s">
        <v>271</v>
      </c>
      <c r="BL10" s="10" t="s">
        <v>272</v>
      </c>
      <c r="BM10" s="10"/>
      <c r="BN10" s="10">
        <v>8</v>
      </c>
      <c r="BO10" s="10"/>
    </row>
    <row r="11" spans="1:67" x14ac:dyDescent="0.25">
      <c r="A11" s="51" t="s">
        <v>119</v>
      </c>
      <c r="B11" s="52" t="s">
        <v>123</v>
      </c>
      <c r="F11" s="37">
        <v>1600</v>
      </c>
      <c r="G11" s="38">
        <v>0.14000000000000001</v>
      </c>
      <c r="H11" s="39">
        <v>0.08</v>
      </c>
      <c r="K11" s="10">
        <v>2000</v>
      </c>
      <c r="L11" s="10">
        <v>0.13500000000000001</v>
      </c>
      <c r="M11" s="10">
        <v>7.4999999999999997E-2</v>
      </c>
      <c r="N11" s="10" t="s">
        <v>236</v>
      </c>
      <c r="O11" s="10"/>
      <c r="P11" s="10"/>
      <c r="Q11" s="10">
        <v>2</v>
      </c>
      <c r="R11" s="10">
        <v>25</v>
      </c>
      <c r="S11" s="10">
        <v>0</v>
      </c>
      <c r="T11" s="10">
        <v>0</v>
      </c>
      <c r="U11" s="10" t="s">
        <v>261</v>
      </c>
      <c r="V11" s="10" t="s">
        <v>196</v>
      </c>
      <c r="W11" s="10"/>
      <c r="X11" s="10">
        <v>1</v>
      </c>
      <c r="Y11" s="10">
        <v>25</v>
      </c>
      <c r="Z11" s="10">
        <v>0</v>
      </c>
      <c r="AA11" s="10">
        <v>0</v>
      </c>
      <c r="AB11" s="10" t="s">
        <v>266</v>
      </c>
      <c r="AC11" s="10" t="s">
        <v>241</v>
      </c>
      <c r="AD11" s="10">
        <v>0</v>
      </c>
      <c r="AE11" s="10">
        <v>3</v>
      </c>
      <c r="AF11" s="10">
        <v>32</v>
      </c>
      <c r="AG11" s="10">
        <v>0</v>
      </c>
      <c r="AH11" s="10">
        <v>0</v>
      </c>
      <c r="AI11" s="10" t="s">
        <v>267</v>
      </c>
      <c r="AJ11" s="10" t="s">
        <v>265</v>
      </c>
      <c r="AK11" s="10">
        <v>4</v>
      </c>
      <c r="AL11" s="10"/>
      <c r="AM11" s="10">
        <v>0</v>
      </c>
      <c r="AN11" s="10">
        <v>0</v>
      </c>
      <c r="AO11" s="10">
        <v>0</v>
      </c>
      <c r="AP11" s="10"/>
      <c r="AQ11" s="10"/>
      <c r="AR11" s="10"/>
      <c r="AS11" s="10"/>
      <c r="AT11" s="10">
        <v>1500</v>
      </c>
      <c r="AU11" s="10">
        <v>0</v>
      </c>
      <c r="AV11" s="10">
        <v>0</v>
      </c>
      <c r="AW11" s="10" t="s">
        <v>269</v>
      </c>
      <c r="AX11" s="10" t="str">
        <f t="shared" si="1"/>
        <v>ТТИ-А 1500/5А 5ВА 0,5S</v>
      </c>
      <c r="AY11" s="10"/>
      <c r="AZ11">
        <v>6</v>
      </c>
      <c r="BA11" s="10">
        <v>0</v>
      </c>
      <c r="BB11" s="10">
        <v>0</v>
      </c>
      <c r="BC11" s="10">
        <v>0</v>
      </c>
      <c r="BD11" s="10"/>
      <c r="BE11" s="10"/>
      <c r="BF11" s="10"/>
      <c r="BG11" s="10"/>
      <c r="BH11" s="10">
        <v>25</v>
      </c>
      <c r="BI11" s="10">
        <v>0</v>
      </c>
      <c r="BJ11" s="10">
        <v>0</v>
      </c>
      <c r="BK11" s="10" t="s">
        <v>271</v>
      </c>
      <c r="BL11" s="10" t="s">
        <v>272</v>
      </c>
      <c r="BM11" s="10"/>
      <c r="BN11" s="10">
        <v>8</v>
      </c>
      <c r="BO11" s="10"/>
    </row>
    <row r="12" spans="1:67" x14ac:dyDescent="0.25">
      <c r="A12" s="51" t="s">
        <v>120</v>
      </c>
      <c r="B12" s="52" t="s">
        <v>124</v>
      </c>
      <c r="F12" s="37">
        <v>1250</v>
      </c>
      <c r="G12" s="38">
        <v>0.2</v>
      </c>
      <c r="H12" s="39">
        <v>0.09</v>
      </c>
      <c r="K12" s="10">
        <v>1600</v>
      </c>
      <c r="L12" s="10">
        <v>0.14000000000000001</v>
      </c>
      <c r="M12" s="10">
        <v>0.08</v>
      </c>
      <c r="N12" s="10" t="s">
        <v>236</v>
      </c>
      <c r="O12" s="10"/>
      <c r="P12" s="10"/>
      <c r="Q12" s="10">
        <v>2</v>
      </c>
      <c r="R12" s="10">
        <v>20</v>
      </c>
      <c r="S12" s="10">
        <v>0</v>
      </c>
      <c r="T12" s="10">
        <v>0</v>
      </c>
      <c r="U12" s="10" t="s">
        <v>261</v>
      </c>
      <c r="V12" s="10" t="s">
        <v>196</v>
      </c>
      <c r="W12" s="10"/>
      <c r="X12" s="10">
        <v>1</v>
      </c>
      <c r="Y12" s="10">
        <v>20</v>
      </c>
      <c r="Z12" s="10">
        <v>0</v>
      </c>
      <c r="AA12" s="10">
        <v>0</v>
      </c>
      <c r="AB12" s="10" t="s">
        <v>266</v>
      </c>
      <c r="AC12" s="10" t="s">
        <v>241</v>
      </c>
      <c r="AD12" s="10">
        <v>0</v>
      </c>
      <c r="AE12" s="10">
        <v>3</v>
      </c>
      <c r="AF12" s="10">
        <v>25</v>
      </c>
      <c r="AG12" s="10">
        <v>0</v>
      </c>
      <c r="AH12" s="10">
        <v>0</v>
      </c>
      <c r="AI12" s="10" t="s">
        <v>267</v>
      </c>
      <c r="AJ12" s="10" t="s">
        <v>265</v>
      </c>
      <c r="AK12" s="10">
        <v>4</v>
      </c>
      <c r="AL12" s="10"/>
      <c r="AM12" s="10">
        <v>0</v>
      </c>
      <c r="AN12" s="10">
        <v>0</v>
      </c>
      <c r="AO12" s="10">
        <v>0</v>
      </c>
      <c r="AP12" s="10"/>
      <c r="AQ12" s="10"/>
      <c r="AR12" s="10"/>
      <c r="AS12" s="10"/>
      <c r="AT12" s="10">
        <v>1250</v>
      </c>
      <c r="AU12" s="10">
        <v>0</v>
      </c>
      <c r="AV12" s="10">
        <v>0</v>
      </c>
      <c r="AW12" s="10" t="s">
        <v>269</v>
      </c>
      <c r="AX12" s="10" t="str">
        <f t="shared" si="1"/>
        <v>ТТИ-А 1250/5А 5ВА 0,5S</v>
      </c>
      <c r="AY12" s="10"/>
      <c r="AZ12">
        <v>6</v>
      </c>
      <c r="BA12" s="10">
        <v>0</v>
      </c>
      <c r="BB12" s="10">
        <v>0</v>
      </c>
      <c r="BC12" s="10">
        <v>0</v>
      </c>
      <c r="BD12" s="10"/>
      <c r="BE12" s="10"/>
      <c r="BF12" s="10"/>
      <c r="BG12" s="10"/>
      <c r="BH12" s="10">
        <v>16</v>
      </c>
      <c r="BI12" s="10">
        <v>0</v>
      </c>
      <c r="BJ12" s="10">
        <v>0</v>
      </c>
      <c r="BK12" s="10" t="s">
        <v>271</v>
      </c>
      <c r="BL12" s="10" t="s">
        <v>272</v>
      </c>
      <c r="BM12" s="10"/>
      <c r="BN12" s="10">
        <v>8</v>
      </c>
      <c r="BO12" s="10"/>
    </row>
    <row r="13" spans="1:67" ht="15.75" thickBot="1" x14ac:dyDescent="0.3">
      <c r="A13" s="17" t="s">
        <v>121</v>
      </c>
      <c r="B13" s="50" t="s">
        <v>125</v>
      </c>
      <c r="F13" s="37">
        <v>1000</v>
      </c>
      <c r="G13" s="38">
        <v>0.25</v>
      </c>
      <c r="H13" s="39">
        <v>0.1</v>
      </c>
      <c r="K13" s="10">
        <v>1250</v>
      </c>
      <c r="L13" s="10">
        <v>0.2</v>
      </c>
      <c r="M13" s="10">
        <v>0.09</v>
      </c>
      <c r="N13" s="10" t="s">
        <v>236</v>
      </c>
      <c r="O13" s="10"/>
      <c r="P13" s="10"/>
      <c r="Q13" s="10">
        <v>2</v>
      </c>
      <c r="R13" s="10">
        <v>0</v>
      </c>
      <c r="S13" s="10">
        <v>0</v>
      </c>
      <c r="T13" s="10">
        <v>0</v>
      </c>
      <c r="U13" s="10"/>
      <c r="V13" s="10"/>
      <c r="W13" s="10"/>
      <c r="X13" s="10"/>
      <c r="Y13" s="10">
        <v>16</v>
      </c>
      <c r="Z13" s="10">
        <v>0</v>
      </c>
      <c r="AA13" s="10">
        <v>0</v>
      </c>
      <c r="AB13" s="10" t="s">
        <v>266</v>
      </c>
      <c r="AC13" s="10" t="s">
        <v>241</v>
      </c>
      <c r="AD13" s="10">
        <v>0</v>
      </c>
      <c r="AE13" s="10">
        <v>3</v>
      </c>
      <c r="AF13" s="10">
        <v>16</v>
      </c>
      <c r="AG13" s="10">
        <v>0</v>
      </c>
      <c r="AH13" s="10">
        <v>0</v>
      </c>
      <c r="AI13" s="10" t="s">
        <v>267</v>
      </c>
      <c r="AJ13" s="10" t="s">
        <v>265</v>
      </c>
      <c r="AK13" s="10">
        <v>4</v>
      </c>
      <c r="AL13" s="10"/>
      <c r="AM13" s="10">
        <v>0</v>
      </c>
      <c r="AN13" s="10">
        <v>0</v>
      </c>
      <c r="AO13" s="10">
        <v>0</v>
      </c>
      <c r="AP13" s="10"/>
      <c r="AQ13" s="10"/>
      <c r="AR13" s="10"/>
      <c r="AS13" s="10"/>
      <c r="AT13" s="10">
        <v>1200</v>
      </c>
      <c r="AU13" s="10">
        <v>0</v>
      </c>
      <c r="AV13" s="10">
        <v>0</v>
      </c>
      <c r="AW13" s="10" t="s">
        <v>269</v>
      </c>
      <c r="AX13" s="10" t="str">
        <f t="shared" si="1"/>
        <v>ТТИ-А 1200/5А 5ВА 0,5S</v>
      </c>
      <c r="AY13" s="10"/>
      <c r="AZ13">
        <v>6</v>
      </c>
      <c r="BA13" s="10">
        <v>0</v>
      </c>
      <c r="BB13" s="10">
        <v>0</v>
      </c>
      <c r="BC13" s="10">
        <v>0</v>
      </c>
      <c r="BD13" s="10"/>
      <c r="BE13" s="10"/>
      <c r="BF13" s="10"/>
      <c r="BG13" s="10"/>
      <c r="BH13" s="10">
        <v>12</v>
      </c>
      <c r="BI13" s="10">
        <v>0</v>
      </c>
      <c r="BJ13" s="10">
        <v>0</v>
      </c>
      <c r="BK13" s="10" t="s">
        <v>271</v>
      </c>
      <c r="BL13" s="10" t="s">
        <v>272</v>
      </c>
      <c r="BM13" s="10"/>
      <c r="BN13" s="10">
        <v>8</v>
      </c>
      <c r="BO13" s="10"/>
    </row>
    <row r="14" spans="1:67" x14ac:dyDescent="0.25">
      <c r="F14" s="37">
        <v>800</v>
      </c>
      <c r="G14" s="38">
        <v>0.33</v>
      </c>
      <c r="H14" s="39">
        <v>0.115</v>
      </c>
      <c r="K14" s="10">
        <v>1000</v>
      </c>
      <c r="L14" s="10">
        <v>0.25</v>
      </c>
      <c r="M14" s="10">
        <v>0.1</v>
      </c>
      <c r="N14" s="10" t="s">
        <v>236</v>
      </c>
      <c r="O14" s="10"/>
      <c r="P14" s="10"/>
      <c r="Q14" s="10">
        <v>2</v>
      </c>
      <c r="R14" s="10">
        <v>0</v>
      </c>
      <c r="S14" s="10">
        <v>0</v>
      </c>
      <c r="T14" s="10">
        <v>0</v>
      </c>
      <c r="U14" s="10"/>
      <c r="V14" s="10"/>
      <c r="W14" s="10"/>
      <c r="X14" s="10"/>
      <c r="Y14" s="76">
        <v>10</v>
      </c>
      <c r="Z14" s="10">
        <v>0</v>
      </c>
      <c r="AA14" s="10">
        <v>0</v>
      </c>
      <c r="AB14" s="10" t="s">
        <v>266</v>
      </c>
      <c r="AC14" s="10" t="s">
        <v>241</v>
      </c>
      <c r="AD14" s="10">
        <v>0</v>
      </c>
      <c r="AE14" s="10">
        <v>3</v>
      </c>
      <c r="AF14" s="76">
        <v>0</v>
      </c>
      <c r="AG14" s="10">
        <v>0</v>
      </c>
      <c r="AH14" s="10">
        <v>0</v>
      </c>
      <c r="AI14" s="10"/>
      <c r="AJ14" s="10"/>
      <c r="AK14" s="10"/>
      <c r="AL14" s="10"/>
      <c r="AM14" s="10">
        <v>0</v>
      </c>
      <c r="AN14" s="10">
        <v>0</v>
      </c>
      <c r="AO14" s="10">
        <v>0</v>
      </c>
      <c r="AP14" s="10"/>
      <c r="AQ14" s="10"/>
      <c r="AR14" s="10"/>
      <c r="AS14" s="10"/>
      <c r="AT14" s="76">
        <v>1000</v>
      </c>
      <c r="AU14" s="10">
        <v>0</v>
      </c>
      <c r="AV14" s="10">
        <v>0</v>
      </c>
      <c r="AW14" s="10" t="s">
        <v>269</v>
      </c>
      <c r="AX14" s="10" t="str">
        <f t="shared" si="1"/>
        <v>ТТИ-А 1000/5А 5ВА 0,5S</v>
      </c>
      <c r="AY14" s="10"/>
      <c r="AZ14">
        <v>6</v>
      </c>
      <c r="BA14" s="10">
        <v>0</v>
      </c>
      <c r="BB14" s="10">
        <v>0</v>
      </c>
      <c r="BC14" s="10">
        <v>0</v>
      </c>
      <c r="BD14" s="10"/>
      <c r="BE14" s="10"/>
      <c r="BF14" s="10"/>
      <c r="BG14" s="10"/>
      <c r="BH14" s="76">
        <v>10</v>
      </c>
      <c r="BI14" s="10">
        <v>0</v>
      </c>
      <c r="BJ14" s="10">
        <v>0</v>
      </c>
      <c r="BK14" s="10" t="s">
        <v>271</v>
      </c>
      <c r="BL14" s="10" t="s">
        <v>272</v>
      </c>
      <c r="BM14" s="10"/>
      <c r="BN14" s="10">
        <v>8</v>
      </c>
      <c r="BO14" s="10"/>
    </row>
    <row r="15" spans="1:67" x14ac:dyDescent="0.25">
      <c r="F15" s="37">
        <v>630</v>
      </c>
      <c r="G15" s="38">
        <v>0.41</v>
      </c>
      <c r="H15" s="39">
        <v>0.13</v>
      </c>
      <c r="K15" s="10">
        <v>800</v>
      </c>
      <c r="L15" s="10">
        <v>0.33</v>
      </c>
      <c r="M15" s="10">
        <v>0.115</v>
      </c>
      <c r="N15" s="10" t="s">
        <v>236</v>
      </c>
      <c r="O15" s="10"/>
      <c r="P15" s="10"/>
      <c r="Q15" s="10">
        <v>2</v>
      </c>
      <c r="R15" s="10">
        <v>0</v>
      </c>
      <c r="S15" s="10">
        <v>0</v>
      </c>
      <c r="T15" s="10">
        <v>0</v>
      </c>
      <c r="U15" s="10"/>
      <c r="V15" s="10"/>
      <c r="W15" s="10"/>
      <c r="X15" s="10"/>
      <c r="Y15" s="76">
        <v>6</v>
      </c>
      <c r="Z15" s="10">
        <v>0</v>
      </c>
      <c r="AA15" s="10">
        <v>0</v>
      </c>
      <c r="AB15" s="10" t="s">
        <v>266</v>
      </c>
      <c r="AC15" s="10" t="s">
        <v>241</v>
      </c>
      <c r="AD15" s="10">
        <v>0</v>
      </c>
      <c r="AE15" s="10">
        <v>3</v>
      </c>
      <c r="AF15" s="76">
        <v>0</v>
      </c>
      <c r="AG15" s="10">
        <v>0</v>
      </c>
      <c r="AH15" s="10">
        <v>0</v>
      </c>
      <c r="AI15" s="10"/>
      <c r="AJ15" s="10"/>
      <c r="AK15" s="10"/>
      <c r="AL15" s="10"/>
      <c r="AM15" s="10">
        <v>0</v>
      </c>
      <c r="AN15" s="10">
        <v>0</v>
      </c>
      <c r="AO15" s="10">
        <v>0</v>
      </c>
      <c r="AP15" s="10"/>
      <c r="AQ15" s="10"/>
      <c r="AR15" s="10"/>
      <c r="AS15" s="10"/>
      <c r="AT15" s="76">
        <v>800</v>
      </c>
      <c r="AU15" s="10">
        <v>0</v>
      </c>
      <c r="AV15" s="10">
        <v>0</v>
      </c>
      <c r="AW15" s="10" t="s">
        <v>269</v>
      </c>
      <c r="AX15" s="10" t="str">
        <f t="shared" si="1"/>
        <v>ТТИ-А 800/5А 5ВА 0,5S</v>
      </c>
      <c r="AY15" s="10"/>
      <c r="AZ15">
        <v>6</v>
      </c>
      <c r="BA15" s="10">
        <v>0</v>
      </c>
      <c r="BB15" s="10">
        <v>0</v>
      </c>
      <c r="BC15" s="10">
        <v>0</v>
      </c>
      <c r="BD15" s="10"/>
      <c r="BE15" s="10"/>
      <c r="BF15" s="10"/>
      <c r="BG15" s="10"/>
      <c r="BH15" s="76">
        <v>8</v>
      </c>
      <c r="BI15" s="10">
        <v>0</v>
      </c>
      <c r="BJ15" s="10">
        <v>0</v>
      </c>
      <c r="BK15" s="10" t="s">
        <v>271</v>
      </c>
      <c r="BL15" s="10" t="s">
        <v>272</v>
      </c>
      <c r="BM15" s="10"/>
      <c r="BN15" s="10">
        <v>8</v>
      </c>
      <c r="BO15" s="10"/>
    </row>
    <row r="16" spans="1:67" x14ac:dyDescent="0.25">
      <c r="F16" s="37">
        <v>400</v>
      </c>
      <c r="G16" s="38">
        <v>0.65</v>
      </c>
      <c r="H16" s="39">
        <v>0.01</v>
      </c>
      <c r="K16" s="10">
        <v>630</v>
      </c>
      <c r="L16" s="10">
        <v>0.41</v>
      </c>
      <c r="M16" s="10">
        <v>0.13</v>
      </c>
      <c r="N16" s="10" t="s">
        <v>236</v>
      </c>
      <c r="O16" s="10"/>
      <c r="P16" s="10"/>
      <c r="Q16" s="10">
        <v>2</v>
      </c>
      <c r="R16" s="10">
        <v>0</v>
      </c>
      <c r="S16" s="10">
        <v>0</v>
      </c>
      <c r="T16" s="10">
        <v>0</v>
      </c>
      <c r="U16" s="10"/>
      <c r="V16" s="10"/>
      <c r="W16" s="10"/>
      <c r="X16" s="10"/>
      <c r="Y16" s="76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/>
      <c r="AF16" s="76">
        <v>0</v>
      </c>
      <c r="AG16" s="10">
        <v>0</v>
      </c>
      <c r="AH16" s="10">
        <v>0</v>
      </c>
      <c r="AI16" s="10"/>
      <c r="AJ16" s="10"/>
      <c r="AK16" s="10"/>
      <c r="AL16" s="10"/>
      <c r="AM16" s="10">
        <v>0</v>
      </c>
      <c r="AN16" s="10">
        <v>0</v>
      </c>
      <c r="AO16" s="10">
        <v>0</v>
      </c>
      <c r="AP16" s="10"/>
      <c r="AQ16" s="10"/>
      <c r="AR16" s="10"/>
      <c r="AS16" s="10"/>
      <c r="AT16" s="76">
        <v>750</v>
      </c>
      <c r="AU16" s="10">
        <v>0</v>
      </c>
      <c r="AV16" s="10">
        <v>0</v>
      </c>
      <c r="AW16" s="10" t="s">
        <v>269</v>
      </c>
      <c r="AX16" s="10" t="str">
        <f t="shared" si="1"/>
        <v>ТТИ-А 750/5А 5ВА 0,5S</v>
      </c>
      <c r="AY16" s="10"/>
      <c r="AZ16">
        <v>6</v>
      </c>
      <c r="BA16" s="10">
        <v>0</v>
      </c>
      <c r="BB16" s="10">
        <v>0</v>
      </c>
      <c r="BC16" s="10">
        <v>0</v>
      </c>
      <c r="BD16" s="10"/>
      <c r="BE16" s="10"/>
      <c r="BF16" s="10"/>
      <c r="BG16" s="10"/>
      <c r="BH16" s="76">
        <v>6</v>
      </c>
      <c r="BI16" s="10">
        <v>0</v>
      </c>
      <c r="BJ16" s="10">
        <v>0</v>
      </c>
      <c r="BK16" s="10" t="s">
        <v>271</v>
      </c>
      <c r="BL16" s="10" t="s">
        <v>272</v>
      </c>
      <c r="BM16" s="10"/>
      <c r="BN16" s="10">
        <v>8</v>
      </c>
      <c r="BO16" s="10"/>
    </row>
    <row r="17" spans="6:67" x14ac:dyDescent="0.25">
      <c r="F17" s="37">
        <v>250</v>
      </c>
      <c r="G17" s="38">
        <v>0.875</v>
      </c>
      <c r="H17" s="39">
        <v>0.255</v>
      </c>
      <c r="K17" s="10">
        <v>400</v>
      </c>
      <c r="L17" s="10">
        <v>0.65</v>
      </c>
      <c r="M17" s="10">
        <v>0.01</v>
      </c>
      <c r="N17" s="10" t="s">
        <v>236</v>
      </c>
      <c r="O17" s="10"/>
      <c r="P17" s="10"/>
      <c r="Q17" s="10">
        <v>2</v>
      </c>
      <c r="R17" s="10">
        <v>0</v>
      </c>
      <c r="S17" s="10">
        <v>0</v>
      </c>
      <c r="T17" s="10">
        <v>0</v>
      </c>
      <c r="U17" s="10"/>
      <c r="V17" s="10"/>
      <c r="W17" s="10"/>
      <c r="X17" s="10"/>
      <c r="Y17" s="76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/>
      <c r="AF17" s="76">
        <v>0</v>
      </c>
      <c r="AG17" s="10">
        <v>0</v>
      </c>
      <c r="AH17" s="10">
        <v>0</v>
      </c>
      <c r="AI17" s="10"/>
      <c r="AJ17" s="10"/>
      <c r="AK17" s="10"/>
      <c r="AL17" s="10"/>
      <c r="AM17" s="10">
        <v>0</v>
      </c>
      <c r="AN17" s="10">
        <v>0</v>
      </c>
      <c r="AO17" s="10">
        <v>0</v>
      </c>
      <c r="AP17" s="10"/>
      <c r="AQ17" s="10"/>
      <c r="AR17" s="10"/>
      <c r="AS17" s="10"/>
      <c r="AT17" s="76">
        <v>600</v>
      </c>
      <c r="AU17" s="10">
        <v>0</v>
      </c>
      <c r="AV17" s="10">
        <v>0</v>
      </c>
      <c r="AW17" s="10" t="s">
        <v>269</v>
      </c>
      <c r="AX17" s="10" t="str">
        <f t="shared" si="1"/>
        <v>ТТИ-А 600/5А 5ВА 0,5S</v>
      </c>
      <c r="AY17" s="10"/>
      <c r="AZ17">
        <v>6</v>
      </c>
      <c r="BA17" s="10">
        <v>0</v>
      </c>
      <c r="BB17" s="10">
        <v>0</v>
      </c>
      <c r="BC17" s="10">
        <v>0</v>
      </c>
      <c r="BD17" s="10"/>
      <c r="BE17" s="10"/>
      <c r="BF17" s="10"/>
      <c r="BG17" s="10"/>
      <c r="BH17" s="76">
        <v>4</v>
      </c>
      <c r="BI17" s="10">
        <v>0</v>
      </c>
      <c r="BJ17" s="10">
        <v>0</v>
      </c>
      <c r="BK17" s="10" t="s">
        <v>271</v>
      </c>
      <c r="BL17" s="10" t="s">
        <v>272</v>
      </c>
      <c r="BM17" s="10"/>
      <c r="BN17" s="10">
        <v>8</v>
      </c>
      <c r="BO17" s="10"/>
    </row>
    <row r="18" spans="6:67" x14ac:dyDescent="0.25">
      <c r="F18" s="37">
        <v>200</v>
      </c>
      <c r="G18" s="38">
        <v>1.1000000000000001</v>
      </c>
      <c r="H18" s="39">
        <v>0.5</v>
      </c>
      <c r="K18" s="10">
        <v>250</v>
      </c>
      <c r="L18" s="10">
        <v>0.875</v>
      </c>
      <c r="M18" s="10">
        <v>0.255</v>
      </c>
      <c r="N18" s="10" t="s">
        <v>236</v>
      </c>
      <c r="O18" s="10"/>
      <c r="P18" s="10"/>
      <c r="Q18" s="10">
        <v>2</v>
      </c>
      <c r="R18" s="10">
        <v>0</v>
      </c>
      <c r="S18" s="10">
        <v>0</v>
      </c>
      <c r="T18" s="10">
        <v>0</v>
      </c>
      <c r="U18" s="10"/>
      <c r="V18" s="10"/>
      <c r="W18" s="10"/>
      <c r="X18" s="10"/>
      <c r="Y18" s="76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/>
      <c r="AF18" s="76">
        <v>0</v>
      </c>
      <c r="AG18" s="10">
        <v>0</v>
      </c>
      <c r="AH18" s="10">
        <v>0</v>
      </c>
      <c r="AI18" s="10"/>
      <c r="AJ18" s="10"/>
      <c r="AK18" s="10"/>
      <c r="AL18" s="10"/>
      <c r="AM18" s="10">
        <v>0</v>
      </c>
      <c r="AN18" s="10">
        <v>0</v>
      </c>
      <c r="AO18" s="10">
        <v>0</v>
      </c>
      <c r="AP18" s="10"/>
      <c r="AQ18" s="10"/>
      <c r="AR18" s="10"/>
      <c r="AS18" s="10"/>
      <c r="AT18" s="76">
        <v>500</v>
      </c>
      <c r="AU18" s="10">
        <v>0</v>
      </c>
      <c r="AV18" s="10">
        <v>0</v>
      </c>
      <c r="AW18" s="10" t="s">
        <v>269</v>
      </c>
      <c r="AX18" s="10" t="str">
        <f t="shared" si="1"/>
        <v>ТТИ-А 500/5А 5ВА 0,5S</v>
      </c>
      <c r="AY18" s="10"/>
      <c r="AZ18">
        <v>6</v>
      </c>
      <c r="BA18" s="10">
        <v>0</v>
      </c>
      <c r="BB18" s="10">
        <v>0</v>
      </c>
      <c r="BC18" s="10">
        <v>0</v>
      </c>
      <c r="BD18" s="10"/>
      <c r="BE18" s="10"/>
      <c r="BF18" s="10"/>
      <c r="BG18" s="10"/>
      <c r="BH18" s="76">
        <v>2.5</v>
      </c>
      <c r="BI18" s="10">
        <v>0</v>
      </c>
      <c r="BJ18" s="10">
        <v>0</v>
      </c>
      <c r="BK18" s="10" t="s">
        <v>271</v>
      </c>
      <c r="BL18" s="10" t="s">
        <v>272</v>
      </c>
      <c r="BM18" s="10"/>
      <c r="BN18" s="10">
        <v>8</v>
      </c>
      <c r="BO18" s="10"/>
    </row>
    <row r="19" spans="6:67" x14ac:dyDescent="0.25">
      <c r="F19" s="37">
        <v>160</v>
      </c>
      <c r="G19" s="38">
        <v>1.3</v>
      </c>
      <c r="H19" s="39">
        <v>0.7</v>
      </c>
      <c r="K19" s="10">
        <v>200</v>
      </c>
      <c r="L19" s="10">
        <v>1.1000000000000001</v>
      </c>
      <c r="M19" s="10">
        <v>0.5</v>
      </c>
      <c r="N19" s="10" t="s">
        <v>236</v>
      </c>
      <c r="O19" s="10"/>
      <c r="P19" s="10"/>
      <c r="Q19" s="10">
        <v>2</v>
      </c>
      <c r="R19" s="10">
        <v>0</v>
      </c>
      <c r="S19" s="10">
        <v>0</v>
      </c>
      <c r="T19" s="10">
        <v>0</v>
      </c>
      <c r="U19" s="10"/>
      <c r="V19" s="10"/>
      <c r="W19" s="10"/>
      <c r="X19" s="10"/>
      <c r="Y19" s="76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76">
        <v>0</v>
      </c>
      <c r="AG19" s="10">
        <v>0</v>
      </c>
      <c r="AH19" s="10">
        <v>0</v>
      </c>
      <c r="AI19" s="10"/>
      <c r="AJ19" s="10"/>
      <c r="AK19" s="10"/>
      <c r="AL19" s="10"/>
      <c r="AM19" s="10">
        <v>0</v>
      </c>
      <c r="AN19" s="10">
        <v>0</v>
      </c>
      <c r="AO19" s="10">
        <v>0</v>
      </c>
      <c r="AP19" s="10"/>
      <c r="AQ19" s="10"/>
      <c r="AR19" s="10"/>
      <c r="AS19" s="10"/>
      <c r="AT19" s="76">
        <v>400</v>
      </c>
      <c r="AU19" s="10">
        <v>0</v>
      </c>
      <c r="AV19" s="10">
        <v>0</v>
      </c>
      <c r="AW19" s="10" t="s">
        <v>269</v>
      </c>
      <c r="AX19" s="10" t="str">
        <f t="shared" si="1"/>
        <v>ТТИ-А 400/5А 5ВА 0,5S</v>
      </c>
      <c r="AY19" s="10"/>
      <c r="AZ19">
        <v>6</v>
      </c>
      <c r="BA19" s="10">
        <v>0</v>
      </c>
      <c r="BB19" s="10">
        <v>0</v>
      </c>
      <c r="BC19" s="10">
        <v>0</v>
      </c>
      <c r="BD19" s="10"/>
      <c r="BE19" s="10"/>
      <c r="BF19" s="10"/>
      <c r="BG19" s="10"/>
      <c r="BH19" s="76">
        <v>1.6</v>
      </c>
      <c r="BI19" s="10">
        <v>0</v>
      </c>
      <c r="BJ19" s="10">
        <v>0</v>
      </c>
      <c r="BK19" s="10" t="s">
        <v>271</v>
      </c>
      <c r="BL19" s="10" t="s">
        <v>272</v>
      </c>
      <c r="BM19" s="10"/>
      <c r="BN19" s="10">
        <v>8</v>
      </c>
      <c r="BO19" s="10"/>
    </row>
    <row r="20" spans="6:67" x14ac:dyDescent="0.25">
      <c r="F20" s="37">
        <v>125</v>
      </c>
      <c r="G20" s="38">
        <v>1.7250000000000001</v>
      </c>
      <c r="H20" s="39">
        <v>0.95</v>
      </c>
      <c r="K20" s="10">
        <v>160</v>
      </c>
      <c r="L20" s="10">
        <v>1.3</v>
      </c>
      <c r="M20" s="10">
        <v>0.7</v>
      </c>
      <c r="N20" s="10" t="s">
        <v>236</v>
      </c>
      <c r="O20" s="10"/>
      <c r="P20" s="10"/>
      <c r="Q20" s="10">
        <v>2</v>
      </c>
      <c r="R20" s="10">
        <v>0</v>
      </c>
      <c r="S20" s="10">
        <v>0</v>
      </c>
      <c r="T20" s="10">
        <v>0</v>
      </c>
      <c r="U20" s="10"/>
      <c r="V20" s="10"/>
      <c r="W20" s="10"/>
      <c r="X20" s="10"/>
      <c r="Y20" s="76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/>
      <c r="AF20" s="76">
        <v>0</v>
      </c>
      <c r="AG20" s="10">
        <v>0</v>
      </c>
      <c r="AH20" s="10">
        <v>0</v>
      </c>
      <c r="AI20" s="10"/>
      <c r="AJ20" s="10"/>
      <c r="AK20" s="10"/>
      <c r="AL20" s="10"/>
      <c r="AM20" s="10">
        <v>0</v>
      </c>
      <c r="AN20" s="10">
        <v>0</v>
      </c>
      <c r="AO20" s="10">
        <v>0</v>
      </c>
      <c r="AP20" s="10"/>
      <c r="AQ20" s="10"/>
      <c r="AR20" s="10"/>
      <c r="AS20" s="10"/>
      <c r="AT20" s="76">
        <v>300</v>
      </c>
      <c r="AU20" s="10">
        <v>0</v>
      </c>
      <c r="AV20" s="10">
        <v>0</v>
      </c>
      <c r="AW20" s="10" t="s">
        <v>269</v>
      </c>
      <c r="AX20" s="10" t="str">
        <f t="shared" si="1"/>
        <v>ТТИ-А 300/5А 5ВА 0,5S</v>
      </c>
      <c r="AY20" s="10"/>
      <c r="AZ20">
        <v>6</v>
      </c>
      <c r="BA20" s="10">
        <v>0</v>
      </c>
      <c r="BB20" s="10">
        <v>0</v>
      </c>
      <c r="BC20" s="10">
        <v>0</v>
      </c>
      <c r="BD20" s="10"/>
      <c r="BE20" s="10"/>
      <c r="BF20" s="10"/>
      <c r="BG20" s="10"/>
      <c r="BH20" s="76">
        <v>1</v>
      </c>
      <c r="BI20" s="10">
        <v>0</v>
      </c>
      <c r="BJ20" s="10">
        <v>0</v>
      </c>
      <c r="BK20" s="10" t="s">
        <v>271</v>
      </c>
      <c r="BL20" s="10" t="s">
        <v>272</v>
      </c>
      <c r="BM20" s="10"/>
      <c r="BN20" s="10">
        <v>8</v>
      </c>
      <c r="BO20" s="10"/>
    </row>
    <row r="21" spans="6:67" x14ac:dyDescent="0.25">
      <c r="F21" s="37">
        <v>100</v>
      </c>
      <c r="G21" s="38">
        <v>2.15</v>
      </c>
      <c r="H21" s="39">
        <v>1.2</v>
      </c>
      <c r="K21" s="10">
        <v>125</v>
      </c>
      <c r="L21" s="10">
        <v>1.7250000000000001</v>
      </c>
      <c r="M21" s="10">
        <v>0.95</v>
      </c>
      <c r="N21" s="10" t="s">
        <v>236</v>
      </c>
      <c r="O21" s="10"/>
      <c r="P21" s="10"/>
      <c r="Q21" s="10">
        <v>2</v>
      </c>
      <c r="R21" s="10">
        <v>0</v>
      </c>
      <c r="S21" s="10">
        <v>0</v>
      </c>
      <c r="T21" s="10">
        <v>0</v>
      </c>
      <c r="U21" s="10"/>
      <c r="V21" s="10"/>
      <c r="W21" s="10"/>
      <c r="X21" s="10"/>
      <c r="Y21" s="76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/>
      <c r="AF21" s="76">
        <v>0</v>
      </c>
      <c r="AG21" s="10">
        <v>0</v>
      </c>
      <c r="AH21" s="10">
        <v>0</v>
      </c>
      <c r="AI21" s="10"/>
      <c r="AJ21" s="10"/>
      <c r="AK21" s="10"/>
      <c r="AL21" s="10"/>
      <c r="AM21" s="10">
        <v>0</v>
      </c>
      <c r="AN21" s="10">
        <v>0</v>
      </c>
      <c r="AO21" s="10">
        <v>0</v>
      </c>
      <c r="AP21" s="10"/>
      <c r="AQ21" s="10"/>
      <c r="AR21" s="10"/>
      <c r="AS21" s="10"/>
      <c r="AT21" s="76">
        <v>250</v>
      </c>
      <c r="AU21" s="10">
        <v>0</v>
      </c>
      <c r="AV21" s="10">
        <v>0</v>
      </c>
      <c r="AW21" s="10" t="s">
        <v>269</v>
      </c>
      <c r="AX21" s="10" t="str">
        <f t="shared" si="1"/>
        <v>ТТИ-А 250/5А 5ВА 0,5S</v>
      </c>
      <c r="AY21" s="10"/>
      <c r="AZ21">
        <v>6</v>
      </c>
      <c r="BA21" s="10">
        <v>0</v>
      </c>
      <c r="BB21" s="10">
        <v>0</v>
      </c>
      <c r="BC21" s="10">
        <v>0</v>
      </c>
      <c r="BD21" s="10"/>
      <c r="BE21" s="10"/>
      <c r="BF21" s="10"/>
      <c r="BG21" s="10"/>
      <c r="BH21" s="76">
        <v>0.6</v>
      </c>
      <c r="BI21" s="10">
        <v>0</v>
      </c>
      <c r="BJ21" s="10">
        <v>0</v>
      </c>
      <c r="BK21" s="10" t="s">
        <v>271</v>
      </c>
      <c r="BL21" s="10" t="s">
        <v>272</v>
      </c>
      <c r="BM21" s="10"/>
      <c r="BN21" s="10">
        <v>8</v>
      </c>
      <c r="BO21" s="10"/>
    </row>
    <row r="22" spans="6:67" x14ac:dyDescent="0.25">
      <c r="F22" s="37">
        <v>80</v>
      </c>
      <c r="G22" s="38">
        <v>2.83</v>
      </c>
      <c r="H22" s="39">
        <v>1.6</v>
      </c>
      <c r="K22" s="10">
        <v>100</v>
      </c>
      <c r="L22" s="10">
        <v>2.15</v>
      </c>
      <c r="M22" s="10">
        <v>1.2</v>
      </c>
      <c r="N22" s="10" t="s">
        <v>236</v>
      </c>
      <c r="O22" s="10"/>
      <c r="P22" s="10"/>
      <c r="Q22" s="10">
        <v>2</v>
      </c>
      <c r="R22" s="10">
        <v>0</v>
      </c>
      <c r="S22" s="10">
        <v>0</v>
      </c>
      <c r="T22" s="10">
        <v>0</v>
      </c>
      <c r="U22" s="10"/>
      <c r="V22" s="10"/>
      <c r="W22" s="10"/>
      <c r="X22" s="10"/>
      <c r="Y22" s="76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/>
      <c r="AF22" s="76">
        <v>0</v>
      </c>
      <c r="AG22" s="10">
        <v>0</v>
      </c>
      <c r="AH22" s="10">
        <v>0</v>
      </c>
      <c r="AI22" s="10"/>
      <c r="AJ22" s="10"/>
      <c r="AK22" s="10"/>
      <c r="AL22" s="10"/>
      <c r="AM22" s="10">
        <v>0</v>
      </c>
      <c r="AN22" s="10">
        <v>0</v>
      </c>
      <c r="AO22" s="10">
        <v>0</v>
      </c>
      <c r="AP22" s="10"/>
      <c r="AQ22" s="10"/>
      <c r="AR22" s="10"/>
      <c r="AS22" s="10"/>
      <c r="AT22" s="76">
        <v>200</v>
      </c>
      <c r="AU22" s="10">
        <v>0</v>
      </c>
      <c r="AV22" s="10">
        <v>0</v>
      </c>
      <c r="AW22" s="10" t="s">
        <v>269</v>
      </c>
      <c r="AX22" s="10" t="str">
        <f t="shared" si="1"/>
        <v>ТТИ-А 200/5А 5ВА 0,5S</v>
      </c>
      <c r="AY22" s="10"/>
      <c r="AZ22">
        <v>6</v>
      </c>
      <c r="BA22" s="10">
        <v>0</v>
      </c>
      <c r="BB22" s="10">
        <v>0</v>
      </c>
      <c r="BC22" s="10">
        <v>0</v>
      </c>
      <c r="BD22" s="10"/>
      <c r="BE22" s="10"/>
      <c r="BF22" s="10"/>
      <c r="BG22" s="10"/>
      <c r="BH22" s="10">
        <v>0</v>
      </c>
      <c r="BI22" s="10">
        <v>0</v>
      </c>
      <c r="BJ22" s="10">
        <v>0</v>
      </c>
      <c r="BK22" s="10">
        <v>0</v>
      </c>
      <c r="BL22" s="10"/>
      <c r="BM22" s="10"/>
      <c r="BN22" s="10"/>
      <c r="BO22" s="10"/>
    </row>
    <row r="23" spans="6:67" x14ac:dyDescent="0.25">
      <c r="F23" s="37">
        <v>63</v>
      </c>
      <c r="G23" s="38">
        <v>3.5</v>
      </c>
      <c r="H23" s="39">
        <v>2</v>
      </c>
      <c r="K23" s="10">
        <v>80</v>
      </c>
      <c r="L23" s="10">
        <v>2.83</v>
      </c>
      <c r="M23" s="10">
        <v>1.6</v>
      </c>
      <c r="N23" s="10" t="s">
        <v>236</v>
      </c>
      <c r="O23" s="10"/>
      <c r="P23" s="10"/>
      <c r="Q23" s="10">
        <v>2</v>
      </c>
      <c r="R23" s="10">
        <v>0</v>
      </c>
      <c r="S23" s="10">
        <v>0</v>
      </c>
      <c r="T23" s="10">
        <v>0</v>
      </c>
      <c r="U23" s="10"/>
      <c r="V23" s="10"/>
      <c r="W23" s="10"/>
      <c r="X23" s="10"/>
      <c r="Y23" s="76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/>
      <c r="AF23" s="76">
        <v>0</v>
      </c>
      <c r="AG23" s="10">
        <v>0</v>
      </c>
      <c r="AH23" s="10">
        <v>0</v>
      </c>
      <c r="AI23" s="10"/>
      <c r="AJ23" s="10"/>
      <c r="AK23" s="10"/>
      <c r="AL23" s="10"/>
      <c r="AM23" s="10">
        <v>0</v>
      </c>
      <c r="AN23" s="10">
        <v>0</v>
      </c>
      <c r="AO23" s="10">
        <v>0</v>
      </c>
      <c r="AP23" s="10"/>
      <c r="AQ23" s="10"/>
      <c r="AR23" s="10"/>
      <c r="AS23" s="10"/>
      <c r="AT23" s="76">
        <v>150</v>
      </c>
      <c r="AU23" s="10">
        <v>0</v>
      </c>
      <c r="AV23" s="10">
        <v>0</v>
      </c>
      <c r="AW23" s="10" t="s">
        <v>269</v>
      </c>
      <c r="AX23" s="10" t="str">
        <f t="shared" si="1"/>
        <v>ТТИ-А 150/5А 5ВА 0,5S</v>
      </c>
      <c r="AY23" s="10"/>
      <c r="AZ23">
        <v>6</v>
      </c>
      <c r="BA23" s="10">
        <v>0</v>
      </c>
      <c r="BB23" s="10">
        <v>0</v>
      </c>
      <c r="BC23" s="10">
        <v>0</v>
      </c>
      <c r="BD23" s="10"/>
      <c r="BE23" s="10"/>
      <c r="BF23" s="10"/>
      <c r="BG23" s="10"/>
      <c r="BH23" s="10">
        <v>0</v>
      </c>
      <c r="BI23" s="10">
        <v>0</v>
      </c>
      <c r="BJ23" s="10">
        <v>0</v>
      </c>
      <c r="BK23" s="10">
        <v>0</v>
      </c>
      <c r="BL23" s="10"/>
      <c r="BM23" s="10"/>
      <c r="BN23" s="10"/>
      <c r="BO23" s="10"/>
    </row>
    <row r="24" spans="6:67" x14ac:dyDescent="0.25">
      <c r="F24" s="37">
        <v>50</v>
      </c>
      <c r="G24" s="38">
        <v>7</v>
      </c>
      <c r="H24" s="39">
        <v>4.5</v>
      </c>
      <c r="K24" s="10">
        <v>63</v>
      </c>
      <c r="L24" s="10">
        <v>3.5</v>
      </c>
      <c r="M24" s="10">
        <v>2</v>
      </c>
      <c r="N24" s="10" t="s">
        <v>236</v>
      </c>
      <c r="O24" s="10" t="s">
        <v>193</v>
      </c>
      <c r="P24" s="10"/>
      <c r="Q24" s="10">
        <v>2</v>
      </c>
      <c r="R24" s="10">
        <v>0</v>
      </c>
      <c r="S24" s="10">
        <v>0</v>
      </c>
      <c r="T24" s="10">
        <v>0</v>
      </c>
      <c r="U24" s="10"/>
      <c r="V24" s="10"/>
      <c r="W24" s="10"/>
      <c r="X24" s="10"/>
      <c r="Y24" s="76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/>
      <c r="AF24" s="76">
        <v>0</v>
      </c>
      <c r="AG24" s="10">
        <v>0</v>
      </c>
      <c r="AH24" s="10">
        <v>0</v>
      </c>
      <c r="AI24" s="10"/>
      <c r="AJ24" s="10"/>
      <c r="AK24" s="10"/>
      <c r="AL24" s="10"/>
      <c r="AM24" s="10">
        <v>0</v>
      </c>
      <c r="AN24" s="10">
        <v>0</v>
      </c>
      <c r="AO24" s="10">
        <v>0</v>
      </c>
      <c r="AP24" s="10"/>
      <c r="AQ24" s="10"/>
      <c r="AR24" s="10"/>
      <c r="AS24" s="10"/>
      <c r="AT24" s="76">
        <v>125</v>
      </c>
      <c r="AU24" s="10">
        <v>0</v>
      </c>
      <c r="AV24" s="10">
        <v>0</v>
      </c>
      <c r="AW24" s="10" t="s">
        <v>269</v>
      </c>
      <c r="AX24" s="10" t="str">
        <f t="shared" si="1"/>
        <v>ТТИ-А 125/5А 5ВА 0,5S</v>
      </c>
      <c r="AY24" s="10"/>
      <c r="AZ24">
        <v>6</v>
      </c>
      <c r="BA24" s="10">
        <v>0</v>
      </c>
      <c r="BB24" s="10">
        <v>0</v>
      </c>
      <c r="BC24" s="10">
        <v>0</v>
      </c>
      <c r="BD24" s="10"/>
      <c r="BE24" s="10"/>
      <c r="BF24" s="10"/>
      <c r="BG24" s="10"/>
      <c r="BH24" s="10">
        <v>0</v>
      </c>
      <c r="BI24" s="10">
        <v>0</v>
      </c>
      <c r="BJ24" s="10">
        <v>0</v>
      </c>
      <c r="BK24" s="10">
        <v>0</v>
      </c>
      <c r="BL24" s="10"/>
      <c r="BM24" s="10"/>
      <c r="BN24" s="10"/>
      <c r="BO24" s="10"/>
    </row>
    <row r="25" spans="6:67" x14ac:dyDescent="0.25">
      <c r="F25" s="37">
        <v>40</v>
      </c>
      <c r="G25" s="40">
        <v>10.5</v>
      </c>
      <c r="H25" s="41">
        <v>7</v>
      </c>
      <c r="K25" s="10">
        <v>50</v>
      </c>
      <c r="L25" s="10">
        <v>7</v>
      </c>
      <c r="M25" s="10">
        <v>4.5</v>
      </c>
      <c r="N25" s="10" t="s">
        <v>236</v>
      </c>
      <c r="O25" s="10" t="s">
        <v>193</v>
      </c>
      <c r="P25" s="10"/>
      <c r="Q25" s="10">
        <v>2</v>
      </c>
      <c r="R25" s="10">
        <v>0</v>
      </c>
      <c r="S25" s="10">
        <v>0</v>
      </c>
      <c r="T25" s="10">
        <v>0</v>
      </c>
      <c r="U25" s="10"/>
      <c r="V25" s="10"/>
      <c r="W25" s="10"/>
      <c r="X25" s="10"/>
      <c r="Y25" s="76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/>
      <c r="AF25" s="76">
        <v>0</v>
      </c>
      <c r="AG25" s="10">
        <v>0</v>
      </c>
      <c r="AH25" s="10">
        <v>0</v>
      </c>
      <c r="AI25" s="10"/>
      <c r="AJ25" s="10"/>
      <c r="AK25" s="10"/>
      <c r="AL25" s="10"/>
      <c r="AM25" s="10">
        <v>0</v>
      </c>
      <c r="AN25" s="10">
        <v>0</v>
      </c>
      <c r="AO25" s="10">
        <v>0</v>
      </c>
      <c r="AP25" s="10"/>
      <c r="AQ25" s="10"/>
      <c r="AR25" s="10"/>
      <c r="AS25" s="10"/>
      <c r="AT25" s="76">
        <v>120</v>
      </c>
      <c r="AU25" s="10">
        <v>0</v>
      </c>
      <c r="AV25" s="10">
        <v>0</v>
      </c>
      <c r="AW25" s="10" t="s">
        <v>269</v>
      </c>
      <c r="AX25" s="10" t="str">
        <f t="shared" si="1"/>
        <v>ТТИ-А 120/5А 5ВА 0,5S</v>
      </c>
      <c r="AY25" s="10"/>
      <c r="AZ25">
        <v>6</v>
      </c>
      <c r="BA25" s="10">
        <v>0</v>
      </c>
      <c r="BB25" s="10">
        <v>0</v>
      </c>
      <c r="BC25" s="10">
        <v>0</v>
      </c>
      <c r="BD25" s="10"/>
      <c r="BE25" s="10"/>
      <c r="BF25" s="10"/>
      <c r="BG25" s="10"/>
      <c r="BH25" s="10">
        <v>0</v>
      </c>
      <c r="BI25" s="10">
        <v>0</v>
      </c>
      <c r="BJ25" s="10">
        <v>0</v>
      </c>
      <c r="BK25" s="10">
        <v>0</v>
      </c>
      <c r="BL25" s="10"/>
      <c r="BM25" s="10"/>
      <c r="BN25" s="10"/>
      <c r="BO25" s="10"/>
    </row>
    <row r="26" spans="6:67" x14ac:dyDescent="0.25">
      <c r="F26" s="37">
        <v>32</v>
      </c>
      <c r="G26" s="40">
        <v>14</v>
      </c>
      <c r="H26" s="41">
        <v>9.5</v>
      </c>
      <c r="K26" s="10">
        <v>40</v>
      </c>
      <c r="L26" s="10">
        <v>10.5</v>
      </c>
      <c r="M26" s="10">
        <v>7</v>
      </c>
      <c r="N26" s="10" t="s">
        <v>236</v>
      </c>
      <c r="O26" s="10" t="s">
        <v>193</v>
      </c>
      <c r="P26" s="10"/>
      <c r="Q26" s="10">
        <v>2</v>
      </c>
      <c r="R26" s="10">
        <v>0</v>
      </c>
      <c r="S26" s="10">
        <v>0</v>
      </c>
      <c r="T26" s="10">
        <v>0</v>
      </c>
      <c r="U26" s="10"/>
      <c r="V26" s="10"/>
      <c r="W26" s="10"/>
      <c r="X26" s="10"/>
      <c r="Y26" s="76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/>
      <c r="AF26" s="76">
        <v>0</v>
      </c>
      <c r="AG26" s="10">
        <v>0</v>
      </c>
      <c r="AH26" s="10">
        <v>0</v>
      </c>
      <c r="AI26" s="10"/>
      <c r="AJ26" s="10"/>
      <c r="AK26" s="10"/>
      <c r="AL26" s="10"/>
      <c r="AM26" s="10">
        <v>0</v>
      </c>
      <c r="AN26" s="10">
        <v>0</v>
      </c>
      <c r="AO26" s="10">
        <v>0</v>
      </c>
      <c r="AP26" s="10"/>
      <c r="AQ26" s="10"/>
      <c r="AR26" s="10"/>
      <c r="AS26" s="10"/>
      <c r="AT26" s="76">
        <v>100</v>
      </c>
      <c r="AU26" s="10">
        <v>0</v>
      </c>
      <c r="AV26" s="10">
        <v>0</v>
      </c>
      <c r="AW26" s="10" t="s">
        <v>269</v>
      </c>
      <c r="AX26" s="10" t="str">
        <f t="shared" si="1"/>
        <v>ТТИ-А 100/5А 5ВА 0,5S</v>
      </c>
      <c r="AY26" s="10"/>
      <c r="AZ26">
        <v>6</v>
      </c>
      <c r="BA26" s="10">
        <v>0</v>
      </c>
      <c r="BB26" s="10">
        <v>0</v>
      </c>
      <c r="BC26" s="10">
        <v>0</v>
      </c>
      <c r="BD26" s="10"/>
      <c r="BE26" s="10"/>
      <c r="BF26" s="10"/>
      <c r="BG26" s="10"/>
      <c r="BH26" s="10">
        <v>0</v>
      </c>
      <c r="BI26" s="10">
        <v>0</v>
      </c>
      <c r="BJ26" s="10">
        <v>0</v>
      </c>
      <c r="BK26" s="10">
        <v>0</v>
      </c>
      <c r="BL26" s="10"/>
      <c r="BM26" s="10"/>
      <c r="BN26" s="10"/>
      <c r="BO26" s="10"/>
    </row>
    <row r="27" spans="6:67" x14ac:dyDescent="0.25">
      <c r="F27" s="37">
        <v>25</v>
      </c>
      <c r="G27" s="40">
        <v>17.5</v>
      </c>
      <c r="H27" s="41">
        <v>12</v>
      </c>
      <c r="K27" s="10">
        <v>32</v>
      </c>
      <c r="L27" s="10">
        <v>14</v>
      </c>
      <c r="M27" s="10">
        <v>9.5</v>
      </c>
      <c r="N27" s="10" t="s">
        <v>236</v>
      </c>
      <c r="O27" s="10" t="s">
        <v>193</v>
      </c>
      <c r="P27" s="10"/>
      <c r="Q27" s="10">
        <v>2</v>
      </c>
      <c r="R27" s="10">
        <v>0</v>
      </c>
      <c r="S27" s="10">
        <v>0</v>
      </c>
      <c r="T27" s="10">
        <v>0</v>
      </c>
      <c r="U27" s="10"/>
      <c r="V27" s="10"/>
      <c r="W27" s="10"/>
      <c r="X27" s="10"/>
      <c r="Y27" s="76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/>
      <c r="AF27" s="76">
        <v>0</v>
      </c>
      <c r="AG27" s="10">
        <v>0</v>
      </c>
      <c r="AH27" s="10">
        <v>0</v>
      </c>
      <c r="AI27" s="10"/>
      <c r="AJ27" s="10"/>
      <c r="AK27" s="10"/>
      <c r="AL27" s="10"/>
      <c r="AM27" s="10">
        <v>0</v>
      </c>
      <c r="AN27" s="10">
        <v>0</v>
      </c>
      <c r="AO27" s="10">
        <v>0</v>
      </c>
      <c r="AP27" s="10"/>
      <c r="AQ27" s="10"/>
      <c r="AR27" s="10"/>
      <c r="AS27" s="10"/>
      <c r="AT27" s="76">
        <v>80</v>
      </c>
      <c r="AU27" s="10">
        <v>0</v>
      </c>
      <c r="AV27" s="10">
        <v>0</v>
      </c>
      <c r="AW27" s="10" t="s">
        <v>269</v>
      </c>
      <c r="AX27" s="10" t="str">
        <f t="shared" si="1"/>
        <v>ТТИ-А 80/5А 5ВА 0,5S</v>
      </c>
      <c r="AY27" s="10"/>
      <c r="AZ27">
        <v>6</v>
      </c>
      <c r="BA27" s="10">
        <v>0</v>
      </c>
      <c r="BB27" s="10">
        <v>0</v>
      </c>
      <c r="BC27" s="10">
        <v>0</v>
      </c>
      <c r="BD27" s="10"/>
      <c r="BE27" s="10"/>
      <c r="BF27" s="10"/>
      <c r="BG27" s="10"/>
      <c r="BH27" s="10">
        <v>0</v>
      </c>
      <c r="BI27" s="10">
        <v>0</v>
      </c>
      <c r="BJ27" s="10">
        <v>0</v>
      </c>
      <c r="BK27" s="10">
        <v>0</v>
      </c>
      <c r="BL27" s="10"/>
      <c r="BM27" s="10"/>
      <c r="BN27" s="10"/>
      <c r="BO27" s="10"/>
    </row>
    <row r="28" spans="6:67" x14ac:dyDescent="0.25">
      <c r="F28" s="37">
        <v>20</v>
      </c>
      <c r="G28" s="40">
        <v>21</v>
      </c>
      <c r="H28" s="41">
        <v>14.5</v>
      </c>
      <c r="K28" s="10">
        <v>25</v>
      </c>
      <c r="L28" s="10">
        <v>17.5</v>
      </c>
      <c r="M28" s="10">
        <v>12</v>
      </c>
      <c r="N28" s="10" t="s">
        <v>236</v>
      </c>
      <c r="O28" s="10" t="s">
        <v>193</v>
      </c>
      <c r="P28" s="10"/>
      <c r="Q28" s="10">
        <v>2</v>
      </c>
      <c r="R28" s="10">
        <v>0</v>
      </c>
      <c r="S28" s="10">
        <v>0</v>
      </c>
      <c r="T28" s="10">
        <v>0</v>
      </c>
      <c r="U28" s="10"/>
      <c r="V28" s="10"/>
      <c r="W28" s="10"/>
      <c r="X28" s="10"/>
      <c r="Y28" s="76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/>
      <c r="AF28" s="76">
        <v>0</v>
      </c>
      <c r="AG28" s="10">
        <v>0</v>
      </c>
      <c r="AH28" s="10">
        <v>0</v>
      </c>
      <c r="AI28" s="10"/>
      <c r="AJ28" s="10"/>
      <c r="AK28" s="10"/>
      <c r="AL28" s="10"/>
      <c r="AM28" s="10">
        <v>0</v>
      </c>
      <c r="AN28" s="10">
        <v>0</v>
      </c>
      <c r="AO28" s="10">
        <v>0</v>
      </c>
      <c r="AP28" s="10"/>
      <c r="AQ28" s="10"/>
      <c r="AR28" s="10"/>
      <c r="AS28" s="10"/>
      <c r="AT28" s="76">
        <v>75</v>
      </c>
      <c r="AU28" s="10">
        <v>0</v>
      </c>
      <c r="AV28" s="10">
        <v>0</v>
      </c>
      <c r="AW28" s="10" t="s">
        <v>269</v>
      </c>
      <c r="AX28" s="10" t="str">
        <f t="shared" si="1"/>
        <v>ТТИ-А 75/5А 5ВА 0,5S</v>
      </c>
      <c r="AY28" s="10"/>
      <c r="AZ28">
        <v>6</v>
      </c>
      <c r="BA28" s="10">
        <v>0</v>
      </c>
      <c r="BB28" s="10">
        <v>0</v>
      </c>
      <c r="BC28" s="10">
        <v>0</v>
      </c>
      <c r="BD28" s="10"/>
      <c r="BE28" s="10"/>
      <c r="BF28" s="10"/>
      <c r="BG28" s="10"/>
      <c r="BH28" s="10">
        <v>0</v>
      </c>
      <c r="BI28" s="10">
        <v>0</v>
      </c>
      <c r="BJ28" s="10">
        <v>0</v>
      </c>
      <c r="BK28" s="10">
        <v>0</v>
      </c>
      <c r="BL28" s="10"/>
      <c r="BM28" s="10"/>
      <c r="BN28" s="10"/>
      <c r="BO28" s="10"/>
    </row>
    <row r="29" spans="6:67" x14ac:dyDescent="0.25">
      <c r="F29" s="37">
        <v>16</v>
      </c>
      <c r="G29" s="40">
        <v>24.5</v>
      </c>
      <c r="H29" s="41">
        <v>17</v>
      </c>
      <c r="K29" s="10">
        <v>20</v>
      </c>
      <c r="L29" s="10">
        <v>21</v>
      </c>
      <c r="M29" s="10">
        <v>14.5</v>
      </c>
      <c r="N29" s="10" t="s">
        <v>236</v>
      </c>
      <c r="O29" s="10" t="s">
        <v>193</v>
      </c>
      <c r="P29" s="10"/>
      <c r="Q29" s="10">
        <v>2</v>
      </c>
      <c r="R29" s="10">
        <v>0</v>
      </c>
      <c r="S29" s="10">
        <v>0</v>
      </c>
      <c r="T29" s="10">
        <v>0</v>
      </c>
      <c r="U29" s="10"/>
      <c r="V29" s="10"/>
      <c r="W29" s="10"/>
      <c r="X29" s="10"/>
      <c r="Y29" s="76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/>
      <c r="AF29" s="76">
        <v>0</v>
      </c>
      <c r="AG29" s="10">
        <v>0</v>
      </c>
      <c r="AH29" s="10">
        <v>0</v>
      </c>
      <c r="AI29" s="10"/>
      <c r="AJ29" s="10"/>
      <c r="AK29" s="10"/>
      <c r="AL29" s="10"/>
      <c r="AM29" s="10">
        <v>0</v>
      </c>
      <c r="AN29" s="10">
        <v>0</v>
      </c>
      <c r="AO29" s="10">
        <v>0</v>
      </c>
      <c r="AP29" s="10"/>
      <c r="AQ29" s="10"/>
      <c r="AR29" s="10"/>
      <c r="AS29" s="10"/>
      <c r="AT29" s="76">
        <v>60</v>
      </c>
      <c r="AU29" s="10">
        <v>0</v>
      </c>
      <c r="AV29" s="10">
        <v>0</v>
      </c>
      <c r="AW29" s="10" t="s">
        <v>269</v>
      </c>
      <c r="AX29" s="10" t="str">
        <f t="shared" si="1"/>
        <v>ТТИ-А 60/5А 5ВА 0,5S</v>
      </c>
      <c r="AY29" s="10"/>
      <c r="AZ29">
        <v>6</v>
      </c>
      <c r="BA29" s="10">
        <v>0</v>
      </c>
      <c r="BB29" s="10">
        <v>0</v>
      </c>
      <c r="BC29" s="10">
        <v>0</v>
      </c>
      <c r="BD29" s="10"/>
      <c r="BE29" s="10"/>
      <c r="BF29" s="10"/>
      <c r="BG29" s="10"/>
      <c r="BH29" s="10">
        <v>0</v>
      </c>
      <c r="BI29" s="10">
        <v>0</v>
      </c>
      <c r="BJ29" s="10">
        <v>0</v>
      </c>
      <c r="BK29" s="10">
        <v>0</v>
      </c>
      <c r="BL29" s="10"/>
      <c r="BM29" s="10"/>
      <c r="BN29" s="10"/>
      <c r="BO29" s="10"/>
    </row>
    <row r="30" spans="6:67" x14ac:dyDescent="0.25">
      <c r="F30" s="37">
        <v>10</v>
      </c>
      <c r="G30" s="40">
        <v>31.5</v>
      </c>
      <c r="H30" s="41">
        <v>22</v>
      </c>
      <c r="K30" s="10">
        <v>16</v>
      </c>
      <c r="L30" s="10">
        <v>24.5</v>
      </c>
      <c r="M30" s="10">
        <v>17</v>
      </c>
      <c r="N30" s="10" t="s">
        <v>236</v>
      </c>
      <c r="O30" s="10" t="s">
        <v>193</v>
      </c>
      <c r="P30" s="10"/>
      <c r="Q30" s="10">
        <v>2</v>
      </c>
      <c r="R30" s="10">
        <v>0</v>
      </c>
      <c r="S30" s="10">
        <v>0</v>
      </c>
      <c r="T30" s="10">
        <v>0</v>
      </c>
      <c r="U30" s="10"/>
      <c r="V30" s="10"/>
      <c r="W30" s="10"/>
      <c r="X30" s="10"/>
      <c r="Y30" s="76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/>
      <c r="AF30" s="76">
        <v>0</v>
      </c>
      <c r="AG30" s="10">
        <v>0</v>
      </c>
      <c r="AH30" s="10">
        <v>0</v>
      </c>
      <c r="AI30" s="10"/>
      <c r="AJ30" s="10"/>
      <c r="AK30" s="10"/>
      <c r="AL30" s="10"/>
      <c r="AM30" s="10">
        <v>0</v>
      </c>
      <c r="AN30" s="10">
        <v>0</v>
      </c>
      <c r="AO30" s="10">
        <v>0</v>
      </c>
      <c r="AP30" s="10"/>
      <c r="AQ30" s="10"/>
      <c r="AR30" s="10"/>
      <c r="AS30" s="10"/>
      <c r="AT30" s="76">
        <v>50</v>
      </c>
      <c r="AU30" s="10">
        <v>0</v>
      </c>
      <c r="AV30" s="10">
        <v>0</v>
      </c>
      <c r="AW30" s="10" t="s">
        <v>269</v>
      </c>
      <c r="AX30" s="10" t="str">
        <f t="shared" si="1"/>
        <v>ТТИ-А 50/5А 5ВА 0,5S</v>
      </c>
      <c r="AY30" s="10"/>
      <c r="AZ30">
        <v>6</v>
      </c>
      <c r="BA30" s="10">
        <v>0</v>
      </c>
      <c r="BB30" s="10">
        <v>0</v>
      </c>
      <c r="BC30" s="10">
        <v>0</v>
      </c>
      <c r="BD30" s="10"/>
      <c r="BE30" s="10"/>
      <c r="BF30" s="10"/>
      <c r="BG30" s="10"/>
      <c r="BH30" s="10">
        <v>0</v>
      </c>
      <c r="BI30" s="10">
        <v>0</v>
      </c>
      <c r="BJ30" s="10">
        <v>0</v>
      </c>
      <c r="BK30" s="10">
        <v>0</v>
      </c>
      <c r="BL30" s="10"/>
      <c r="BM30" s="10"/>
      <c r="BN30" s="10"/>
      <c r="BO30" s="10"/>
    </row>
    <row r="31" spans="6:67" x14ac:dyDescent="0.25">
      <c r="F31" s="37">
        <v>6</v>
      </c>
      <c r="G31" s="40">
        <v>35</v>
      </c>
      <c r="H31" s="41">
        <v>24.5</v>
      </c>
      <c r="K31" s="10">
        <v>10</v>
      </c>
      <c r="L31" s="10">
        <v>31.5</v>
      </c>
      <c r="M31" s="10">
        <v>22</v>
      </c>
      <c r="N31" s="10" t="s">
        <v>236</v>
      </c>
      <c r="O31" s="10" t="s">
        <v>193</v>
      </c>
      <c r="P31" s="10"/>
      <c r="Q31" s="10">
        <v>2</v>
      </c>
      <c r="R31" s="10">
        <v>0</v>
      </c>
      <c r="S31" s="10">
        <v>0</v>
      </c>
      <c r="T31" s="10">
        <v>0</v>
      </c>
      <c r="U31" s="10"/>
      <c r="V31" s="10"/>
      <c r="W31" s="10"/>
      <c r="X31" s="10"/>
      <c r="Y31" s="76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/>
      <c r="AF31" s="76">
        <v>0</v>
      </c>
      <c r="AG31" s="10">
        <v>0</v>
      </c>
      <c r="AH31" s="10">
        <v>0</v>
      </c>
      <c r="AI31" s="10"/>
      <c r="AJ31" s="10"/>
      <c r="AK31" s="10"/>
      <c r="AL31" s="10"/>
      <c r="AM31" s="10">
        <v>0</v>
      </c>
      <c r="AN31" s="10">
        <v>0</v>
      </c>
      <c r="AO31" s="10">
        <v>0</v>
      </c>
      <c r="AP31" s="10"/>
      <c r="AQ31" s="10"/>
      <c r="AR31" s="10"/>
      <c r="AS31" s="10"/>
      <c r="AT31" s="76">
        <v>40</v>
      </c>
      <c r="AU31" s="10">
        <v>0</v>
      </c>
      <c r="AV31" s="10">
        <v>0</v>
      </c>
      <c r="AW31" s="10" t="s">
        <v>269</v>
      </c>
      <c r="AX31" s="10" t="str">
        <f t="shared" si="1"/>
        <v>ТТИ-А 40/5А 5ВА 0,5S</v>
      </c>
      <c r="AY31" s="10"/>
      <c r="AZ31">
        <v>6</v>
      </c>
      <c r="BA31" s="10">
        <v>0</v>
      </c>
      <c r="BB31" s="10">
        <v>0</v>
      </c>
      <c r="BC31" s="10">
        <v>0</v>
      </c>
      <c r="BD31" s="10"/>
      <c r="BE31" s="10"/>
      <c r="BF31" s="10"/>
      <c r="BG31" s="10"/>
      <c r="BH31" s="10">
        <v>0</v>
      </c>
      <c r="BI31" s="10">
        <v>0</v>
      </c>
      <c r="BJ31" s="10">
        <v>0</v>
      </c>
      <c r="BK31" s="10">
        <v>0</v>
      </c>
      <c r="BL31" s="10"/>
      <c r="BM31" s="10"/>
      <c r="BN31" s="10"/>
      <c r="BO31" s="10"/>
    </row>
    <row r="32" spans="6:67" x14ac:dyDescent="0.25">
      <c r="F32" s="37">
        <v>4</v>
      </c>
      <c r="G32" s="40">
        <v>38.5</v>
      </c>
      <c r="H32" s="41">
        <v>27</v>
      </c>
      <c r="K32" s="10">
        <v>6</v>
      </c>
      <c r="L32" s="10">
        <v>35</v>
      </c>
      <c r="M32" s="10">
        <v>24.5</v>
      </c>
      <c r="N32" s="10" t="s">
        <v>236</v>
      </c>
      <c r="O32" s="10" t="s">
        <v>193</v>
      </c>
      <c r="P32" s="10"/>
      <c r="Q32" s="10">
        <v>2</v>
      </c>
      <c r="R32" s="10">
        <v>0</v>
      </c>
      <c r="S32" s="10">
        <v>0</v>
      </c>
      <c r="T32" s="10">
        <v>0</v>
      </c>
      <c r="U32" s="10"/>
      <c r="V32" s="10"/>
      <c r="W32" s="10"/>
      <c r="X32" s="10"/>
      <c r="Y32" s="76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/>
      <c r="AF32" s="76">
        <v>0</v>
      </c>
      <c r="AG32" s="10">
        <v>0</v>
      </c>
      <c r="AH32" s="10">
        <v>0</v>
      </c>
      <c r="AI32" s="10"/>
      <c r="AJ32" s="10"/>
      <c r="AK32" s="10"/>
      <c r="AL32" s="10"/>
      <c r="AM32" s="10">
        <v>0</v>
      </c>
      <c r="AN32" s="10">
        <v>0</v>
      </c>
      <c r="AO32" s="10">
        <v>0</v>
      </c>
      <c r="AP32" s="10"/>
      <c r="AQ32" s="10"/>
      <c r="AR32" s="10"/>
      <c r="AS32" s="10"/>
      <c r="AT32" s="76">
        <v>30</v>
      </c>
      <c r="AU32" s="10">
        <v>0</v>
      </c>
      <c r="AV32" s="10">
        <v>0</v>
      </c>
      <c r="AW32" s="10" t="s">
        <v>269</v>
      </c>
      <c r="AX32" s="10" t="str">
        <f t="shared" si="1"/>
        <v>ТТИ-А 30/5А 5ВА 0,5S</v>
      </c>
      <c r="AY32" s="10"/>
      <c r="AZ32">
        <v>6</v>
      </c>
      <c r="BA32" s="10">
        <v>0</v>
      </c>
      <c r="BB32" s="10">
        <v>0</v>
      </c>
      <c r="BC32" s="10">
        <v>0</v>
      </c>
      <c r="BD32" s="10"/>
      <c r="BE32" s="10"/>
      <c r="BF32" s="10"/>
      <c r="BG32" s="10"/>
      <c r="BH32" s="10">
        <v>0</v>
      </c>
      <c r="BI32" s="10">
        <v>0</v>
      </c>
      <c r="BJ32" s="10">
        <v>0</v>
      </c>
      <c r="BK32" s="10">
        <v>0</v>
      </c>
      <c r="BL32" s="10"/>
      <c r="BM32" s="10"/>
      <c r="BN32" s="10"/>
      <c r="BO32" s="10"/>
    </row>
    <row r="33" spans="6:67" x14ac:dyDescent="0.25">
      <c r="F33" s="37">
        <v>2</v>
      </c>
      <c r="G33" s="40">
        <v>42</v>
      </c>
      <c r="H33" s="41">
        <v>29.5</v>
      </c>
      <c r="K33" s="10">
        <v>4</v>
      </c>
      <c r="L33" s="10">
        <v>38.5</v>
      </c>
      <c r="M33" s="10">
        <v>27</v>
      </c>
      <c r="N33" s="10" t="s">
        <v>236</v>
      </c>
      <c r="O33" s="10" t="s">
        <v>193</v>
      </c>
      <c r="P33" s="10"/>
      <c r="Q33" s="10">
        <v>2</v>
      </c>
      <c r="R33" s="10">
        <v>0</v>
      </c>
      <c r="S33" s="10">
        <v>0</v>
      </c>
      <c r="T33" s="10">
        <v>0</v>
      </c>
      <c r="U33" s="10"/>
      <c r="V33" s="10"/>
      <c r="W33" s="10"/>
      <c r="X33" s="10"/>
      <c r="Y33" s="76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/>
      <c r="AF33" s="76">
        <v>0</v>
      </c>
      <c r="AG33" s="10">
        <v>0</v>
      </c>
      <c r="AH33" s="10">
        <v>0</v>
      </c>
      <c r="AI33" s="10"/>
      <c r="AJ33" s="10"/>
      <c r="AK33" s="10"/>
      <c r="AL33" s="10"/>
      <c r="AM33" s="10">
        <v>0</v>
      </c>
      <c r="AN33" s="10">
        <v>0</v>
      </c>
      <c r="AO33" s="10">
        <v>0</v>
      </c>
      <c r="AP33" s="10"/>
      <c r="AQ33" s="10"/>
      <c r="AR33" s="10"/>
      <c r="AS33" s="10"/>
      <c r="AT33" s="76">
        <v>25</v>
      </c>
      <c r="AU33" s="10">
        <v>0</v>
      </c>
      <c r="AV33" s="10">
        <v>0</v>
      </c>
      <c r="AW33" s="10" t="s">
        <v>269</v>
      </c>
      <c r="AX33" s="10" t="str">
        <f t="shared" si="1"/>
        <v>ТТИ-А 25/5А 5ВА 0,5S</v>
      </c>
      <c r="AY33" s="10"/>
      <c r="AZ33">
        <v>6</v>
      </c>
      <c r="BA33" s="10">
        <v>0</v>
      </c>
      <c r="BB33" s="10">
        <v>0</v>
      </c>
      <c r="BC33" s="10">
        <v>0</v>
      </c>
      <c r="BD33" s="10"/>
      <c r="BE33" s="10"/>
      <c r="BF33" s="10"/>
      <c r="BG33" s="10"/>
      <c r="BH33" s="10">
        <v>0</v>
      </c>
      <c r="BI33" s="10">
        <v>0</v>
      </c>
      <c r="BJ33" s="10">
        <v>0</v>
      </c>
      <c r="BK33" s="10">
        <v>0</v>
      </c>
      <c r="BL33" s="10"/>
      <c r="BM33" s="10"/>
      <c r="BN33" s="10"/>
      <c r="BO33" s="10"/>
    </row>
    <row r="34" spans="6:67" x14ac:dyDescent="0.25">
      <c r="F34" s="37">
        <v>1.6</v>
      </c>
      <c r="G34" s="40">
        <v>45.5</v>
      </c>
      <c r="H34" s="41">
        <v>32</v>
      </c>
      <c r="K34" s="10">
        <v>2</v>
      </c>
      <c r="L34" s="10">
        <v>42</v>
      </c>
      <c r="M34" s="10">
        <v>29.5</v>
      </c>
      <c r="N34" s="10" t="s">
        <v>236</v>
      </c>
      <c r="O34" s="10" t="s">
        <v>193</v>
      </c>
      <c r="P34" s="10"/>
      <c r="Q34" s="10">
        <v>2</v>
      </c>
      <c r="R34" s="10">
        <v>0</v>
      </c>
      <c r="S34" s="10">
        <v>0</v>
      </c>
      <c r="T34" s="10">
        <v>0</v>
      </c>
      <c r="U34" s="10"/>
      <c r="V34" s="10"/>
      <c r="W34" s="10"/>
      <c r="X34" s="10"/>
      <c r="Y34" s="76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/>
      <c r="AF34" s="76">
        <v>0</v>
      </c>
      <c r="AG34" s="10">
        <v>0</v>
      </c>
      <c r="AH34" s="10">
        <v>0</v>
      </c>
      <c r="AI34" s="10"/>
      <c r="AJ34" s="10"/>
      <c r="AK34" s="10"/>
      <c r="AL34" s="10"/>
      <c r="AM34" s="10">
        <v>0</v>
      </c>
      <c r="AN34" s="10">
        <v>0</v>
      </c>
      <c r="AO34" s="10">
        <v>0</v>
      </c>
      <c r="AP34" s="10"/>
      <c r="AQ34" s="10"/>
      <c r="AR34" s="10"/>
      <c r="AS34" s="10"/>
      <c r="AT34" s="76">
        <v>20</v>
      </c>
      <c r="AU34" s="10">
        <v>0</v>
      </c>
      <c r="AV34" s="10">
        <v>0</v>
      </c>
      <c r="AW34" s="10" t="s">
        <v>269</v>
      </c>
      <c r="AX34" s="10" t="str">
        <f t="shared" si="1"/>
        <v>ТТИ-А 20/5А 5ВА 0,5S</v>
      </c>
      <c r="AY34" s="10"/>
      <c r="AZ34">
        <v>6</v>
      </c>
      <c r="BA34" s="10">
        <v>0</v>
      </c>
      <c r="BB34" s="10">
        <v>0</v>
      </c>
      <c r="BC34" s="10">
        <v>0</v>
      </c>
      <c r="BD34" s="10"/>
      <c r="BE34" s="10"/>
      <c r="BF34" s="10"/>
      <c r="BG34" s="10"/>
      <c r="BH34" s="10">
        <v>0</v>
      </c>
      <c r="BI34" s="10">
        <v>0</v>
      </c>
      <c r="BJ34" s="10">
        <v>0</v>
      </c>
      <c r="BK34" s="10">
        <v>0</v>
      </c>
      <c r="BL34" s="10"/>
      <c r="BM34" s="10"/>
      <c r="BN34" s="10"/>
      <c r="BO34" s="10"/>
    </row>
    <row r="35" spans="6:67" x14ac:dyDescent="0.25">
      <c r="F35" s="42">
        <v>1</v>
      </c>
      <c r="G35" s="40">
        <v>47.25</v>
      </c>
      <c r="H35" s="41">
        <v>33.25</v>
      </c>
      <c r="K35" s="10">
        <v>1.6</v>
      </c>
      <c r="L35" s="10">
        <v>45.5</v>
      </c>
      <c r="M35" s="10">
        <v>32</v>
      </c>
      <c r="N35" s="10" t="s">
        <v>236</v>
      </c>
      <c r="O35" s="10" t="s">
        <v>193</v>
      </c>
      <c r="P35" s="10"/>
      <c r="Q35" s="10">
        <v>2</v>
      </c>
      <c r="R35" s="10">
        <v>0</v>
      </c>
      <c r="S35" s="10">
        <v>0</v>
      </c>
      <c r="T35" s="10">
        <v>0</v>
      </c>
      <c r="U35" s="10"/>
      <c r="V35" s="10"/>
      <c r="W35" s="10"/>
      <c r="X35" s="10"/>
      <c r="Y35" s="76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/>
      <c r="AF35" s="76">
        <v>0</v>
      </c>
      <c r="AG35" s="10">
        <v>0</v>
      </c>
      <c r="AH35" s="10">
        <v>0</v>
      </c>
      <c r="AI35" s="10"/>
      <c r="AJ35" s="10"/>
      <c r="AK35" s="10"/>
      <c r="AL35" s="10"/>
      <c r="AM35" s="10">
        <v>0</v>
      </c>
      <c r="AN35" s="10">
        <v>0</v>
      </c>
      <c r="AO35" s="10">
        <v>0</v>
      </c>
      <c r="AP35" s="10"/>
      <c r="AQ35" s="10"/>
      <c r="AR35" s="10"/>
      <c r="AS35" s="10"/>
      <c r="AT35" s="76">
        <v>15</v>
      </c>
      <c r="AU35" s="10">
        <v>0</v>
      </c>
      <c r="AV35" s="10">
        <v>0</v>
      </c>
      <c r="AW35" s="10" t="s">
        <v>269</v>
      </c>
      <c r="AX35" s="10" t="str">
        <f t="shared" si="1"/>
        <v>ТТИ-А 15/5А 5ВА 0,5S</v>
      </c>
      <c r="AY35" s="10"/>
      <c r="AZ35">
        <v>6</v>
      </c>
      <c r="BA35" s="10">
        <v>0</v>
      </c>
      <c r="BB35" s="10">
        <v>0</v>
      </c>
      <c r="BC35" s="10">
        <v>0</v>
      </c>
      <c r="BD35" s="10"/>
      <c r="BE35" s="10"/>
      <c r="BF35" s="10"/>
      <c r="BG35" s="10"/>
      <c r="BH35" s="10">
        <v>0</v>
      </c>
      <c r="BI35" s="10">
        <v>0</v>
      </c>
      <c r="BJ35" s="10">
        <v>0</v>
      </c>
      <c r="BK35" s="10">
        <v>0</v>
      </c>
      <c r="BL35" s="10"/>
      <c r="BM35" s="10"/>
      <c r="BN35" s="10"/>
      <c r="BO35" s="10"/>
    </row>
    <row r="36" spans="6:67" ht="15.75" thickBot="1" x14ac:dyDescent="0.3">
      <c r="F36" s="43">
        <v>0.4</v>
      </c>
      <c r="G36" s="44">
        <v>49</v>
      </c>
      <c r="H36" s="45">
        <v>34.5</v>
      </c>
      <c r="K36" s="10">
        <v>1</v>
      </c>
      <c r="L36" s="10">
        <v>47.25</v>
      </c>
      <c r="M36" s="10">
        <v>33.25</v>
      </c>
      <c r="N36" s="10" t="s">
        <v>236</v>
      </c>
      <c r="O36" s="10" t="s">
        <v>193</v>
      </c>
      <c r="P36" s="10"/>
      <c r="Q36" s="10">
        <v>2</v>
      </c>
      <c r="R36" s="10">
        <v>0</v>
      </c>
      <c r="S36" s="10">
        <v>0</v>
      </c>
      <c r="T36" s="10">
        <v>0</v>
      </c>
      <c r="U36" s="10"/>
      <c r="V36" s="10"/>
      <c r="W36" s="10"/>
      <c r="X36" s="10"/>
      <c r="Y36" s="76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/>
      <c r="AF36" s="76">
        <v>0</v>
      </c>
      <c r="AG36" s="10">
        <v>0</v>
      </c>
      <c r="AH36" s="10">
        <v>0</v>
      </c>
      <c r="AI36" s="10"/>
      <c r="AJ36" s="10"/>
      <c r="AK36" s="10"/>
      <c r="AL36" s="10"/>
      <c r="AM36" s="10">
        <v>0</v>
      </c>
      <c r="AN36" s="10">
        <v>0</v>
      </c>
      <c r="AO36" s="10">
        <v>0</v>
      </c>
      <c r="AP36" s="10"/>
      <c r="AQ36" s="10"/>
      <c r="AR36" s="10"/>
      <c r="AS36" s="10"/>
      <c r="AT36" s="76">
        <v>10</v>
      </c>
      <c r="AU36" s="10">
        <v>0</v>
      </c>
      <c r="AV36" s="10">
        <v>0</v>
      </c>
      <c r="AW36" s="10" t="s">
        <v>269</v>
      </c>
      <c r="AX36" s="10" t="str">
        <f t="shared" si="1"/>
        <v>ТТИ-А 10/5А 5ВА 0,5S</v>
      </c>
      <c r="AY36" s="10"/>
      <c r="AZ36">
        <v>6</v>
      </c>
      <c r="BA36" s="10">
        <v>0</v>
      </c>
      <c r="BB36" s="10">
        <v>0</v>
      </c>
      <c r="BC36" s="10">
        <v>0</v>
      </c>
      <c r="BD36" s="10"/>
      <c r="BE36" s="10"/>
      <c r="BF36" s="10"/>
      <c r="BG36" s="10"/>
      <c r="BH36" s="10">
        <v>0</v>
      </c>
      <c r="BI36" s="10">
        <v>0</v>
      </c>
      <c r="BJ36" s="10">
        <v>0</v>
      </c>
      <c r="BK36" s="10">
        <v>0</v>
      </c>
      <c r="BL36" s="10"/>
      <c r="BM36" s="10"/>
      <c r="BN36" s="10"/>
      <c r="BO36" s="10"/>
    </row>
    <row r="37" spans="6:67" x14ac:dyDescent="0.25">
      <c r="K37" s="10">
        <v>0.4</v>
      </c>
      <c r="L37" s="10">
        <v>49</v>
      </c>
      <c r="M37" s="10">
        <v>34.5</v>
      </c>
      <c r="N37" s="10" t="s">
        <v>236</v>
      </c>
      <c r="O37" s="10" t="s">
        <v>193</v>
      </c>
      <c r="P37" s="10"/>
      <c r="Q37" s="10">
        <v>2</v>
      </c>
      <c r="R37" s="10">
        <v>0</v>
      </c>
      <c r="S37" s="10">
        <v>0</v>
      </c>
      <c r="T37" s="10">
        <v>0</v>
      </c>
      <c r="U37" s="10"/>
      <c r="V37" s="10"/>
      <c r="W37" s="10"/>
      <c r="X37" s="10"/>
      <c r="Y37" s="76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/>
      <c r="AF37" s="76">
        <v>0</v>
      </c>
      <c r="AG37" s="10">
        <v>0</v>
      </c>
      <c r="AH37" s="10">
        <v>0</v>
      </c>
      <c r="AI37" s="10"/>
      <c r="AJ37" s="10"/>
      <c r="AK37" s="10"/>
      <c r="AL37" s="10"/>
      <c r="AM37" s="10">
        <v>0</v>
      </c>
      <c r="AN37" s="10">
        <v>0</v>
      </c>
      <c r="AO37" s="10">
        <v>0</v>
      </c>
      <c r="AP37" s="10"/>
      <c r="AQ37" s="10"/>
      <c r="AR37" s="10"/>
      <c r="AS37" s="10"/>
      <c r="AT37" s="76">
        <v>5</v>
      </c>
      <c r="AU37" s="10">
        <v>0</v>
      </c>
      <c r="AV37" s="10">
        <v>0</v>
      </c>
      <c r="AW37" s="10" t="s">
        <v>269</v>
      </c>
      <c r="AX37" s="10" t="str">
        <f>"ТТИ-А "&amp;AT37&amp;"/5А 5ВА 0,5S"</f>
        <v>ТТИ-А 5/5А 5ВА 0,5S</v>
      </c>
      <c r="AY37" s="10"/>
      <c r="AZ37">
        <v>6</v>
      </c>
      <c r="BA37" s="10">
        <v>0</v>
      </c>
      <c r="BB37" s="10">
        <v>0</v>
      </c>
      <c r="BC37" s="10">
        <v>0</v>
      </c>
      <c r="BD37" s="10"/>
      <c r="BE37" s="10"/>
      <c r="BF37" s="10"/>
      <c r="BG37" s="10"/>
      <c r="BH37" s="10">
        <v>0</v>
      </c>
      <c r="BI37" s="10">
        <v>0</v>
      </c>
      <c r="BJ37" s="10">
        <v>0</v>
      </c>
      <c r="BK37" s="10">
        <v>0</v>
      </c>
      <c r="BL37" s="10"/>
      <c r="BM37" s="10"/>
      <c r="BN37" s="10"/>
      <c r="BO37" s="10"/>
    </row>
    <row r="38" spans="6:67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76">
        <v>0</v>
      </c>
      <c r="S38" s="10">
        <v>0</v>
      </c>
      <c r="T38" s="10">
        <v>0</v>
      </c>
      <c r="U38" s="10"/>
      <c r="V38" s="10"/>
      <c r="W38" s="10"/>
      <c r="X38" s="10"/>
      <c r="Y38" s="76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/>
      <c r="AF38" s="10">
        <v>0</v>
      </c>
      <c r="AG38" s="10">
        <v>0</v>
      </c>
      <c r="AH38" s="10">
        <v>0</v>
      </c>
      <c r="AI38" s="10"/>
      <c r="AJ38" s="10"/>
      <c r="AK38" s="10"/>
      <c r="AL38" s="10"/>
      <c r="AM38" s="10">
        <v>0</v>
      </c>
      <c r="AN38" s="76">
        <v>0</v>
      </c>
      <c r="AO38" s="10">
        <v>0</v>
      </c>
      <c r="AP38" s="10"/>
      <c r="AQ38" s="10"/>
      <c r="AR38" s="10"/>
      <c r="AS38" s="10"/>
      <c r="AT38" s="10">
        <v>0</v>
      </c>
      <c r="AU38" s="76">
        <v>0</v>
      </c>
      <c r="AV38" s="10">
        <v>0</v>
      </c>
      <c r="AW38" s="10"/>
      <c r="AX38" s="10"/>
      <c r="AY38" s="10"/>
      <c r="AZ38" s="10"/>
      <c r="BA38" s="10">
        <v>0</v>
      </c>
      <c r="BB38" s="76">
        <v>0</v>
      </c>
      <c r="BC38" s="10">
        <v>0</v>
      </c>
      <c r="BD38" s="10"/>
      <c r="BE38" s="10"/>
      <c r="BF38" s="10"/>
      <c r="BG38" s="10"/>
      <c r="BH38" s="10">
        <v>0</v>
      </c>
      <c r="BI38" s="10">
        <v>0</v>
      </c>
      <c r="BJ38" s="10">
        <v>0</v>
      </c>
      <c r="BK38" s="10">
        <v>0</v>
      </c>
      <c r="BL38" s="10"/>
      <c r="BM38" s="10"/>
      <c r="BN38" s="10"/>
      <c r="BO38" s="10"/>
    </row>
    <row r="41" spans="6:67" ht="15.75" thickBot="1" x14ac:dyDescent="0.3"/>
    <row r="42" spans="6:67" ht="15.75" thickBot="1" x14ac:dyDescent="0.3">
      <c r="F42" s="82" t="s">
        <v>195</v>
      </c>
      <c r="G42" s="83"/>
      <c r="H42" s="84"/>
    </row>
    <row r="43" spans="6:67" ht="31.5" x14ac:dyDescent="0.25">
      <c r="F43" s="46" t="s">
        <v>113</v>
      </c>
      <c r="G43" s="47" t="s">
        <v>114</v>
      </c>
      <c r="H43" s="48" t="s">
        <v>115</v>
      </c>
    </row>
    <row r="44" spans="6:67" x14ac:dyDescent="0.25">
      <c r="F44" s="37">
        <v>125</v>
      </c>
      <c r="G44" s="38"/>
      <c r="H44" s="39"/>
    </row>
    <row r="45" spans="6:67" x14ac:dyDescent="0.25">
      <c r="F45" s="37">
        <v>100</v>
      </c>
      <c r="G45" s="38"/>
      <c r="H45" s="39"/>
    </row>
    <row r="46" spans="6:67" x14ac:dyDescent="0.25">
      <c r="F46" s="37">
        <v>63</v>
      </c>
      <c r="G46" s="38"/>
      <c r="H46" s="39"/>
    </row>
    <row r="47" spans="6:67" x14ac:dyDescent="0.25">
      <c r="F47" s="37">
        <v>40</v>
      </c>
      <c r="G47" s="38"/>
      <c r="H47" s="39"/>
    </row>
    <row r="48" spans="6:67" x14ac:dyDescent="0.25">
      <c r="F48" s="37">
        <v>32</v>
      </c>
      <c r="G48" s="38"/>
      <c r="H48" s="39"/>
    </row>
    <row r="49" spans="6:8" x14ac:dyDescent="0.25">
      <c r="F49" s="37">
        <v>25</v>
      </c>
      <c r="G49" s="38"/>
      <c r="H49" s="39"/>
    </row>
    <row r="50" spans="6:8" x14ac:dyDescent="0.25">
      <c r="F50" s="37">
        <v>20</v>
      </c>
      <c r="G50" s="38"/>
      <c r="H50" s="39"/>
    </row>
    <row r="61" spans="6:8" x14ac:dyDescent="0.25">
      <c r="G61" t="s">
        <v>163</v>
      </c>
      <c r="H61">
        <f>INDEX(BD!$Z$7:$Z$11974,MATCH(BH24,BD!$Z$7:$Z$11974,-1))</f>
        <v>0</v>
      </c>
    </row>
    <row r="63" spans="6:8" x14ac:dyDescent="0.25">
      <c r="H63" t="e">
        <f>MATCH(G61,K4:BO4,0)</f>
        <v>#N/A</v>
      </c>
    </row>
    <row r="65" spans="7:7" x14ac:dyDescent="0.25">
      <c r="G65" t="e">
        <f>HLOOKUP(G61,K4:BO13,2,FALSE)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O3"/>
  </mergeCells>
  <phoneticPr fontId="12" type="noConversion"/>
  <conditionalFormatting sqref="K6:M37 R13:W37 R6:T12 V6:AA6 AF6:AX6 V7:W12 X7:AA37 AF7:AY37 BA6:BI37 BL6:BO37">
    <cfRule type="cellIs" dxfId="30" priority="22" operator="equal">
      <formula>0</formula>
    </cfRule>
  </conditionalFormatting>
  <conditionalFormatting sqref="K38:M38 R38:AA38 AF38:AG38">
    <cfRule type="cellIs" dxfId="29" priority="21" operator="equal">
      <formula>0</formula>
    </cfRule>
  </conditionalFormatting>
  <conditionalFormatting sqref="AH38:AN38">
    <cfRule type="cellIs" dxfId="28" priority="20" operator="equal">
      <formula>0</formula>
    </cfRule>
  </conditionalFormatting>
  <conditionalFormatting sqref="AO38:BI38 BL38:BO38">
    <cfRule type="cellIs" dxfId="27" priority="19" operator="equal">
      <formula>0</formula>
    </cfRule>
  </conditionalFormatting>
  <conditionalFormatting sqref="N6:Q37">
    <cfRule type="cellIs" dxfId="26" priority="18" operator="equal">
      <formula>0</formula>
    </cfRule>
  </conditionalFormatting>
  <conditionalFormatting sqref="N38:Q38">
    <cfRule type="cellIs" dxfId="25" priority="17" operator="equal">
      <formula>0</formula>
    </cfRule>
  </conditionalFormatting>
  <conditionalFormatting sqref="AB6:AC15">
    <cfRule type="cellIs" dxfId="24" priority="16" operator="equal">
      <formula>0</formula>
    </cfRule>
  </conditionalFormatting>
  <conditionalFormatting sqref="AD38:AE38">
    <cfRule type="cellIs" dxfId="23" priority="15" operator="equal">
      <formula>0</formula>
    </cfRule>
  </conditionalFormatting>
  <conditionalFormatting sqref="AB16:AB37">
    <cfRule type="cellIs" dxfId="22" priority="14" operator="equal">
      <formula>0</formula>
    </cfRule>
  </conditionalFormatting>
  <conditionalFormatting sqref="AB38">
    <cfRule type="cellIs" dxfId="21" priority="13" operator="equal">
      <formula>0</formula>
    </cfRule>
  </conditionalFormatting>
  <conditionalFormatting sqref="AC16:AC37">
    <cfRule type="cellIs" dxfId="20" priority="12" operator="equal">
      <formula>0</formula>
    </cfRule>
  </conditionalFormatting>
  <conditionalFormatting sqref="AC38">
    <cfRule type="cellIs" dxfId="19" priority="11" operator="equal">
      <formula>0</formula>
    </cfRule>
  </conditionalFormatting>
  <conditionalFormatting sqref="AD6:AE6 AD7 AE7:AE15">
    <cfRule type="cellIs" dxfId="18" priority="10" operator="equal">
      <formula>0</formula>
    </cfRule>
  </conditionalFormatting>
  <conditionalFormatting sqref="AD8:AD11">
    <cfRule type="cellIs" dxfId="17" priority="9" operator="equal">
      <formula>0</formula>
    </cfRule>
  </conditionalFormatting>
  <conditionalFormatting sqref="AD12:AD14">
    <cfRule type="cellIs" dxfId="16" priority="8" operator="equal">
      <formula>0</formula>
    </cfRule>
  </conditionalFormatting>
  <conditionalFormatting sqref="AD16:AE36 AD15">
    <cfRule type="cellIs" dxfId="15" priority="7" operator="equal">
      <formula>0</formula>
    </cfRule>
  </conditionalFormatting>
  <conditionalFormatting sqref="AD37:AE37">
    <cfRule type="cellIs" dxfId="14" priority="6" operator="equal">
      <formula>0</formula>
    </cfRule>
  </conditionalFormatting>
  <conditionalFormatting sqref="BJ6:BJ37">
    <cfRule type="cellIs" dxfId="13" priority="5" operator="equal">
      <formula>0</formula>
    </cfRule>
  </conditionalFormatting>
  <conditionalFormatting sqref="BJ38">
    <cfRule type="cellIs" dxfId="12" priority="4" operator="equal">
      <formula>0</formula>
    </cfRule>
  </conditionalFormatting>
  <conditionalFormatting sqref="BK6:BK37">
    <cfRule type="cellIs" dxfId="11" priority="3" operator="equal">
      <formula>0</formula>
    </cfRule>
  </conditionalFormatting>
  <conditionalFormatting sqref="BK38">
    <cfRule type="cellIs" dxfId="10" priority="2" operator="equal">
      <formula>0</formula>
    </cfRule>
  </conditionalFormatting>
  <conditionalFormatting sqref="U6:U12">
    <cfRule type="cellIs" dxfId="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87" t="s">
        <v>149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9"/>
    </row>
    <row r="3" spans="2:34" ht="23.25" thickBot="1" x14ac:dyDescent="0.3">
      <c r="B3" s="55" t="s">
        <v>145</v>
      </c>
      <c r="C3" s="54" t="s">
        <v>154</v>
      </c>
      <c r="D3" s="54" t="s">
        <v>155</v>
      </c>
      <c r="E3" s="54" t="s">
        <v>156</v>
      </c>
      <c r="F3" s="54" t="s">
        <v>157</v>
      </c>
      <c r="G3" s="54" t="s">
        <v>158</v>
      </c>
      <c r="H3" s="54" t="s">
        <v>159</v>
      </c>
      <c r="I3" s="54" t="s">
        <v>160</v>
      </c>
      <c r="J3" s="54" t="s">
        <v>161</v>
      </c>
      <c r="K3" s="54" t="s">
        <v>162</v>
      </c>
      <c r="L3" s="54" t="s">
        <v>163</v>
      </c>
      <c r="M3" s="54" t="s">
        <v>164</v>
      </c>
      <c r="N3" s="54" t="s">
        <v>165</v>
      </c>
      <c r="O3" s="54" t="s">
        <v>166</v>
      </c>
      <c r="P3" s="54" t="s">
        <v>167</v>
      </c>
      <c r="Q3" s="54" t="s">
        <v>168</v>
      </c>
      <c r="R3" s="54" t="s">
        <v>169</v>
      </c>
      <c r="S3" s="54" t="s">
        <v>170</v>
      </c>
      <c r="T3" s="54" t="s">
        <v>171</v>
      </c>
      <c r="U3" s="54" t="s">
        <v>172</v>
      </c>
      <c r="V3" s="54" t="s">
        <v>173</v>
      </c>
      <c r="W3" s="54" t="s">
        <v>174</v>
      </c>
      <c r="X3" s="54" t="s">
        <v>175</v>
      </c>
      <c r="Y3" s="54" t="s">
        <v>176</v>
      </c>
      <c r="Z3" s="54" t="s">
        <v>177</v>
      </c>
      <c r="AA3" s="54" t="s">
        <v>178</v>
      </c>
      <c r="AB3" s="54" t="s">
        <v>179</v>
      </c>
      <c r="AC3" s="54" t="s">
        <v>180</v>
      </c>
      <c r="AD3" s="54" t="s">
        <v>181</v>
      </c>
      <c r="AE3" s="54" t="s">
        <v>182</v>
      </c>
      <c r="AF3" s="54" t="s">
        <v>183</v>
      </c>
      <c r="AG3" s="54" t="s">
        <v>184</v>
      </c>
      <c r="AH3" s="54" t="s">
        <v>185</v>
      </c>
    </row>
    <row r="4" spans="2:34" ht="23.25" thickBot="1" x14ac:dyDescent="0.3">
      <c r="B4" s="55" t="s">
        <v>186</v>
      </c>
      <c r="C4" s="56" t="str">
        <f>ADDRESS(ROW()+1,COLUMN())&amp;":"&amp;ADDRESS(100,COLUMN())</f>
        <v>$C$5:$C$100</v>
      </c>
      <c r="D4" s="56" t="str">
        <f t="shared" ref="D4:AH4" si="0">ADDRESS(ROW()+1,COLUMN())&amp;":"&amp;ADDRESS(100,COLUMN())</f>
        <v>$D$5:$D$100</v>
      </c>
      <c r="E4" s="56" t="str">
        <f t="shared" si="0"/>
        <v>$E$5:$E$100</v>
      </c>
      <c r="F4" s="56" t="str">
        <f t="shared" si="0"/>
        <v>$F$5:$F$100</v>
      </c>
      <c r="G4" s="56" t="str">
        <f t="shared" si="0"/>
        <v>$G$5:$G$100</v>
      </c>
      <c r="H4" s="56" t="str">
        <f t="shared" si="0"/>
        <v>$H$5:$H$100</v>
      </c>
      <c r="I4" s="56" t="str">
        <f t="shared" si="0"/>
        <v>$I$5:$I$100</v>
      </c>
      <c r="J4" s="56" t="str">
        <f t="shared" si="0"/>
        <v>$J$5:$J$100</v>
      </c>
      <c r="K4" s="56" t="str">
        <f t="shared" si="0"/>
        <v>$K$5:$K$100</v>
      </c>
      <c r="L4" s="56" t="str">
        <f t="shared" si="0"/>
        <v>$L$5:$L$100</v>
      </c>
      <c r="M4" s="56" t="str">
        <f t="shared" si="0"/>
        <v>$M$5:$M$100</v>
      </c>
      <c r="N4" s="56" t="str">
        <f t="shared" si="0"/>
        <v>$N$5:$N$100</v>
      </c>
      <c r="O4" s="56" t="str">
        <f t="shared" si="0"/>
        <v>$O$5:$O$100</v>
      </c>
      <c r="P4" s="56" t="str">
        <f t="shared" si="0"/>
        <v>$P$5:$P$100</v>
      </c>
      <c r="Q4" s="56" t="str">
        <f t="shared" si="0"/>
        <v>$Q$5:$Q$100</v>
      </c>
      <c r="R4" s="56" t="str">
        <f t="shared" si="0"/>
        <v>$R$5:$R$100</v>
      </c>
      <c r="S4" s="56" t="str">
        <f t="shared" si="0"/>
        <v>$S$5:$S$100</v>
      </c>
      <c r="T4" s="56" t="str">
        <f t="shared" si="0"/>
        <v>$T$5:$T$100</v>
      </c>
      <c r="U4" s="56" t="str">
        <f t="shared" si="0"/>
        <v>$U$5:$U$100</v>
      </c>
      <c r="V4" s="56" t="str">
        <f t="shared" si="0"/>
        <v>$V$5:$V$100</v>
      </c>
      <c r="W4" s="56" t="str">
        <f t="shared" si="0"/>
        <v>$W$5:$W$100</v>
      </c>
      <c r="X4" s="56" t="str">
        <f t="shared" si="0"/>
        <v>$X$5:$X$100</v>
      </c>
      <c r="Y4" s="56" t="str">
        <f t="shared" si="0"/>
        <v>$Y$5:$Y$100</v>
      </c>
      <c r="Z4" s="56" t="str">
        <f t="shared" si="0"/>
        <v>$Z$5:$Z$100</v>
      </c>
      <c r="AA4" s="56" t="str">
        <f t="shared" si="0"/>
        <v>$AA$5:$AA$100</v>
      </c>
      <c r="AB4" s="56" t="str">
        <f t="shared" si="0"/>
        <v>$AB$5:$AB$100</v>
      </c>
      <c r="AC4" s="56" t="str">
        <f t="shared" si="0"/>
        <v>$AC$5:$AC$100</v>
      </c>
      <c r="AD4" s="56" t="str">
        <f t="shared" si="0"/>
        <v>$AD$5:$AD$100</v>
      </c>
      <c r="AE4" s="56" t="str">
        <f t="shared" si="0"/>
        <v>$AE$5:$AE$100</v>
      </c>
      <c r="AF4" s="56" t="str">
        <f t="shared" si="0"/>
        <v>$AF$5:$AF$100</v>
      </c>
      <c r="AG4" s="56" t="str">
        <f t="shared" si="0"/>
        <v>$AG$5:$AG$100</v>
      </c>
      <c r="AH4" s="56" t="str">
        <f t="shared" si="0"/>
        <v>$AH$5:$AH$100</v>
      </c>
    </row>
    <row r="5" spans="2:34" x14ac:dyDescent="0.25">
      <c r="B5" s="10">
        <v>0</v>
      </c>
      <c r="C5" s="10" t="s">
        <v>153</v>
      </c>
      <c r="D5" s="10" t="s">
        <v>153</v>
      </c>
      <c r="E5" s="10" t="s">
        <v>153</v>
      </c>
      <c r="F5" s="10">
        <v>100000</v>
      </c>
      <c r="G5" s="10" t="s">
        <v>153</v>
      </c>
      <c r="H5" s="10" t="s">
        <v>153</v>
      </c>
      <c r="I5" s="10" t="s">
        <v>153</v>
      </c>
      <c r="J5" s="10">
        <v>100000</v>
      </c>
      <c r="K5" s="10">
        <v>0</v>
      </c>
      <c r="L5" s="10" t="s">
        <v>153</v>
      </c>
      <c r="M5" s="10" t="s">
        <v>153</v>
      </c>
      <c r="N5" s="10">
        <v>100000</v>
      </c>
      <c r="O5" s="10" t="s">
        <v>153</v>
      </c>
      <c r="P5" s="10" t="s">
        <v>153</v>
      </c>
      <c r="Q5" s="10" t="s">
        <v>153</v>
      </c>
      <c r="R5" s="10">
        <v>100000</v>
      </c>
      <c r="S5" s="10" t="s">
        <v>153</v>
      </c>
      <c r="T5" s="10" t="s">
        <v>153</v>
      </c>
      <c r="U5" s="10" t="s">
        <v>153</v>
      </c>
      <c r="V5" s="10">
        <v>100000</v>
      </c>
      <c r="W5" s="10" t="s">
        <v>153</v>
      </c>
      <c r="X5" s="10" t="s">
        <v>153</v>
      </c>
      <c r="Y5" s="10" t="s">
        <v>153</v>
      </c>
      <c r="Z5" s="10">
        <v>100000</v>
      </c>
      <c r="AA5" s="10" t="s">
        <v>153</v>
      </c>
      <c r="AB5" s="10" t="s">
        <v>153</v>
      </c>
      <c r="AC5" s="10" t="s">
        <v>153</v>
      </c>
      <c r="AD5" s="10">
        <v>100000</v>
      </c>
      <c r="AE5" s="10" t="s">
        <v>153</v>
      </c>
      <c r="AF5" s="10" t="s">
        <v>153</v>
      </c>
      <c r="AG5" s="10" t="s">
        <v>153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153</v>
      </c>
      <c r="T6" s="10" t="s">
        <v>153</v>
      </c>
      <c r="U6" s="10" t="s">
        <v>153</v>
      </c>
      <c r="V6" s="10" t="s">
        <v>153</v>
      </c>
      <c r="W6" s="10" t="s">
        <v>153</v>
      </c>
      <c r="X6" s="10" t="s">
        <v>153</v>
      </c>
      <c r="Y6" s="10" t="s">
        <v>153</v>
      </c>
      <c r="Z6" s="10" t="s">
        <v>153</v>
      </c>
      <c r="AA6" s="10" t="s">
        <v>153</v>
      </c>
      <c r="AB6" s="10" t="s">
        <v>153</v>
      </c>
      <c r="AC6" s="10" t="s">
        <v>153</v>
      </c>
      <c r="AD6" s="10" t="s">
        <v>153</v>
      </c>
      <c r="AE6" s="10" t="s">
        <v>153</v>
      </c>
      <c r="AF6" s="10" t="s">
        <v>153</v>
      </c>
      <c r="AG6" s="10" t="s">
        <v>153</v>
      </c>
      <c r="AH6" s="10" t="s">
        <v>153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90" t="s">
        <v>105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</row>
    <row r="2" spans="1:18" ht="35.25" customHeight="1" thickBot="1" x14ac:dyDescent="0.3">
      <c r="A2" s="34"/>
      <c r="B2" s="13" t="s">
        <v>106</v>
      </c>
      <c r="C2" s="91" t="s">
        <v>107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2"/>
    </row>
    <row r="3" spans="1:18" x14ac:dyDescent="0.25">
      <c r="A3" s="22"/>
      <c r="B3" s="29"/>
      <c r="C3" s="26">
        <v>0</v>
      </c>
      <c r="D3" s="15">
        <v>1</v>
      </c>
      <c r="E3" s="15">
        <f>1*5</f>
        <v>5</v>
      </c>
      <c r="F3" s="15">
        <v>6</v>
      </c>
      <c r="G3" s="15">
        <v>9</v>
      </c>
      <c r="H3" s="15">
        <v>12</v>
      </c>
      <c r="I3" s="15">
        <v>15</v>
      </c>
      <c r="J3" s="15">
        <v>18</v>
      </c>
      <c r="K3" s="15">
        <v>24</v>
      </c>
      <c r="L3" s="15">
        <v>40</v>
      </c>
      <c r="M3" s="15">
        <v>60</v>
      </c>
      <c r="N3" s="15">
        <v>100</v>
      </c>
      <c r="O3" s="15">
        <v>200</v>
      </c>
      <c r="P3" s="15">
        <v>400</v>
      </c>
      <c r="Q3" s="15">
        <v>600</v>
      </c>
      <c r="R3" s="16">
        <v>1000</v>
      </c>
    </row>
    <row r="4" spans="1:18" ht="15.75" thickBot="1" x14ac:dyDescent="0.3">
      <c r="A4" s="23" t="s">
        <v>132</v>
      </c>
      <c r="B4" s="30" t="s">
        <v>108</v>
      </c>
      <c r="C4" s="27">
        <v>4.5</v>
      </c>
      <c r="D4" s="18">
        <v>4.5</v>
      </c>
      <c r="E4" s="18">
        <v>4.5</v>
      </c>
      <c r="F4" s="18">
        <v>2.8</v>
      </c>
      <c r="G4" s="18">
        <v>2.2999999999999998</v>
      </c>
      <c r="H4" s="18">
        <v>2</v>
      </c>
      <c r="I4" s="18">
        <v>1.8</v>
      </c>
      <c r="J4" s="18">
        <v>1.65</v>
      </c>
      <c r="K4" s="18">
        <v>1.4</v>
      </c>
      <c r="L4" s="18">
        <v>1.2</v>
      </c>
      <c r="M4" s="18">
        <v>1.05</v>
      </c>
      <c r="N4" s="18">
        <v>0.85</v>
      </c>
      <c r="O4" s="18">
        <v>0.77</v>
      </c>
      <c r="P4" s="18">
        <v>0.71</v>
      </c>
      <c r="Q4" s="18">
        <v>0.69</v>
      </c>
      <c r="R4" s="19">
        <v>0.67</v>
      </c>
    </row>
    <row r="5" spans="1:18" x14ac:dyDescent="0.25">
      <c r="A5" s="22"/>
      <c r="B5" s="29"/>
      <c r="C5" s="26">
        <v>0</v>
      </c>
      <c r="D5" s="15">
        <v>1</v>
      </c>
      <c r="E5" s="15">
        <f>1*5</f>
        <v>5</v>
      </c>
      <c r="F5" s="15">
        <v>6</v>
      </c>
      <c r="G5" s="15">
        <v>9</v>
      </c>
      <c r="H5" s="15">
        <v>12</v>
      </c>
      <c r="I5" s="15">
        <v>15</v>
      </c>
      <c r="J5" s="15">
        <v>18</v>
      </c>
      <c r="K5" s="15">
        <v>24</v>
      </c>
      <c r="L5" s="15">
        <v>40</v>
      </c>
      <c r="M5" s="15">
        <v>60</v>
      </c>
      <c r="N5" s="15">
        <v>100</v>
      </c>
      <c r="O5" s="15">
        <v>200</v>
      </c>
      <c r="P5" s="15">
        <v>400</v>
      </c>
      <c r="Q5" s="15">
        <v>600</v>
      </c>
      <c r="R5" s="16">
        <v>1000</v>
      </c>
    </row>
    <row r="6" spans="1:18" ht="39" thickBot="1" x14ac:dyDescent="0.3">
      <c r="A6" s="23" t="s">
        <v>133</v>
      </c>
      <c r="B6" s="30" t="s">
        <v>109</v>
      </c>
      <c r="C6" s="27">
        <v>6</v>
      </c>
      <c r="D6" s="18">
        <v>6</v>
      </c>
      <c r="E6" s="18">
        <v>6</v>
      </c>
      <c r="F6" s="18">
        <v>3.4</v>
      </c>
      <c r="G6" s="18">
        <v>2.9</v>
      </c>
      <c r="H6" s="18">
        <v>2.5</v>
      </c>
      <c r="I6" s="18">
        <v>2.2000000000000002</v>
      </c>
      <c r="J6" s="18">
        <v>2</v>
      </c>
      <c r="K6" s="18">
        <v>1.8</v>
      </c>
      <c r="L6" s="18">
        <v>1.4</v>
      </c>
      <c r="M6" s="18">
        <v>1.3</v>
      </c>
      <c r="N6" s="18">
        <v>1.08</v>
      </c>
      <c r="O6" s="18">
        <v>1</v>
      </c>
      <c r="P6" s="18">
        <v>0.92</v>
      </c>
      <c r="Q6" s="18">
        <v>0.84</v>
      </c>
      <c r="R6" s="19">
        <v>0.76</v>
      </c>
    </row>
    <row r="7" spans="1:18" x14ac:dyDescent="0.25">
      <c r="A7" s="25"/>
      <c r="B7" s="32"/>
      <c r="C7" s="26">
        <v>0</v>
      </c>
      <c r="D7" s="15">
        <v>1</v>
      </c>
      <c r="E7" s="15">
        <f>1*5</f>
        <v>5</v>
      </c>
      <c r="F7" s="15">
        <v>6</v>
      </c>
      <c r="G7" s="15">
        <v>9</v>
      </c>
      <c r="H7" s="15">
        <v>12</v>
      </c>
      <c r="I7" s="15">
        <v>15</v>
      </c>
      <c r="J7" s="15">
        <v>18</v>
      </c>
      <c r="K7" s="15">
        <v>24</v>
      </c>
      <c r="L7" s="15">
        <v>40</v>
      </c>
      <c r="M7" s="15">
        <v>60</v>
      </c>
      <c r="N7" s="15">
        <v>100</v>
      </c>
      <c r="O7" s="15">
        <v>200</v>
      </c>
      <c r="P7" s="15">
        <v>400</v>
      </c>
      <c r="Q7" s="15">
        <v>600</v>
      </c>
      <c r="R7" s="16">
        <v>1000</v>
      </c>
    </row>
    <row r="8" spans="1:18" ht="26.25" thickBot="1" x14ac:dyDescent="0.3">
      <c r="A8" s="24" t="s">
        <v>134</v>
      </c>
      <c r="B8" s="31" t="s">
        <v>110</v>
      </c>
      <c r="C8" s="28">
        <v>10</v>
      </c>
      <c r="D8" s="20">
        <v>10</v>
      </c>
      <c r="E8" s="20">
        <v>10</v>
      </c>
      <c r="F8" s="20">
        <v>5.0999999999999996</v>
      </c>
      <c r="G8" s="20">
        <v>3.8</v>
      </c>
      <c r="H8" s="20">
        <v>3.2</v>
      </c>
      <c r="I8" s="20">
        <v>2.8</v>
      </c>
      <c r="J8" s="20">
        <v>2.6</v>
      </c>
      <c r="K8" s="20">
        <v>2.2000000000000002</v>
      </c>
      <c r="L8" s="20">
        <v>1.95</v>
      </c>
      <c r="M8" s="20">
        <v>1.7</v>
      </c>
      <c r="N8" s="20">
        <v>1.5</v>
      </c>
      <c r="O8" s="20">
        <v>1.36</v>
      </c>
      <c r="P8" s="20">
        <v>1.27</v>
      </c>
      <c r="Q8" s="20">
        <v>1.23</v>
      </c>
      <c r="R8" s="21">
        <v>1.19</v>
      </c>
    </row>
    <row r="9" spans="1:18" x14ac:dyDescent="0.25">
      <c r="A9" s="25"/>
      <c r="B9" s="32"/>
      <c r="C9" s="26">
        <v>0</v>
      </c>
      <c r="D9" s="15">
        <v>1</v>
      </c>
      <c r="E9" s="15">
        <f>1*5</f>
        <v>5</v>
      </c>
      <c r="F9" s="15">
        <v>6</v>
      </c>
      <c r="G9" s="15">
        <v>9</v>
      </c>
      <c r="H9" s="15">
        <v>12</v>
      </c>
      <c r="I9" s="15">
        <v>15</v>
      </c>
      <c r="J9" s="15">
        <v>18</v>
      </c>
      <c r="K9" s="15">
        <v>24</v>
      </c>
      <c r="L9" s="15">
        <v>40</v>
      </c>
      <c r="M9" s="15">
        <v>60</v>
      </c>
      <c r="N9" s="15">
        <v>100</v>
      </c>
      <c r="O9" s="15">
        <v>200</v>
      </c>
      <c r="P9" s="15">
        <v>400</v>
      </c>
      <c r="Q9" s="15">
        <v>600</v>
      </c>
      <c r="R9" s="16">
        <v>1000</v>
      </c>
    </row>
    <row r="10" spans="1:18" ht="26.25" thickBot="1" x14ac:dyDescent="0.3">
      <c r="A10" s="23" t="s">
        <v>135</v>
      </c>
      <c r="B10" s="33" t="s">
        <v>111</v>
      </c>
      <c r="C10" s="27">
        <v>4</v>
      </c>
      <c r="D10" s="18">
        <v>4</v>
      </c>
      <c r="E10" s="18">
        <v>4</v>
      </c>
      <c r="F10" s="18">
        <v>2.2999999999999998</v>
      </c>
      <c r="G10" s="18">
        <v>1.7</v>
      </c>
      <c r="H10" s="18">
        <v>1.4</v>
      </c>
      <c r="I10" s="18">
        <v>1.2</v>
      </c>
      <c r="J10" s="18">
        <v>1.1000000000000001</v>
      </c>
      <c r="K10" s="18">
        <v>0.9</v>
      </c>
      <c r="L10" s="18">
        <v>0.76</v>
      </c>
      <c r="M10" s="18">
        <v>0.69</v>
      </c>
      <c r="N10" s="18">
        <v>0.61</v>
      </c>
      <c r="O10" s="18">
        <v>0.57999999999999996</v>
      </c>
      <c r="P10" s="18">
        <v>0.54</v>
      </c>
      <c r="Q10" s="18">
        <v>0.51</v>
      </c>
      <c r="R10" s="19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93" t="s">
        <v>94</v>
      </c>
      <c r="E1" s="93"/>
      <c r="F1" s="93"/>
      <c r="G1" s="93"/>
      <c r="H1" s="93"/>
    </row>
    <row r="2" spans="2:9" x14ac:dyDescent="0.25">
      <c r="D2" s="93"/>
      <c r="E2" s="93"/>
      <c r="F2" s="93"/>
      <c r="G2" s="93"/>
      <c r="H2" s="93"/>
    </row>
    <row r="3" spans="2:9" x14ac:dyDescent="0.25">
      <c r="C3" t="s">
        <v>81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80</v>
      </c>
      <c r="D5" t="s">
        <v>9</v>
      </c>
      <c r="E5" t="s">
        <v>5</v>
      </c>
      <c r="F5" t="s">
        <v>6</v>
      </c>
      <c r="G5" t="s">
        <v>74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94" t="s">
        <v>94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</row>
    <row r="9" spans="5:16" x14ac:dyDescent="0.25"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</row>
    <row r="10" spans="5:16" x14ac:dyDescent="0.25"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</row>
    <row r="11" spans="5:16" x14ac:dyDescent="0.25"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</row>
    <row r="12" spans="5:16" x14ac:dyDescent="0.25"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</row>
    <row r="13" spans="5:16" x14ac:dyDescent="0.25"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</row>
    <row r="14" spans="5:16" x14ac:dyDescent="0.25"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</row>
    <row r="15" spans="5:16" x14ac:dyDescent="0.25"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</row>
    <row r="16" spans="5:16" x14ac:dyDescent="0.25"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</row>
    <row r="17" spans="5:16" x14ac:dyDescent="0.25"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</row>
    <row r="18" spans="5:16" x14ac:dyDescent="0.25"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</row>
    <row r="19" spans="5:16" x14ac:dyDescent="0.25"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</row>
    <row r="20" spans="5:16" x14ac:dyDescent="0.25"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</row>
    <row r="21" spans="5:16" x14ac:dyDescent="0.25"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</row>
    <row r="22" spans="5:16" x14ac:dyDescent="0.25"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51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&lt;workbook&gt;SET</vt:lpstr>
      <vt:lpstr>&lt;zall&gt;DEVEXPORT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2024-01-19T12:35:18Z</dcterms:modified>
</cp:coreProperties>
</file>