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C0828DFF-3455-41E5-B369-7029AA9ADC08}" xr6:coauthVersionLast="45" xr6:coauthVersionMax="45" xr10:uidLastSave="{00000000-0000-0000-0000-000000000000}"/>
  <bookViews>
    <workbookView xWindow="-120" yWindow="-120" windowWidth="51840" windowHeight="21240" firstSheet="5" activeTab="15" xr2:uid="{456AB35E-0355-4F16-B1D8-5CF582B696FE}"/>
  </bookViews>
  <sheets>
    <sheet name="BD" sheetId="4" r:id="rId1"/>
    <sheet name="BDКаб" sheetId="13" r:id="rId2"/>
    <sheet name="BDKc" sheetId="12" r:id="rId3"/>
    <sheet name="&lt;workbook&gt;SET" sheetId="7" r:id="rId4"/>
    <sheet name="&lt;zalldev&gt;SET" sheetId="15" r:id="rId5"/>
    <sheet name="&lt;zalldev&gt;EXPORT" sheetId="11" r:id="rId6"/>
    <sheet name="&lt;zalldev&gt;TEMPLATEKZ" sheetId="17" r:id="rId7"/>
    <sheet name="BDzallcab" sheetId="26" r:id="rId8"/>
    <sheet name="&lt;zallcab&gt;SET" sheetId="23" r:id="rId9"/>
    <sheet name="&lt;zallcab&gt;EXPORT" sheetId="14" r:id="rId10"/>
    <sheet name="&lt;zallcab&gt;CALC" sheetId="24" r:id="rId11"/>
    <sheet name="&lt;zallcab&gt;CabZhurnal" sheetId="25" r:id="rId12"/>
    <sheet name="&lt;zlight&gt;SET" sheetId="18" r:id="rId13"/>
    <sheet name="&lt;zlight&gt;TEMP" sheetId="21" r:id="rId14"/>
    <sheet name="&lt;zlight&gt;TEMPGU" sheetId="22" r:id="rId15"/>
    <sheet name="&lt;zlight&gt;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28" i="20" l="1"/>
  <c r="CG28" i="20"/>
  <c r="CF28" i="20"/>
  <c r="N4" i="22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W5" i="20"/>
  <c r="AX5" i="20"/>
  <c r="AY5" i="20"/>
  <c r="AZ5" i="20"/>
  <c r="BA5" i="20"/>
  <c r="BB5" i="20"/>
  <c r="BC5" i="20" s="1"/>
  <c r="AV5" i="20"/>
  <c r="H6" i="20" s="1"/>
  <c r="J6" i="22"/>
  <c r="I6" i="22"/>
  <c r="G6" i="22"/>
  <c r="H6" i="22"/>
  <c r="F6" i="22"/>
  <c r="AU11" i="11"/>
  <c r="AT11" i="11"/>
  <c r="AT7" i="11"/>
  <c r="AU7" i="11"/>
  <c r="AV7" i="11"/>
  <c r="V16" i="20" l="1"/>
  <c r="CE28" i="20" s="1"/>
  <c r="AK28" i="20" l="1"/>
  <c r="AJ28" i="20"/>
  <c r="AL28" i="20"/>
  <c r="M28" i="20"/>
  <c r="L28" i="20"/>
  <c r="K28" i="20"/>
  <c r="CB24" i="20" l="1"/>
  <c r="CC24" i="20"/>
  <c r="CD24" i="20"/>
  <c r="AN7" i="11"/>
  <c r="AK11" i="11"/>
  <c r="AK7" i="11"/>
  <c r="AL7" i="11"/>
  <c r="AM7" i="11"/>
  <c r="AZ11" i="11"/>
  <c r="AG7" i="11"/>
  <c r="AH7" i="11"/>
  <c r="AI7" i="11"/>
  <c r="AM11" i="11" l="1"/>
  <c r="CA28" i="20" s="1"/>
  <c r="CB28" i="20" s="1"/>
  <c r="D28" i="20" s="1"/>
  <c r="AV11" i="11"/>
  <c r="AL11" i="11"/>
  <c r="AS11" i="11" l="1"/>
  <c r="AN11" i="11"/>
  <c r="CD28" i="20" s="1"/>
  <c r="AO28" i="20" s="1"/>
  <c r="X7" i="24"/>
  <c r="F5" i="25"/>
  <c r="N7" i="24" l="1"/>
  <c r="K7" i="24"/>
  <c r="C2" i="14" l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B4" i="24" l="1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Q7" i="24" l="1"/>
  <c r="H7" i="24"/>
  <c r="G7" i="24"/>
  <c r="J7" i="24" s="1"/>
  <c r="F7" i="24"/>
  <c r="E7" i="24"/>
  <c r="D7" i="24"/>
  <c r="M7" i="24" s="1"/>
  <c r="C7" i="24"/>
  <c r="V7" i="24" l="1"/>
  <c r="P7" i="24"/>
  <c r="W7" i="24" s="1"/>
  <c r="H5" i="25" s="1"/>
  <c r="R7" i="24"/>
  <c r="L7" i="24"/>
  <c r="O7" i="24" s="1"/>
  <c r="U7" i="24" l="1"/>
  <c r="E5" i="25" s="1"/>
  <c r="S7" i="24"/>
  <c r="C5" i="25" s="1"/>
  <c r="T7" i="24"/>
  <c r="D5" i="25" s="1"/>
  <c r="AB28" i="20" l="1"/>
  <c r="Q28" i="20" l="1"/>
  <c r="X28" i="20"/>
  <c r="B7" i="11" l="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J7" i="11"/>
  <c r="AO7" i="11"/>
  <c r="AP7" i="11"/>
  <c r="AQ7" i="11"/>
  <c r="AR7" i="11"/>
  <c r="AS7" i="11"/>
  <c r="AW7" i="11"/>
  <c r="AX7" i="11"/>
  <c r="AY7" i="11"/>
  <c r="BE7" i="11"/>
  <c r="A7" i="11"/>
  <c r="AJ11" i="11"/>
  <c r="AO11" i="11" l="1"/>
  <c r="AP11" i="11"/>
  <c r="Y28" i="20" s="1"/>
  <c r="D1" i="20"/>
  <c r="E6" i="22"/>
  <c r="D6" i="22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O28" i="20" l="1"/>
  <c r="EV24" i="20"/>
  <c r="EW24" i="20"/>
  <c r="EX24" i="20"/>
  <c r="EY24" i="20"/>
  <c r="EZ24" i="20"/>
  <c r="FA24" i="20"/>
  <c r="FB24" i="20"/>
  <c r="FC24" i="20"/>
  <c r="B24" i="20"/>
  <c r="C24" i="20"/>
  <c r="D24" i="20"/>
  <c r="E24" i="20"/>
  <c r="F24" i="20"/>
  <c r="G24" i="20"/>
  <c r="H24" i="20"/>
  <c r="I24" i="20"/>
  <c r="K24" i="20"/>
  <c r="L24" i="20"/>
  <c r="M24" i="20"/>
  <c r="N24" i="20"/>
  <c r="O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E24" i="20"/>
  <c r="AH24" i="20"/>
  <c r="AI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A24" i="20"/>
  <c r="B1" i="18" l="1"/>
  <c r="AR11" i="11" l="1"/>
  <c r="AQ28" i="20" l="1"/>
  <c r="EK28" i="20" s="1"/>
  <c r="AW28" i="20"/>
  <c r="DG26" i="20"/>
  <c r="DK26" i="20"/>
  <c r="DO26" i="20"/>
  <c r="CJ28" i="20"/>
  <c r="CS28" i="20"/>
  <c r="DK28" i="20"/>
  <c r="EJ28" i="20"/>
  <c r="H14" i="20" l="1"/>
  <c r="H5" i="20"/>
  <c r="DE26" i="20" s="1"/>
  <c r="H1" i="20"/>
  <c r="G1" i="20"/>
  <c r="F1" i="20"/>
  <c r="CC28" i="20"/>
  <c r="U28" i="20" l="1"/>
  <c r="S28" i="20"/>
  <c r="DE28" i="20" s="1"/>
  <c r="R28" i="20"/>
  <c r="EA28" i="20" s="1"/>
  <c r="DU28" i="20"/>
  <c r="CV28" i="20"/>
  <c r="AM28" i="20"/>
  <c r="E28" i="20"/>
  <c r="G28" i="20"/>
  <c r="T28" i="20"/>
  <c r="AD28" i="20" s="1"/>
  <c r="F28" i="20"/>
  <c r="V28" i="20" l="1"/>
  <c r="W28" i="20"/>
  <c r="DW28" i="20"/>
  <c r="AN28" i="20"/>
  <c r="AR28" i="20"/>
  <c r="AS28" i="20"/>
  <c r="AT28" i="20"/>
  <c r="AU28" i="20"/>
  <c r="EC28" i="20"/>
  <c r="BU28" i="20"/>
  <c r="BW28" i="20"/>
  <c r="BV28" i="20"/>
  <c r="BC28" i="20"/>
  <c r="BP28" i="20"/>
  <c r="BN28" i="20"/>
  <c r="BO28" i="20"/>
  <c r="BD28" i="20"/>
  <c r="DY28" i="20" l="1"/>
  <c r="BK28" i="20"/>
  <c r="BG28" i="20"/>
  <c r="BM28" i="20"/>
  <c r="BH28" i="20"/>
  <c r="B4" i="21" l="1"/>
  <c r="B1" i="21"/>
  <c r="AX11" i="11" l="1"/>
  <c r="AY11" i="11" s="1"/>
  <c r="AW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CP28" i="20"/>
  <c r="DQ28" i="20" s="1"/>
  <c r="CI28" i="20"/>
  <c r="CQ28" i="20"/>
  <c r="CR28" i="20" s="1"/>
  <c r="CT28" i="20"/>
  <c r="CU28" i="20" l="1"/>
  <c r="CO28" i="20"/>
  <c r="CW28" i="20" s="1"/>
  <c r="CZ28" i="20" s="1"/>
  <c r="CM28" i="20"/>
  <c r="CN28" i="20" s="1"/>
  <c r="AG28" i="20"/>
  <c r="AH28" i="20" l="1"/>
  <c r="AF28" i="20"/>
  <c r="AE28" i="20" s="1"/>
  <c r="J28" i="20" s="1"/>
  <c r="BT28" i="20"/>
  <c r="BY28" i="20"/>
  <c r="BX28" i="20"/>
  <c r="BB28" i="20"/>
  <c r="V5" i="20" l="1"/>
  <c r="DI26" i="20" s="1"/>
  <c r="DO28" i="20"/>
  <c r="BZ28" i="20"/>
  <c r="FC28" i="20" s="1"/>
  <c r="BE28" i="20"/>
  <c r="BF28" i="20" s="1"/>
  <c r="BI28" i="20" s="1"/>
  <c r="AX28" i="20"/>
  <c r="BJ28" i="20"/>
  <c r="BA28" i="20"/>
  <c r="BQ28" i="20"/>
  <c r="BR28" i="20"/>
  <c r="V6" i="20" l="1"/>
  <c r="AV28" i="20"/>
  <c r="BS28" i="20"/>
  <c r="ET28" i="20" s="1"/>
  <c r="E1" i="20"/>
  <c r="V15" i="20"/>
  <c r="DQ26" i="20" s="1"/>
  <c r="V7" i="20"/>
  <c r="DM26" i="20"/>
  <c r="I28" i="20"/>
  <c r="EV28" i="20" s="1"/>
  <c r="AI28" i="20"/>
  <c r="AP28" i="20" l="1"/>
  <c r="EI28" i="20" s="1"/>
  <c r="H28" i="20"/>
  <c r="EW28" i="20"/>
  <c r="FD28" i="20"/>
  <c r="EY28" i="20"/>
  <c r="EX28" i="20"/>
  <c r="EM28" i="20" l="1"/>
  <c r="DG28" i="20"/>
  <c r="EU28" i="20" l="1"/>
  <c r="EO28" i="20"/>
  <c r="EN28" i="20"/>
  <c r="EP2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K26" authorId="1" shapeId="0" xr:uid="{37392862-89E1-44B7-9CBD-B3DC7D6997B2}">
      <text>
        <r>
          <rPr>
            <sz val="9"/>
            <color rgb="FF000000"/>
            <rFont val="Arial"/>
            <charset val="1"/>
          </rPr>
          <t>Имя или позиция устройства</t>
        </r>
      </text>
    </comment>
    <comment ref="Q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T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X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Y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Z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AA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AB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C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M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R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S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T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V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C27" authorId="0" shapeId="0" xr:uid="{42617EC5-9B5A-426C-B5EC-04AC02124BEF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D27" authorId="0" shapeId="0" xr:uid="{4D5D5AC1-F4E1-46CC-A860-4D58A7B3B0D8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F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H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A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B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C27" authorId="0" shapeId="0" xr:uid="{3863E70B-D5F9-455C-B6C9-2E603AF06E69}">
      <text>
        <r>
          <rPr>
            <b/>
            <sz val="9"/>
            <color indexed="81"/>
            <rFont val="Tahoma"/>
            <charset val="1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D27" authorId="0" shapeId="0" xr:uid="{D9BF2E25-38AA-4177-B50C-259BC4C29CCB}">
      <text>
        <r>
          <rPr>
            <b/>
            <sz val="9"/>
            <color indexed="81"/>
            <rFont val="Tahoma"/>
            <charset val="1"/>
          </rPr>
          <t>Данная группа относится к щитам управления входящим в ГУ. 1 относится, 0 нет</t>
        </r>
      </text>
    </comment>
  </commentList>
</comments>
</file>

<file path=xl/sharedStrings.xml><?xml version="1.0" encoding="utf-8"?>
<sst xmlns="http://schemas.openxmlformats.org/spreadsheetml/2006/main" count="853" uniqueCount="433">
  <si>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</si>
  <si>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</si>
  <si>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</si>
  <si>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</si>
  <si>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</si>
  <si>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</si>
  <si>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</si>
  <si>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</si>
  <si>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</si>
  <si>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</si>
  <si>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</si>
  <si>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</si>
  <si>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</si>
  <si>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</si>
  <si>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</si>
  <si>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</si>
  <si>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</si>
  <si>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</si>
  <si>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</si>
  <si>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</si>
  <si>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</si>
  <si>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</si>
  <si>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</si>
  <si>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</si>
  <si>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</si>
  <si>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</si>
  <si>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</si>
  <si>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</si>
  <si>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</si>
  <si>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</si>
  <si>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</si>
  <si>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</si>
  <si>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</si>
  <si>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</si>
  <si>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</si>
  <si>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</si>
  <si>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</si>
  <si>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</si>
  <si>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</si>
  <si>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</si>
  <si>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</si>
  <si>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</si>
  <si>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</si>
  <si>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</si>
  <si>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</si>
  <si>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</si>
  <si>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</si>
  <si>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</si>
  <si>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</si>
  <si>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</si>
  <si>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</si>
  <si>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</si>
  <si>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</si>
  <si>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</si>
  <si>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</si>
  <si>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</si>
  <si>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</si>
  <si>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</si>
  <si>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</si>
  <si>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</si>
  <si>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</si>
  <si>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</si>
  <si>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</si>
  <si>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</si>
  <si>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</si>
  <si>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</si>
  <si>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</si>
  <si>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</si>
  <si>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</si>
  <si>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</si>
  <si>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</si>
  <si>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ВА47-60М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</si>
  <si>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</si>
  <si>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</si>
  <si>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</si>
  <si>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</si>
  <si>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</si>
  <si>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</si>
  <si>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</si>
  <si>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</si>
  <si>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</si>
  <si>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</si>
  <si>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</si>
  <si>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</si>
  <si>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</si>
  <si>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</si>
  <si>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</si>
  <si>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</si>
  <si>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</si>
  <si>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</si>
  <si>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</si>
  <si>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</si>
  <si>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</si>
  <si>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</si>
  <si>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</si>
  <si>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</si>
  <si>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</si>
  <si>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</si>
  <si>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</si>
  <si>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</si>
  <si>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</si>
  <si>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</si>
  <si>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</si>
  <si>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</si>
  <si>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</si>
  <si>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</si>
  <si>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</si>
  <si>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</si>
  <si>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</si>
  <si>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</si>
  <si>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</si>
  <si>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</si>
  <si>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</si>
  <si>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</si>
  <si>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</si>
  <si>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</si>
  <si>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</si>
  <si>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</si>
  <si>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</si>
  <si>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</si>
  <si>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</si>
  <si>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</si>
  <si>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</si>
  <si>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</si>
  <si>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</si>
  <si>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</si>
  <si>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</si>
  <si>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</si>
  <si>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</si>
  <si>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</si>
  <si>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</si>
  <si>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</si>
  <si>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</si>
  <si>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</si>
  <si>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</si>
  <si>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</si>
  <si>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</si>
  <si>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</si>
  <si>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</si>
  <si>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</si>
  <si>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</si>
  <si>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</si>
  <si>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</si>
  <si>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</si>
  <si>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</si>
  <si>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</si>
  <si>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</si>
  <si>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</si>
  <si>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</si>
  <si>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</si>
  <si>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</si>
  <si>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</si>
  <si>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</si>
  <si>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</si>
  <si>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</si>
  <si>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</si>
  <si>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</si>
  <si>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</si>
  <si>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</si>
  <si>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</si>
  <si>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</si>
  <si>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</si>
  <si>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</si>
  <si>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</si>
  <si>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</si>
  <si>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</si>
  <si>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</si>
  <si>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</si>
  <si>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</si>
  <si>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</si>
  <si>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</si>
  <si>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</si>
  <si>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</si>
  <si>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</si>
  <si>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</si>
  <si>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</si>
  <si>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</si>
  <si>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</si>
  <si>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</si>
  <si>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</si>
  <si>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</si>
  <si>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</si>
  <si>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</si>
  <si>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</si>
  <si>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</si>
  <si>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</si>
  <si>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</si>
  <si>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</si>
  <si>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ALL222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</si>
  <si>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</si>
  <si>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</si>
  <si>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</si>
  <si>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</si>
  <si>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</si>
  <si>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</si>
  <si>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</si>
  <si>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</si>
  <si>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</si>
  <si>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</si>
  <si>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</si>
  <si>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</si>
  <si>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</si>
  <si>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</si>
  <si>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</si>
  <si>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</si>
  <si>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</si>
  <si>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</si>
  <si>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</si>
  <si>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</si>
  <si>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</si>
  <si>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</si>
  <si>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</si>
  <si>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</si>
  <si>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</si>
  <si>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</si>
  <si>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</si>
  <si>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</si>
  <si>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</si>
  <si>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</si>
  <si>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</si>
  <si>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</si>
  <si>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</si>
  <si>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Ток, А</t>
  </si>
  <si>
    <t>Выбран. уставка, А</t>
  </si>
  <si>
    <t>Принуд. уставка, 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</si>
  <si>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</si>
  <si>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</si>
  <si>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</si>
  <si>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</si>
  <si>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</si>
  <si>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</si>
  <si>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Ток данной группы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</si>
  <si>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</si>
  <si>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</si>
  <si>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</si>
  <si>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</si>
  <si>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</si>
  <si>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</si>
  <si>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</si>
  <si>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</si>
  <si>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</si>
  <si>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</si>
  <si>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</si>
  <si>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</si>
  <si>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</si>
  <si>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</si>
  <si>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</si>
  <si>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</si>
  <si>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</si>
  <si>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</si>
  <si>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</si>
  <si>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</si>
  <si>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</si>
  <si>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</si>
  <si>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</si>
  <si>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</si>
  <si>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</si>
  <si>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</si>
  <si>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</si>
  <si>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</si>
  <si>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</si>
  <si>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</si>
  <si>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</si>
  <si>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</si>
  <si>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</si>
  <si>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</si>
  <si>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</si>
  <si>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</si>
  <si>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</si>
  <si>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</si>
  <si>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</si>
  <si>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</si>
  <si>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</si>
  <si>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</si>
  <si>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</si>
  <si>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2-й уровню схемы данные</t>
  </si>
  <si>
    <t>1-й уровню схемы данные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</si>
  <si>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</si>
  <si>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</si>
  <si>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</si>
  <si>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</si>
  <si>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</si>
  <si>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</si>
  <si>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</si>
  <si>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</si>
  <si>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</si>
  <si>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</si>
  <si>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</si>
  <si>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</si>
  <si>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</si>
  <si>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</si>
  <si>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</si>
  <si>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</si>
  <si>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</si>
  <si>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</si>
  <si>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</si>
  <si>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</si>
  <si>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</si>
  <si>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</si>
  <si>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</si>
  <si>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</si>
  <si>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</si>
  <si>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</si>
  <si>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</si>
  <si>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</si>
  <si>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</si>
  <si>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</si>
  <si>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</si>
  <si>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</si>
  <si>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</si>
  <si>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</si>
  <si>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</si>
  <si>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</si>
  <si>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</si>
  <si>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</si>
  <si>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</si>
  <si>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</si>
  <si>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</si>
  <si>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</si>
  <si>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</si>
  <si>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</si>
  <si>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</si>
  <si>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</si>
  <si>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</si>
  <si>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</si>
  <si>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</si>
  <si>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</si>
  <si>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</si>
  <si>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</si>
  <si>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</si>
  <si>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</si>
  <si>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</si>
  <si>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</si>
  <si>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</si>
  <si>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</si>
  <si>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</si>
  <si>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</si>
  <si>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</si>
  <si>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</si>
  <si>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</si>
  <si>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</si>
  <si>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</si>
  <si>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</si>
  <si>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</si>
  <si>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</si>
  <si>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</si>
  <si>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</si>
  <si>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</si>
  <si>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</si>
  <si>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</si>
  <si>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</si>
  <si>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</si>
  <si>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ЕСЛИ(AK24="";"";СУММЕСЛИМН('&lt;zallcab&gt;EXPORT'!$M$6:$M$700000;'&lt;zallcab&gt;EXPORT'!$E$6:$E$700000;AK24))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</si>
  <si>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</si>
  <si>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</si>
  <si>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</si>
  <si>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</si>
  <si>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</si>
  <si>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</si>
  <si>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</si>
  <si>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</si>
  <si>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</si>
  <si>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</si>
  <si>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</si>
  <si>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</si>
  <si>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</si>
  <si>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</si>
  <si>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</si>
  <si>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</si>
  <si>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</si>
  <si>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</si>
  <si>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</si>
  <si>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</si>
  <si>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</si>
  <si>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</si>
  <si>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</si>
  <si>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</si>
  <si>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</si>
  <si>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</si>
  <si>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</si>
  <si>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</si>
  <si>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</si>
  <si>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</si>
  <si>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</si>
  <si>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</si>
  <si>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</si>
  <si>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2 х ВВГнг(А)-LS-5х120мм²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</si>
  <si>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</si>
  <si>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</si>
  <si>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</si>
  <si>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</si>
  <si>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ЕСЛИ(AK24="";"";ИНДЕКС('&lt;zallcab&gt;CALC'!$X$7:$X$700000;ПОИСКПОЗ(AK24;'&lt;zallcab&gt;CALC'!$D$7:$D$700000;0)))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</si>
  <si>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</si>
  <si>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</si>
  <si>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</si>
  <si>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</si>
  <si>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</si>
  <si>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</si>
  <si>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</si>
  <si>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</si>
  <si>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</si>
  <si>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</si>
  <si>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</si>
  <si>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&lt;zcopyrow targetsheet=[&lt;zalldev&gt;EXPORT] targetcodename=[zalldevimport] keynumcol=[44]&gt;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</si>
  <si>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</si>
  <si>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</si>
  <si>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</si>
  <si>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</si>
  <si>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</si>
  <si>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</si>
  <si>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&lt;zcopyrow targetsheet=[&lt;zalldev&gt;EXPORT] targetcodename=[zalldevimport] keynumcol=[45]&gt;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</si>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</sst>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i/>
      <sz val="8"/>
      <name val="Arial"/>
    </font>
    <font>
      <b/>
      <sz val="11"/>
      <name val="Calibri"/>
      <family val="2"/>
      <charset val="204"/>
      <scheme val="minor"/>
    </font>
    <font>
      <b/>
      <sz val="8"/>
      <name val="Arial"/>
    </font>
    <font>
      <sz val="9"/>
      <color rgb="FF000000"/>
      <name val="Arial"/>
      <charset val="1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0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4" borderId="38" xfId="0" applyFont="1" applyFill="1" applyBorder="1" applyAlignment="1">
      <alignment horizontal="center" vertical="center"/>
    </xf>
    <xf numFmtId="0" fontId="9" fillId="13" borderId="38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0" fillId="14" borderId="1" xfId="1" applyNumberFormat="1" applyFont="1" applyFill="1" applyBorder="1" applyAlignment="1" applyProtection="1">
      <alignment horizontal="center"/>
      <protection hidden="1"/>
    </xf>
    <xf numFmtId="0" fontId="11" fillId="15" borderId="1" xfId="1" applyFont="1" applyFill="1" applyBorder="1" applyAlignment="1" applyProtection="1">
      <alignment horizontal="center"/>
      <protection hidden="1"/>
    </xf>
    <xf numFmtId="0" fontId="12" fillId="15" borderId="1" xfId="1" applyFont="1" applyFill="1" applyBorder="1" applyAlignment="1" applyProtection="1">
      <alignment horizontal="center"/>
      <protection hidden="1"/>
    </xf>
    <xf numFmtId="0" fontId="13" fillId="15" borderId="1" xfId="1" applyFont="1" applyFill="1" applyBorder="1" applyAlignment="1" applyProtection="1">
      <alignment horizontal="center"/>
      <protection hidden="1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4" borderId="40" xfId="1" applyFont="1" applyFill="1" applyBorder="1" applyAlignment="1" applyProtection="1">
      <alignment horizontal="center" vertical="center" wrapText="1"/>
      <protection hidden="1"/>
    </xf>
    <xf numFmtId="0" fontId="3" fillId="4" borderId="39" xfId="1" applyFont="1" applyFill="1" applyBorder="1" applyAlignment="1" applyProtection="1">
      <alignment horizontal="center" vertical="center" wrapText="1"/>
      <protection hidden="1"/>
    </xf>
    <xf numFmtId="0" fontId="3" fillId="4" borderId="41" xfId="1" applyFont="1" applyFill="1" applyBorder="1" applyAlignment="1" applyProtection="1">
      <alignment horizontal="center" vertical="center" wrapText="1"/>
      <protection hidden="1"/>
    </xf>
    <xf numFmtId="0" fontId="3" fillId="16" borderId="39" xfId="1" applyFont="1" applyFill="1" applyBorder="1" applyAlignment="1" applyProtection="1">
      <alignment horizontal="center" vertical="center" wrapText="1"/>
      <protection hidden="1"/>
    </xf>
    <xf numFmtId="0" fontId="3" fillId="17" borderId="42" xfId="1" applyFont="1" applyFill="1" applyBorder="1" applyAlignment="1" applyProtection="1">
      <alignment horizontal="center" vertical="center" wrapText="1"/>
      <protection hidden="1"/>
    </xf>
    <xf numFmtId="0" fontId="3" fillId="17" borderId="39" xfId="1" applyFont="1" applyFill="1" applyBorder="1" applyAlignment="1" applyProtection="1">
      <alignment horizontal="center" vertical="center" wrapText="1"/>
      <protection hidden="1"/>
    </xf>
    <xf numFmtId="0" fontId="3" fillId="7" borderId="5" xfId="0" applyFont="1" applyFill="1" applyBorder="1" applyAlignment="1" applyProtection="1">
      <alignment horizontal="center" vertical="center" wrapText="1"/>
      <protection hidden="1"/>
    </xf>
    <xf numFmtId="0" fontId="3" fillId="7" borderId="43" xfId="2" applyFont="1" applyFill="1" applyBorder="1" applyAlignment="1" applyProtection="1">
      <alignment horizontal="center" vertical="center" wrapText="1"/>
      <protection hidden="1"/>
    </xf>
    <xf numFmtId="0" fontId="3" fillId="7" borderId="44" xfId="2" applyFont="1" applyFill="1" applyBorder="1" applyAlignment="1" applyProtection="1">
      <alignment horizontal="center" vertical="center"/>
      <protection hidden="1"/>
    </xf>
    <xf numFmtId="0" fontId="3" fillId="7" borderId="44" xfId="1" applyFont="1" applyFill="1" applyBorder="1" applyAlignment="1" applyProtection="1">
      <alignment horizontal="center" vertical="center"/>
      <protection hidden="1"/>
    </xf>
    <xf numFmtId="0" fontId="3" fillId="7" borderId="45" xfId="1" applyFont="1" applyFill="1" applyBorder="1" applyAlignment="1" applyProtection="1">
      <alignment horizontal="center" vertical="center" wrapText="1"/>
      <protection hidden="1"/>
    </xf>
    <xf numFmtId="0" fontId="3" fillId="7" borderId="44" xfId="1" applyFont="1" applyFill="1" applyBorder="1" applyAlignment="1" applyProtection="1">
      <alignment horizontal="center" vertical="center" wrapText="1"/>
      <protection hidden="1"/>
    </xf>
    <xf numFmtId="0" fontId="3" fillId="7" borderId="7" xfId="0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40" xfId="0" applyFill="1" applyBorder="1" applyAlignment="1">
      <alignment horizontal="center" vertical="center"/>
    </xf>
    <xf numFmtId="0" fontId="0" fillId="13" borderId="1" xfId="0" applyFill="1" applyBorder="1"/>
    <xf numFmtId="0" fontId="0" fillId="19" borderId="1" xfId="0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22" borderId="53" xfId="0" applyFill="1" applyBorder="1" applyAlignment="1">
      <alignment horizontal="left" vertical="center"/>
    </xf>
    <xf numFmtId="0" fontId="0" fillId="22" borderId="53" xfId="0" applyFill="1" applyBorder="1" applyAlignment="1">
      <alignment horizontal="center" vertical="center"/>
    </xf>
    <xf numFmtId="0" fontId="0" fillId="24" borderId="53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28" borderId="0" xfId="0" applyFill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/>
    <xf numFmtId="0" fontId="0" fillId="19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53" xfId="0" applyFill="1" applyBorder="1" applyAlignment="1">
      <alignment horizontal="center" vertical="center" wrapText="1"/>
    </xf>
    <xf numFmtId="0" fontId="0" fillId="25" borderId="53" xfId="0" applyFill="1" applyBorder="1" applyAlignment="1">
      <alignment horizontal="center" vertical="center" wrapText="1"/>
    </xf>
    <xf numFmtId="0" fontId="3" fillId="4" borderId="50" xfId="1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19" fillId="11" borderId="39" xfId="0" applyFont="1" applyFill="1" applyBorder="1" applyAlignment="1">
      <alignment horizontal="center" vertical="center"/>
    </xf>
    <xf numFmtId="0" fontId="20" fillId="11" borderId="39" xfId="0" applyFont="1" applyFill="1" applyBorder="1" applyAlignment="1">
      <alignment horizontal="center" vertical="center"/>
    </xf>
    <xf numFmtId="0" fontId="20" fillId="12" borderId="39" xfId="0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0" fillId="30" borderId="53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53" xfId="0" applyFill="1" applyBorder="1" applyAlignment="1">
      <alignment horizontal="center" vertical="center" wrapText="1"/>
    </xf>
    <xf numFmtId="0" fontId="22" fillId="33" borderId="53" xfId="0" applyFont="1" applyFill="1" applyBorder="1" applyAlignment="1" applyProtection="1">
      <alignment horizontal="center" vertical="center" wrapText="1"/>
      <protection hidden="1"/>
    </xf>
    <xf numFmtId="0" fontId="23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/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4" fillId="4" borderId="12" xfId="2" applyFont="1" applyFill="1" applyBorder="1" applyAlignment="1" applyProtection="1">
      <alignment horizontal="center" vertical="center" wrapText="1"/>
      <protection hidden="1"/>
    </xf>
    <xf numFmtId="0" fontId="14" fillId="4" borderId="52" xfId="2" applyFont="1" applyFill="1" applyBorder="1" applyAlignment="1" applyProtection="1">
      <alignment horizontal="center" vertical="center" wrapText="1"/>
      <protection hidden="1"/>
    </xf>
    <xf numFmtId="0" fontId="0" fillId="8" borderId="0" xfId="0" applyFill="1" applyAlignment="1">
      <alignment horizontal="center"/>
    </xf>
    <xf numFmtId="0" fontId="3" fillId="4" borderId="20" xfId="1" applyFont="1" applyFill="1" applyBorder="1" applyAlignment="1" applyProtection="1">
      <alignment horizontal="center" vertical="center" wrapText="1"/>
      <protection hidden="1"/>
    </xf>
    <xf numFmtId="0" fontId="3" fillId="4" borderId="46" xfId="1" applyFont="1" applyFill="1" applyBorder="1" applyAlignment="1" applyProtection="1">
      <alignment horizontal="center" vertical="center" wrapText="1"/>
      <protection hidden="1"/>
    </xf>
    <xf numFmtId="0" fontId="14" fillId="7" borderId="2" xfId="2" applyFont="1" applyFill="1" applyBorder="1" applyAlignment="1" applyProtection="1">
      <alignment horizontal="center" vertical="center" wrapText="1"/>
      <protection hidden="1"/>
    </xf>
    <xf numFmtId="0" fontId="14" fillId="7" borderId="3" xfId="2" applyFont="1" applyFill="1" applyBorder="1" applyAlignment="1" applyProtection="1">
      <alignment horizontal="center" vertical="center" wrapText="1"/>
      <protection hidden="1"/>
    </xf>
    <xf numFmtId="0" fontId="14" fillId="4" borderId="2" xfId="2" applyFont="1" applyFill="1" applyBorder="1" applyAlignment="1" applyProtection="1">
      <alignment horizontal="center" vertical="center" wrapText="1"/>
      <protection hidden="1"/>
    </xf>
    <xf numFmtId="0" fontId="14" fillId="4" borderId="3" xfId="2" applyFont="1" applyFill="1" applyBorder="1" applyAlignment="1" applyProtection="1">
      <alignment horizontal="center" vertical="center" wrapText="1"/>
      <protection hidden="1"/>
    </xf>
    <xf numFmtId="0" fontId="14" fillId="4" borderId="4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3" fillId="4" borderId="35" xfId="1" applyFont="1" applyFill="1" applyBorder="1" applyAlignment="1" applyProtection="1">
      <alignment horizontal="center" vertical="center" wrapText="1"/>
      <protection hidden="1"/>
    </xf>
    <xf numFmtId="0" fontId="3" fillId="4" borderId="47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3" fillId="4" borderId="28" xfId="1" applyFont="1" applyFill="1" applyBorder="1" applyAlignment="1" applyProtection="1">
      <alignment horizontal="center" vertical="center" wrapText="1"/>
      <protection hidden="1"/>
    </xf>
    <xf numFmtId="0" fontId="3" fillId="4" borderId="48" xfId="1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50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0" fillId="4" borderId="0" xfId="0" applyFill="1" applyBorder="1" applyAlignment="1">
      <alignment horizontal="center" vertical="center"/>
    </xf>
    <xf numFmtId="0" fontId="24" fillId="34" borderId="54" xfId="0" applyFont="1" applyFill="1" applyBorder="1" applyAlignment="1" applyProtection="1">
      <alignment horizontal="center" vertical="center" wrapText="1"/>
      <protection hidden="1"/>
    </xf>
    <xf numFmtId="0" fontId="24" fillId="34" borderId="55" xfId="0" applyFont="1" applyFill="1" applyBorder="1" applyAlignment="1" applyProtection="1">
      <alignment horizontal="center" vertical="center" wrapText="1"/>
      <protection hidden="1"/>
    </xf>
    <xf numFmtId="0" fontId="24" fillId="27" borderId="53" xfId="0" applyFont="1" applyFill="1" applyBorder="1" applyAlignment="1" applyProtection="1">
      <alignment horizontal="center" vertical="center" wrapText="1"/>
      <protection hidden="1"/>
    </xf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53" xfId="0" applyFill="1" applyBorder="1" applyAlignment="1">
      <alignment horizontal="center" vertical="center" wrapText="1"/>
    </xf>
    <xf numFmtId="0" fontId="0" fillId="36" borderId="1" xfId="0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 wrapText="1"/>
    </xf>
    <xf numFmtId="0" fontId="0" fillId="36" borderId="1" xfId="0" applyFill="1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14" fillId="33" borderId="53" xfId="0" applyFont="1" applyFill="1" applyBorder="1" applyAlignment="1" applyProtection="1">
      <alignment horizontal="center" vertical="center" wrapText="1"/>
      <protection hidden="1"/>
    </xf>
    <xf numFmtId="0" fontId="19" fillId="36" borderId="39" xfId="0" applyFont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3" fillId="7" borderId="27" xfId="0" applyFont="1" applyFill="1" applyBorder="1" applyAlignment="1" applyProtection="1">
      <alignment horizontal="center" vertical="center" textRotation="90" wrapText="1"/>
      <protection hidden="1"/>
    </xf>
    <xf numFmtId="0" fontId="27" fillId="37" borderId="5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9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workbookViewId="0">
      <selection activeCell="B4" sqref="B4:B5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34" t="s">
        <v>4</v>
      </c>
      <c r="B3" s="135"/>
      <c r="C3" s="136"/>
      <c r="F3" s="137" t="s">
        <v>19</v>
      </c>
      <c r="G3" s="138"/>
      <c r="H3" s="139"/>
      <c r="K3" s="142" t="s">
        <v>74</v>
      </c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</row>
    <row r="4" spans="1:76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75</v>
      </c>
      <c r="L4" s="43" t="s">
        <v>76</v>
      </c>
      <c r="M4" s="43" t="s">
        <v>77</v>
      </c>
      <c r="N4" s="43" t="s">
        <v>99</v>
      </c>
      <c r="O4" s="43" t="s">
        <v>100</v>
      </c>
      <c r="P4" s="43" t="s">
        <v>101</v>
      </c>
      <c r="Q4" s="43" t="s">
        <v>137</v>
      </c>
      <c r="R4" s="43" t="s">
        <v>148</v>
      </c>
      <c r="S4" s="43" t="s">
        <v>149</v>
      </c>
      <c r="T4" s="43" t="s">
        <v>150</v>
      </c>
      <c r="U4" s="43" t="s">
        <v>78</v>
      </c>
      <c r="V4" s="43" t="s">
        <v>79</v>
      </c>
      <c r="W4" s="43" t="s">
        <v>80</v>
      </c>
      <c r="X4" s="43" t="s">
        <v>107</v>
      </c>
      <c r="Y4" s="43" t="s">
        <v>108</v>
      </c>
      <c r="Z4" s="43" t="s">
        <v>109</v>
      </c>
      <c r="AA4" s="43" t="s">
        <v>138</v>
      </c>
      <c r="AB4" s="43" t="s">
        <v>155</v>
      </c>
      <c r="AC4" s="43" t="s">
        <v>156</v>
      </c>
      <c r="AD4" s="43" t="s">
        <v>157</v>
      </c>
      <c r="AE4" s="43" t="s">
        <v>81</v>
      </c>
      <c r="AF4" s="43" t="s">
        <v>82</v>
      </c>
      <c r="AG4" s="43" t="s">
        <v>83</v>
      </c>
      <c r="AH4" s="43" t="s">
        <v>103</v>
      </c>
      <c r="AI4" s="43" t="s">
        <v>104</v>
      </c>
      <c r="AJ4" s="43" t="s">
        <v>105</v>
      </c>
      <c r="AK4" s="43" t="s">
        <v>139</v>
      </c>
      <c r="AL4" s="43" t="s">
        <v>151</v>
      </c>
      <c r="AM4" s="43" t="s">
        <v>152</v>
      </c>
      <c r="AN4" s="43" t="s">
        <v>153</v>
      </c>
      <c r="AO4" s="43" t="s">
        <v>84</v>
      </c>
      <c r="AP4" s="43" t="s">
        <v>85</v>
      </c>
      <c r="AQ4" s="43" t="s">
        <v>86</v>
      </c>
      <c r="AR4" s="43" t="s">
        <v>110</v>
      </c>
      <c r="AS4" s="43" t="s">
        <v>111</v>
      </c>
      <c r="AT4" s="43" t="s">
        <v>112</v>
      </c>
      <c r="AU4" s="43" t="s">
        <v>140</v>
      </c>
      <c r="AV4" s="43" t="s">
        <v>87</v>
      </c>
      <c r="AW4" s="43" t="s">
        <v>88</v>
      </c>
      <c r="AX4" s="43" t="s">
        <v>89</v>
      </c>
      <c r="AY4" s="43" t="s">
        <v>113</v>
      </c>
      <c r="AZ4" s="43" t="s">
        <v>114</v>
      </c>
      <c r="BA4" s="43" t="s">
        <v>115</v>
      </c>
      <c r="BB4" s="43" t="s">
        <v>141</v>
      </c>
      <c r="BC4" s="43" t="s">
        <v>90</v>
      </c>
      <c r="BD4" s="43" t="s">
        <v>91</v>
      </c>
      <c r="BE4" s="43" t="s">
        <v>92</v>
      </c>
      <c r="BF4" s="43" t="s">
        <v>116</v>
      </c>
      <c r="BG4" s="43" t="s">
        <v>117</v>
      </c>
      <c r="BH4" s="43" t="s">
        <v>118</v>
      </c>
      <c r="BI4" s="43" t="s">
        <v>142</v>
      </c>
      <c r="BJ4" s="43" t="s">
        <v>93</v>
      </c>
      <c r="BK4" s="43" t="s">
        <v>94</v>
      </c>
      <c r="BL4" s="43" t="s">
        <v>95</v>
      </c>
      <c r="BM4" s="43" t="s">
        <v>119</v>
      </c>
      <c r="BN4" s="43" t="s">
        <v>120</v>
      </c>
      <c r="BO4" s="43" t="s">
        <v>121</v>
      </c>
      <c r="BP4" s="43" t="s">
        <v>143</v>
      </c>
      <c r="BQ4" s="43" t="s">
        <v>96</v>
      </c>
      <c r="BR4" s="43" t="s">
        <v>97</v>
      </c>
      <c r="BS4" s="43" t="s">
        <v>98</v>
      </c>
      <c r="BT4" s="43" t="s">
        <v>122</v>
      </c>
      <c r="BU4" s="43" t="s">
        <v>123</v>
      </c>
      <c r="BV4" s="43" t="s">
        <v>124</v>
      </c>
      <c r="BW4" s="43" t="s">
        <v>144</v>
      </c>
      <c r="BX4" s="43"/>
    </row>
    <row r="5" spans="1:76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W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/>
    </row>
    <row r="6" spans="1:76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102</v>
      </c>
      <c r="O6" s="2"/>
      <c r="P6" s="2"/>
      <c r="Q6" s="2">
        <v>2</v>
      </c>
      <c r="R6" s="49" t="s">
        <v>147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125</v>
      </c>
      <c r="Y6" s="2" t="s">
        <v>73</v>
      </c>
      <c r="Z6" s="2"/>
      <c r="AA6" s="2">
        <v>1</v>
      </c>
      <c r="AB6" s="50" t="s">
        <v>158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130</v>
      </c>
      <c r="AI6" s="2" t="s">
        <v>106</v>
      </c>
      <c r="AJ6" s="2">
        <v>0</v>
      </c>
      <c r="AK6" s="2">
        <v>3</v>
      </c>
      <c r="AL6" s="50" t="s">
        <v>154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131</v>
      </c>
      <c r="AS6" s="2" t="s">
        <v>129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132</v>
      </c>
      <c r="AZ6" s="2" t="s">
        <v>126</v>
      </c>
      <c r="BA6" s="2"/>
      <c r="BB6" s="2">
        <v>5</v>
      </c>
      <c r="BC6" s="2">
        <v>5000</v>
      </c>
      <c r="BD6" s="2">
        <v>0</v>
      </c>
      <c r="BE6" s="2">
        <v>0</v>
      </c>
      <c r="BF6" s="2" t="s">
        <v>133</v>
      </c>
      <c r="BG6" s="2" t="str">
        <f t="shared" ref="BG6:BG36" si="1">"ТТИ-А "&amp;BC6&amp;"/5А 5ВА 0,5S"</f>
        <v>ТТИ-А 5000/5А 5ВА 0,5S</v>
      </c>
      <c r="BI6">
        <v>6</v>
      </c>
      <c r="BJ6" s="2">
        <v>100</v>
      </c>
      <c r="BK6" s="2">
        <v>0</v>
      </c>
      <c r="BL6" s="2">
        <v>0</v>
      </c>
      <c r="BM6" s="2" t="s">
        <v>134</v>
      </c>
      <c r="BN6" s="2" t="s">
        <v>128</v>
      </c>
      <c r="BO6" s="2"/>
      <c r="BP6" s="2">
        <v>7</v>
      </c>
      <c r="BQ6" s="2">
        <v>80</v>
      </c>
      <c r="BR6" s="2">
        <v>0</v>
      </c>
      <c r="BS6" s="2">
        <v>0</v>
      </c>
      <c r="BT6" s="2" t="s">
        <v>135</v>
      </c>
      <c r="BU6" s="2" t="s">
        <v>136</v>
      </c>
      <c r="BV6" s="2"/>
      <c r="BW6" s="2">
        <v>8</v>
      </c>
      <c r="BX6" s="2"/>
    </row>
    <row r="7" spans="1:76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102</v>
      </c>
      <c r="O7" s="2"/>
      <c r="P7" s="2"/>
      <c r="Q7" s="2">
        <v>2</v>
      </c>
      <c r="R7" s="49" t="s">
        <v>147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125</v>
      </c>
      <c r="Y7" s="2" t="s">
        <v>73</v>
      </c>
      <c r="Z7" s="2"/>
      <c r="AA7" s="2">
        <v>1</v>
      </c>
      <c r="AB7" s="50" t="s">
        <v>158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130</v>
      </c>
      <c r="AI7" s="2" t="s">
        <v>106</v>
      </c>
      <c r="AJ7" s="2">
        <v>0</v>
      </c>
      <c r="AK7" s="2">
        <v>3</v>
      </c>
      <c r="AL7" s="50" t="s">
        <v>154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131</v>
      </c>
      <c r="AS7" s="2" t="s">
        <v>129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132</v>
      </c>
      <c r="AZ7" s="2" t="s">
        <v>126</v>
      </c>
      <c r="BA7" s="2"/>
      <c r="BB7" s="2">
        <v>5</v>
      </c>
      <c r="BC7" s="2">
        <v>4000</v>
      </c>
      <c r="BD7" s="2">
        <v>0</v>
      </c>
      <c r="BE7" s="2">
        <v>0</v>
      </c>
      <c r="BF7" s="2" t="s">
        <v>133</v>
      </c>
      <c r="BG7" s="2" t="str">
        <f t="shared" si="1"/>
        <v>ТТИ-А 4000/5А 5ВА 0,5S</v>
      </c>
      <c r="BH7" s="2"/>
      <c r="BI7">
        <v>6</v>
      </c>
      <c r="BJ7" s="2">
        <v>60</v>
      </c>
      <c r="BK7" s="2">
        <v>0</v>
      </c>
      <c r="BL7" s="2">
        <v>0</v>
      </c>
      <c r="BM7" s="2" t="s">
        <v>134</v>
      </c>
      <c r="BN7" s="2" t="s">
        <v>127</v>
      </c>
      <c r="BO7" s="2"/>
      <c r="BP7" s="2">
        <v>7</v>
      </c>
      <c r="BQ7" s="2">
        <v>63</v>
      </c>
      <c r="BR7" s="2">
        <v>0</v>
      </c>
      <c r="BS7" s="2">
        <v>0</v>
      </c>
      <c r="BT7" s="2" t="s">
        <v>135</v>
      </c>
      <c r="BU7" s="2" t="s">
        <v>136</v>
      </c>
      <c r="BV7" s="2"/>
      <c r="BW7" s="2">
        <v>8</v>
      </c>
      <c r="BX7" s="2"/>
    </row>
    <row r="8" spans="1:76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102</v>
      </c>
      <c r="O8" s="2"/>
      <c r="P8" s="2"/>
      <c r="Q8" s="2">
        <v>2</v>
      </c>
      <c r="R8" s="49" t="s">
        <v>147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125</v>
      </c>
      <c r="Y8" s="2" t="s">
        <v>73</v>
      </c>
      <c r="Z8" s="2"/>
      <c r="AA8" s="2">
        <v>1</v>
      </c>
      <c r="AB8" s="50" t="s">
        <v>158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130</v>
      </c>
      <c r="AI8" s="2" t="s">
        <v>106</v>
      </c>
      <c r="AJ8" s="2">
        <v>0</v>
      </c>
      <c r="AK8" s="2">
        <v>3</v>
      </c>
      <c r="AL8" s="50" t="s">
        <v>154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131</v>
      </c>
      <c r="AS8" s="2" t="s">
        <v>129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132</v>
      </c>
      <c r="AZ8" s="2" t="s">
        <v>126</v>
      </c>
      <c r="BA8" s="2"/>
      <c r="BB8" s="2">
        <v>5</v>
      </c>
      <c r="BC8" s="2">
        <v>3000</v>
      </c>
      <c r="BD8" s="2">
        <v>0</v>
      </c>
      <c r="BE8" s="2">
        <v>0</v>
      </c>
      <c r="BF8" s="2" t="s">
        <v>133</v>
      </c>
      <c r="BG8" s="2" t="str">
        <f t="shared" si="1"/>
        <v>ТТИ-А 3000/5А 5ВА 0,5S</v>
      </c>
      <c r="BH8" s="2"/>
      <c r="BI8">
        <v>6</v>
      </c>
      <c r="BJ8" s="2">
        <v>0</v>
      </c>
      <c r="BK8" s="2">
        <v>0</v>
      </c>
      <c r="BL8" s="2">
        <v>0</v>
      </c>
      <c r="BM8" s="2"/>
      <c r="BN8" s="2"/>
      <c r="BO8" s="2"/>
      <c r="BP8" s="2"/>
      <c r="BQ8" s="2">
        <v>50</v>
      </c>
      <c r="BR8" s="2">
        <v>0</v>
      </c>
      <c r="BS8" s="2">
        <v>0</v>
      </c>
      <c r="BT8" s="2" t="s">
        <v>135</v>
      </c>
      <c r="BU8" s="2" t="s">
        <v>136</v>
      </c>
      <c r="BV8" s="2"/>
      <c r="BW8" s="2">
        <v>8</v>
      </c>
      <c r="BX8" s="2"/>
    </row>
    <row r="9" spans="1:76" ht="15.75" thickBot="1" x14ac:dyDescent="0.3">
      <c r="A9" s="140" t="s">
        <v>3</v>
      </c>
      <c r="B9" s="141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102</v>
      </c>
      <c r="O9" s="2"/>
      <c r="P9" s="2"/>
      <c r="Q9" s="2">
        <v>2</v>
      </c>
      <c r="R9" s="49" t="s">
        <v>147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125</v>
      </c>
      <c r="Y9" s="2" t="s">
        <v>73</v>
      </c>
      <c r="Z9" s="2"/>
      <c r="AA9" s="2">
        <v>1</v>
      </c>
      <c r="AB9" s="50" t="s">
        <v>158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130</v>
      </c>
      <c r="AI9" s="2" t="s">
        <v>106</v>
      </c>
      <c r="AJ9" s="2">
        <v>0</v>
      </c>
      <c r="AK9" s="2">
        <v>3</v>
      </c>
      <c r="AL9" s="50" t="s">
        <v>154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131</v>
      </c>
      <c r="AS9" s="2" t="s">
        <v>129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132</v>
      </c>
      <c r="AZ9" s="2" t="s">
        <v>126</v>
      </c>
      <c r="BA9" s="2"/>
      <c r="BB9" s="2">
        <v>5</v>
      </c>
      <c r="BC9" s="2">
        <v>2000</v>
      </c>
      <c r="BD9" s="2">
        <v>0</v>
      </c>
      <c r="BE9" s="2">
        <v>0</v>
      </c>
      <c r="BF9" s="2" t="s">
        <v>133</v>
      </c>
      <c r="BG9" s="2" t="str">
        <f t="shared" si="1"/>
        <v>ТТИ-А 2000/5А 5ВА 0,5S</v>
      </c>
      <c r="BH9" s="2"/>
      <c r="BI9">
        <v>6</v>
      </c>
      <c r="BJ9" s="2">
        <v>0</v>
      </c>
      <c r="BK9" s="2">
        <v>0</v>
      </c>
      <c r="BL9" s="2">
        <v>0</v>
      </c>
      <c r="BM9" s="2"/>
      <c r="BN9" s="2"/>
      <c r="BO9" s="2"/>
      <c r="BP9" s="2"/>
      <c r="BQ9" s="2">
        <v>40</v>
      </c>
      <c r="BR9" s="2">
        <v>0</v>
      </c>
      <c r="BS9" s="2">
        <v>0</v>
      </c>
      <c r="BT9" s="2" t="s">
        <v>135</v>
      </c>
      <c r="BU9" s="2" t="s">
        <v>136</v>
      </c>
      <c r="BV9" s="2"/>
      <c r="BW9" s="2">
        <v>8</v>
      </c>
      <c r="BX9" s="2"/>
    </row>
    <row r="10" spans="1:76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102</v>
      </c>
      <c r="O10" s="2"/>
      <c r="P10" s="2"/>
      <c r="Q10" s="2">
        <v>2</v>
      </c>
      <c r="R10" s="49" t="s">
        <v>147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125</v>
      </c>
      <c r="Y10" s="2" t="s">
        <v>73</v>
      </c>
      <c r="Z10" s="2"/>
      <c r="AA10" s="2">
        <v>1</v>
      </c>
      <c r="AB10" s="50" t="s">
        <v>158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130</v>
      </c>
      <c r="AI10" s="2" t="s">
        <v>106</v>
      </c>
      <c r="AJ10" s="2">
        <v>0</v>
      </c>
      <c r="AK10" s="2">
        <v>3</v>
      </c>
      <c r="AL10" s="50" t="s">
        <v>154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131</v>
      </c>
      <c r="AS10" s="2" t="s">
        <v>129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132</v>
      </c>
      <c r="AZ10" s="2" t="s">
        <v>126</v>
      </c>
      <c r="BA10" s="2"/>
      <c r="BB10" s="2">
        <v>5</v>
      </c>
      <c r="BC10" s="2">
        <v>1600</v>
      </c>
      <c r="BD10" s="2">
        <v>0</v>
      </c>
      <c r="BE10" s="2">
        <v>0</v>
      </c>
      <c r="BF10" s="2" t="s">
        <v>133</v>
      </c>
      <c r="BG10" s="2" t="str">
        <f t="shared" si="1"/>
        <v>ТТИ-А 1600/5А 5ВА 0,5S</v>
      </c>
      <c r="BH10" s="2"/>
      <c r="BI10">
        <v>6</v>
      </c>
      <c r="BJ10" s="2">
        <v>0</v>
      </c>
      <c r="BK10" s="2">
        <v>0</v>
      </c>
      <c r="BL10" s="2">
        <v>0</v>
      </c>
      <c r="BM10" s="2"/>
      <c r="BN10" s="2"/>
      <c r="BO10" s="2"/>
      <c r="BP10" s="2"/>
      <c r="BQ10" s="2">
        <v>32</v>
      </c>
      <c r="BR10" s="2">
        <v>0</v>
      </c>
      <c r="BS10" s="2">
        <v>0</v>
      </c>
      <c r="BT10" s="2" t="s">
        <v>135</v>
      </c>
      <c r="BU10" s="2" t="s">
        <v>136</v>
      </c>
      <c r="BV10" s="2"/>
      <c r="BW10" s="2">
        <v>8</v>
      </c>
      <c r="BX10" s="2"/>
    </row>
    <row r="11" spans="1:76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102</v>
      </c>
      <c r="O11" s="2"/>
      <c r="P11" s="2"/>
      <c r="Q11" s="2">
        <v>2</v>
      </c>
      <c r="R11" s="49" t="s">
        <v>147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125</v>
      </c>
      <c r="Y11" s="2" t="s">
        <v>73</v>
      </c>
      <c r="Z11" s="2"/>
      <c r="AA11" s="2">
        <v>1</v>
      </c>
      <c r="AB11" s="50" t="s">
        <v>158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130</v>
      </c>
      <c r="AI11" s="2" t="s">
        <v>106</v>
      </c>
      <c r="AJ11" s="2">
        <v>0</v>
      </c>
      <c r="AK11" s="2">
        <v>3</v>
      </c>
      <c r="AL11" s="50" t="s">
        <v>154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131</v>
      </c>
      <c r="AS11" s="2" t="s">
        <v>129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132</v>
      </c>
      <c r="AZ11" s="48" t="s">
        <v>126</v>
      </c>
      <c r="BA11" s="2"/>
      <c r="BB11" s="2"/>
      <c r="BC11" s="2">
        <v>1500</v>
      </c>
      <c r="BD11" s="2">
        <v>0</v>
      </c>
      <c r="BE11" s="2">
        <v>0</v>
      </c>
      <c r="BF11" s="2" t="s">
        <v>133</v>
      </c>
      <c r="BG11" s="2" t="str">
        <f t="shared" si="1"/>
        <v>ТТИ-А 1500/5А 5ВА 0,5S</v>
      </c>
      <c r="BH11" s="2"/>
      <c r="BI11">
        <v>6</v>
      </c>
      <c r="BJ11" s="2">
        <v>0</v>
      </c>
      <c r="BK11" s="2">
        <v>0</v>
      </c>
      <c r="BL11" s="2">
        <v>0</v>
      </c>
      <c r="BM11" s="2"/>
      <c r="BN11" s="2"/>
      <c r="BO11" s="2"/>
      <c r="BP11" s="2"/>
      <c r="BQ11" s="2">
        <v>25</v>
      </c>
      <c r="BR11" s="2">
        <v>0</v>
      </c>
      <c r="BS11" s="2">
        <v>0</v>
      </c>
      <c r="BT11" s="2" t="s">
        <v>135</v>
      </c>
      <c r="BU11" s="2" t="s">
        <v>136</v>
      </c>
      <c r="BV11" s="2"/>
      <c r="BW11" s="2">
        <v>8</v>
      </c>
      <c r="BX11" s="2"/>
    </row>
    <row r="12" spans="1:76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102</v>
      </c>
      <c r="O12" s="2"/>
      <c r="P12" s="2"/>
      <c r="Q12" s="2">
        <v>2</v>
      </c>
      <c r="R12" s="49" t="s">
        <v>147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125</v>
      </c>
      <c r="Y12" s="2" t="s">
        <v>73</v>
      </c>
      <c r="Z12" s="2"/>
      <c r="AA12" s="2">
        <v>1</v>
      </c>
      <c r="AB12" s="50" t="s">
        <v>158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130</v>
      </c>
      <c r="AI12" s="2" t="s">
        <v>106</v>
      </c>
      <c r="AJ12" s="2">
        <v>0</v>
      </c>
      <c r="AK12" s="2">
        <v>3</v>
      </c>
      <c r="AL12" s="50" t="s">
        <v>154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131</v>
      </c>
      <c r="AS12" s="2" t="s">
        <v>129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132</v>
      </c>
      <c r="AZ12" s="48" t="s">
        <v>126</v>
      </c>
      <c r="BA12" s="2"/>
      <c r="BB12" s="2"/>
      <c r="BC12" s="2">
        <v>1250</v>
      </c>
      <c r="BD12" s="2">
        <v>0</v>
      </c>
      <c r="BE12" s="2">
        <v>0</v>
      </c>
      <c r="BF12" s="2" t="s">
        <v>133</v>
      </c>
      <c r="BG12" s="2" t="str">
        <f t="shared" si="1"/>
        <v>ТТИ-А 1250/5А 5ВА 0,5S</v>
      </c>
      <c r="BH12" s="2"/>
      <c r="BI12">
        <v>6</v>
      </c>
      <c r="BJ12" s="2">
        <v>0</v>
      </c>
      <c r="BK12" s="2">
        <v>0</v>
      </c>
      <c r="BL12" s="2">
        <v>0</v>
      </c>
      <c r="BM12" s="2"/>
      <c r="BN12" s="2"/>
      <c r="BO12" s="2"/>
      <c r="BP12" s="2"/>
      <c r="BQ12" s="2">
        <v>16</v>
      </c>
      <c r="BR12" s="2">
        <v>0</v>
      </c>
      <c r="BS12" s="2">
        <v>0</v>
      </c>
      <c r="BT12" s="2" t="s">
        <v>135</v>
      </c>
      <c r="BU12" s="2" t="s">
        <v>136</v>
      </c>
      <c r="BV12" s="2"/>
      <c r="BW12" s="2">
        <v>8</v>
      </c>
      <c r="BX12" s="2"/>
    </row>
    <row r="13" spans="1:76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102</v>
      </c>
      <c r="O13" s="2"/>
      <c r="P13" s="2"/>
      <c r="Q13" s="2">
        <v>2</v>
      </c>
      <c r="R13" s="49" t="s">
        <v>147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158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130</v>
      </c>
      <c r="AI13" s="2" t="s">
        <v>106</v>
      </c>
      <c r="AJ13" s="2">
        <v>0</v>
      </c>
      <c r="AK13" s="2">
        <v>3</v>
      </c>
      <c r="AL13" s="50" t="s">
        <v>154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131</v>
      </c>
      <c r="AS13" s="2" t="s">
        <v>129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>
        <v>1200</v>
      </c>
      <c r="BD13" s="2">
        <v>0</v>
      </c>
      <c r="BE13" s="2">
        <v>0</v>
      </c>
      <c r="BF13" s="2" t="s">
        <v>133</v>
      </c>
      <c r="BG13" s="2" t="str">
        <f t="shared" si="1"/>
        <v>ТТИ-А 1200/5А 5ВА 0,5S</v>
      </c>
      <c r="BH13" s="2"/>
      <c r="BI13">
        <v>6</v>
      </c>
      <c r="BJ13" s="2">
        <v>0</v>
      </c>
      <c r="BK13" s="2">
        <v>0</v>
      </c>
      <c r="BL13" s="2">
        <v>0</v>
      </c>
      <c r="BM13" s="2"/>
      <c r="BN13" s="2"/>
      <c r="BO13" s="2"/>
      <c r="BP13" s="2"/>
      <c r="BQ13" s="2">
        <v>12</v>
      </c>
      <c r="BR13" s="2">
        <v>0</v>
      </c>
      <c r="BS13" s="2">
        <v>0</v>
      </c>
      <c r="BT13" s="2" t="s">
        <v>135</v>
      </c>
      <c r="BU13" s="2" t="s">
        <v>136</v>
      </c>
      <c r="BV13" s="2"/>
      <c r="BW13" s="2">
        <v>8</v>
      </c>
      <c r="BX13" s="2"/>
    </row>
    <row r="14" spans="1:76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102</v>
      </c>
      <c r="O14" s="2"/>
      <c r="P14" s="2"/>
      <c r="Q14" s="2">
        <v>2</v>
      </c>
      <c r="R14" s="49" t="s">
        <v>147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158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130</v>
      </c>
      <c r="AI14" s="2" t="s">
        <v>106</v>
      </c>
      <c r="AJ14" s="2">
        <v>0</v>
      </c>
      <c r="AK14" s="2">
        <v>3</v>
      </c>
      <c r="AL14" s="50" t="s">
        <v>154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47">
        <v>1000</v>
      </c>
      <c r="BD14" s="2">
        <v>0</v>
      </c>
      <c r="BE14" s="2">
        <v>0</v>
      </c>
      <c r="BF14" s="2" t="s">
        <v>133</v>
      </c>
      <c r="BG14" s="2" t="str">
        <f t="shared" si="1"/>
        <v>ТТИ-А 1000/5А 5ВА 0,5S</v>
      </c>
      <c r="BH14" s="2"/>
      <c r="BI14">
        <v>6</v>
      </c>
      <c r="BJ14" s="2">
        <v>0</v>
      </c>
      <c r="BK14" s="2">
        <v>0</v>
      </c>
      <c r="BL14" s="2">
        <v>0</v>
      </c>
      <c r="BM14" s="2"/>
      <c r="BN14" s="2"/>
      <c r="BO14" s="2"/>
      <c r="BP14" s="2"/>
      <c r="BQ14" s="47">
        <v>10</v>
      </c>
      <c r="BR14" s="2">
        <v>0</v>
      </c>
      <c r="BS14" s="2">
        <v>0</v>
      </c>
      <c r="BT14" s="2" t="s">
        <v>135</v>
      </c>
      <c r="BU14" s="2" t="s">
        <v>136</v>
      </c>
      <c r="BV14" s="2"/>
      <c r="BW14" s="2">
        <v>8</v>
      </c>
      <c r="BX14" s="2"/>
    </row>
    <row r="15" spans="1:76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102</v>
      </c>
      <c r="O15" s="2"/>
      <c r="P15" s="2"/>
      <c r="Q15" s="2">
        <v>2</v>
      </c>
      <c r="R15" s="49" t="s">
        <v>147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158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130</v>
      </c>
      <c r="AI15" s="2" t="s">
        <v>106</v>
      </c>
      <c r="AJ15" s="2">
        <v>0</v>
      </c>
      <c r="AK15" s="2">
        <v>3</v>
      </c>
      <c r="AL15" s="50" t="s">
        <v>154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47">
        <v>800</v>
      </c>
      <c r="BD15" s="2">
        <v>0</v>
      </c>
      <c r="BE15" s="2">
        <v>0</v>
      </c>
      <c r="BF15" s="2" t="s">
        <v>133</v>
      </c>
      <c r="BG15" s="2" t="str">
        <f t="shared" si="1"/>
        <v>ТТИ-А 800/5А 5ВА 0,5S</v>
      </c>
      <c r="BH15" s="2"/>
      <c r="BI15">
        <v>6</v>
      </c>
      <c r="BJ15" s="2">
        <v>0</v>
      </c>
      <c r="BK15" s="2">
        <v>0</v>
      </c>
      <c r="BL15" s="2">
        <v>0</v>
      </c>
      <c r="BM15" s="2"/>
      <c r="BN15" s="2"/>
      <c r="BO15" s="2"/>
      <c r="BP15" s="2"/>
      <c r="BQ15" s="47">
        <v>8</v>
      </c>
      <c r="BR15" s="2">
        <v>0</v>
      </c>
      <c r="BS15" s="2">
        <v>0</v>
      </c>
      <c r="BT15" s="2" t="s">
        <v>135</v>
      </c>
      <c r="BU15" s="2" t="s">
        <v>136</v>
      </c>
      <c r="BV15" s="2"/>
      <c r="BW15" s="2">
        <v>8</v>
      </c>
      <c r="BX15" s="2"/>
    </row>
    <row r="16" spans="1:76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102</v>
      </c>
      <c r="O16" s="2"/>
      <c r="P16" s="2"/>
      <c r="Q16" s="2">
        <v>2</v>
      </c>
      <c r="R16" s="49" t="s">
        <v>147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158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154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47">
        <v>750</v>
      </c>
      <c r="BD16" s="2">
        <v>0</v>
      </c>
      <c r="BE16" s="2">
        <v>0</v>
      </c>
      <c r="BF16" s="2" t="s">
        <v>133</v>
      </c>
      <c r="BG16" s="2" t="str">
        <f t="shared" si="1"/>
        <v>ТТИ-А 750/5А 5ВА 0,5S</v>
      </c>
      <c r="BH16" s="2"/>
      <c r="BI16">
        <v>6</v>
      </c>
      <c r="BJ16" s="2">
        <v>0</v>
      </c>
      <c r="BK16" s="2">
        <v>0</v>
      </c>
      <c r="BL16" s="2">
        <v>0</v>
      </c>
      <c r="BM16" s="2"/>
      <c r="BN16" s="2"/>
      <c r="BO16" s="2"/>
      <c r="BP16" s="2"/>
      <c r="BQ16" s="47">
        <v>6</v>
      </c>
      <c r="BR16" s="2">
        <v>0</v>
      </c>
      <c r="BS16" s="2">
        <v>0</v>
      </c>
      <c r="BT16" s="2" t="s">
        <v>135</v>
      </c>
      <c r="BU16" s="2" t="s">
        <v>136</v>
      </c>
      <c r="BV16" s="2"/>
      <c r="BW16" s="2">
        <v>8</v>
      </c>
      <c r="BX16" s="2"/>
    </row>
    <row r="17" spans="6:76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102</v>
      </c>
      <c r="O17" s="2"/>
      <c r="P17" s="2"/>
      <c r="Q17" s="2">
        <v>2</v>
      </c>
      <c r="R17" s="49" t="s">
        <v>147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158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154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47">
        <v>600</v>
      </c>
      <c r="BD17" s="2">
        <v>0</v>
      </c>
      <c r="BE17" s="2">
        <v>0</v>
      </c>
      <c r="BF17" s="2" t="s">
        <v>133</v>
      </c>
      <c r="BG17" s="2" t="str">
        <f t="shared" si="1"/>
        <v>ТТИ-А 600/5А 5ВА 0,5S</v>
      </c>
      <c r="BH17" s="2"/>
      <c r="BI17">
        <v>6</v>
      </c>
      <c r="BJ17" s="2">
        <v>0</v>
      </c>
      <c r="BK17" s="2">
        <v>0</v>
      </c>
      <c r="BL17" s="2">
        <v>0</v>
      </c>
      <c r="BM17" s="2"/>
      <c r="BN17" s="2"/>
      <c r="BO17" s="2"/>
      <c r="BP17" s="2"/>
      <c r="BQ17" s="47">
        <v>4</v>
      </c>
      <c r="BR17" s="2">
        <v>0</v>
      </c>
      <c r="BS17" s="2">
        <v>0</v>
      </c>
      <c r="BT17" s="2" t="s">
        <v>135</v>
      </c>
      <c r="BU17" s="2" t="s">
        <v>136</v>
      </c>
      <c r="BV17" s="2"/>
      <c r="BW17" s="2">
        <v>8</v>
      </c>
      <c r="BX17" s="2"/>
    </row>
    <row r="18" spans="6:76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102</v>
      </c>
      <c r="O18" s="2"/>
      <c r="P18" s="2"/>
      <c r="Q18" s="2">
        <v>2</v>
      </c>
      <c r="R18" s="49" t="s">
        <v>147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158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154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47">
        <v>500</v>
      </c>
      <c r="BD18" s="2">
        <v>0</v>
      </c>
      <c r="BE18" s="2">
        <v>0</v>
      </c>
      <c r="BF18" s="2" t="s">
        <v>133</v>
      </c>
      <c r="BG18" s="2" t="str">
        <f t="shared" si="1"/>
        <v>ТТИ-А 500/5А 5ВА 0,5S</v>
      </c>
      <c r="BH18" s="2"/>
      <c r="BI18">
        <v>6</v>
      </c>
      <c r="BJ18" s="2">
        <v>0</v>
      </c>
      <c r="BK18" s="2">
        <v>0</v>
      </c>
      <c r="BL18" s="2">
        <v>0</v>
      </c>
      <c r="BM18" s="2"/>
      <c r="BN18" s="2"/>
      <c r="BO18" s="2"/>
      <c r="BP18" s="2"/>
      <c r="BQ18" s="47">
        <v>2.5</v>
      </c>
      <c r="BR18" s="2">
        <v>0</v>
      </c>
      <c r="BS18" s="2">
        <v>0</v>
      </c>
      <c r="BT18" s="2" t="s">
        <v>135</v>
      </c>
      <c r="BU18" s="2" t="s">
        <v>136</v>
      </c>
      <c r="BV18" s="2"/>
      <c r="BW18" s="2">
        <v>8</v>
      </c>
      <c r="BX18" s="2"/>
    </row>
    <row r="19" spans="6:76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102</v>
      </c>
      <c r="O19" s="2"/>
      <c r="P19" s="2"/>
      <c r="Q19" s="2">
        <v>2</v>
      </c>
      <c r="R19" s="49" t="s">
        <v>147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158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154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47">
        <v>400</v>
      </c>
      <c r="BD19" s="2">
        <v>0</v>
      </c>
      <c r="BE19" s="2">
        <v>0</v>
      </c>
      <c r="BF19" s="2" t="s">
        <v>133</v>
      </c>
      <c r="BG19" s="2" t="str">
        <f t="shared" si="1"/>
        <v>ТТИ-А 400/5А 5ВА 0,5S</v>
      </c>
      <c r="BH19" s="2"/>
      <c r="BI19">
        <v>6</v>
      </c>
      <c r="BJ19" s="2">
        <v>0</v>
      </c>
      <c r="BK19" s="2">
        <v>0</v>
      </c>
      <c r="BL19" s="2">
        <v>0</v>
      </c>
      <c r="BM19" s="2"/>
      <c r="BN19" s="2"/>
      <c r="BO19" s="2"/>
      <c r="BP19" s="2"/>
      <c r="BQ19" s="47">
        <v>1.6</v>
      </c>
      <c r="BR19" s="2">
        <v>0</v>
      </c>
      <c r="BS19" s="2">
        <v>0</v>
      </c>
      <c r="BT19" s="2" t="s">
        <v>135</v>
      </c>
      <c r="BU19" s="2" t="s">
        <v>136</v>
      </c>
      <c r="BV19" s="2"/>
      <c r="BW19" s="2">
        <v>8</v>
      </c>
      <c r="BX19" s="2"/>
    </row>
    <row r="20" spans="6:76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102</v>
      </c>
      <c r="O20" s="2"/>
      <c r="P20" s="2"/>
      <c r="Q20" s="2">
        <v>2</v>
      </c>
      <c r="R20" s="49" t="s">
        <v>147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158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154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47">
        <v>300</v>
      </c>
      <c r="BD20" s="2">
        <v>0</v>
      </c>
      <c r="BE20" s="2">
        <v>0</v>
      </c>
      <c r="BF20" s="2" t="s">
        <v>133</v>
      </c>
      <c r="BG20" s="2" t="str">
        <f t="shared" si="1"/>
        <v>ТТИ-А 300/5А 5ВА 0,5S</v>
      </c>
      <c r="BH20" s="2"/>
      <c r="BI20">
        <v>6</v>
      </c>
      <c r="BJ20" s="2">
        <v>0</v>
      </c>
      <c r="BK20" s="2">
        <v>0</v>
      </c>
      <c r="BL20" s="2">
        <v>0</v>
      </c>
      <c r="BM20" s="2"/>
      <c r="BN20" s="2"/>
      <c r="BO20" s="2"/>
      <c r="BP20" s="2"/>
      <c r="BQ20" s="47">
        <v>1</v>
      </c>
      <c r="BR20" s="2">
        <v>0</v>
      </c>
      <c r="BS20" s="2">
        <v>0</v>
      </c>
      <c r="BT20" s="2" t="s">
        <v>135</v>
      </c>
      <c r="BU20" s="2" t="s">
        <v>136</v>
      </c>
      <c r="BV20" s="2"/>
      <c r="BW20" s="2">
        <v>8</v>
      </c>
      <c r="BX20" s="2"/>
    </row>
    <row r="21" spans="6:76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102</v>
      </c>
      <c r="O21" s="2"/>
      <c r="P21" s="2"/>
      <c r="Q21" s="2">
        <v>2</v>
      </c>
      <c r="R21" s="49" t="s">
        <v>147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158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154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47">
        <v>250</v>
      </c>
      <c r="BD21" s="2">
        <v>0</v>
      </c>
      <c r="BE21" s="2">
        <v>0</v>
      </c>
      <c r="BF21" s="2" t="s">
        <v>133</v>
      </c>
      <c r="BG21" s="2" t="str">
        <f t="shared" si="1"/>
        <v>ТТИ-А 250/5А 5ВА 0,5S</v>
      </c>
      <c r="BH21" s="2"/>
      <c r="BI21">
        <v>6</v>
      </c>
      <c r="BJ21" s="2">
        <v>0</v>
      </c>
      <c r="BK21" s="2">
        <v>0</v>
      </c>
      <c r="BL21" s="2">
        <v>0</v>
      </c>
      <c r="BM21" s="2"/>
      <c r="BN21" s="2"/>
      <c r="BO21" s="2"/>
      <c r="BP21" s="2"/>
      <c r="BQ21" s="47">
        <v>0.6</v>
      </c>
      <c r="BR21" s="2">
        <v>0</v>
      </c>
      <c r="BS21" s="2">
        <v>0</v>
      </c>
      <c r="BT21" s="2" t="s">
        <v>135</v>
      </c>
      <c r="BU21" s="2" t="s">
        <v>136</v>
      </c>
      <c r="BV21" s="2"/>
      <c r="BW21" s="2">
        <v>8</v>
      </c>
      <c r="BX21" s="2"/>
    </row>
    <row r="22" spans="6:76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102</v>
      </c>
      <c r="O22" s="2"/>
      <c r="P22" s="2"/>
      <c r="Q22" s="2">
        <v>2</v>
      </c>
      <c r="R22" s="49" t="s">
        <v>147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158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154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47">
        <v>200</v>
      </c>
      <c r="BD22" s="2">
        <v>0</v>
      </c>
      <c r="BE22" s="2">
        <v>0</v>
      </c>
      <c r="BF22" s="2" t="s">
        <v>133</v>
      </c>
      <c r="BG22" s="2" t="str">
        <f t="shared" si="1"/>
        <v>ТТИ-А 200/5А 5ВА 0,5S</v>
      </c>
      <c r="BH22" s="2"/>
      <c r="BI22">
        <v>6</v>
      </c>
      <c r="BJ22" s="2">
        <v>0</v>
      </c>
      <c r="BK22" s="2">
        <v>0</v>
      </c>
      <c r="BL22" s="2">
        <v>0</v>
      </c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/>
      <c r="BV22" s="2"/>
      <c r="BW22" s="2"/>
      <c r="BX22" s="2"/>
    </row>
    <row r="23" spans="6:76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102</v>
      </c>
      <c r="O23" s="2"/>
      <c r="P23" s="2"/>
      <c r="Q23" s="2">
        <v>2</v>
      </c>
      <c r="R23" s="49" t="s">
        <v>147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158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154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47">
        <v>150</v>
      </c>
      <c r="BD23" s="2">
        <v>0</v>
      </c>
      <c r="BE23" s="2">
        <v>0</v>
      </c>
      <c r="BF23" s="2" t="s">
        <v>133</v>
      </c>
      <c r="BG23" s="2" t="str">
        <f t="shared" si="1"/>
        <v>ТТИ-А 150/5А 5ВА 0,5S</v>
      </c>
      <c r="BH23" s="2"/>
      <c r="BI23">
        <v>6</v>
      </c>
      <c r="BJ23" s="2">
        <v>0</v>
      </c>
      <c r="BK23" s="2">
        <v>0</v>
      </c>
      <c r="BL23" s="2">
        <v>0</v>
      </c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/>
      <c r="BV23" s="2"/>
      <c r="BW23" s="2"/>
      <c r="BX23" s="2"/>
    </row>
    <row r="24" spans="6:76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102</v>
      </c>
      <c r="O24" s="2" t="s">
        <v>71</v>
      </c>
      <c r="P24" s="2"/>
      <c r="Q24" s="2">
        <v>2</v>
      </c>
      <c r="R24" s="49" t="s">
        <v>147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158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154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47">
        <v>125</v>
      </c>
      <c r="BD24" s="2">
        <v>0</v>
      </c>
      <c r="BE24" s="2">
        <v>0</v>
      </c>
      <c r="BF24" s="2" t="s">
        <v>133</v>
      </c>
      <c r="BG24" s="2" t="str">
        <f t="shared" si="1"/>
        <v>ТТИ-А 125/5А 5ВА 0,5S</v>
      </c>
      <c r="BH24" s="2"/>
      <c r="BI24">
        <v>6</v>
      </c>
      <c r="BJ24" s="2">
        <v>0</v>
      </c>
      <c r="BK24" s="2">
        <v>0</v>
      </c>
      <c r="BL24" s="2">
        <v>0</v>
      </c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/>
      <c r="BV24" s="2"/>
      <c r="BW24" s="2"/>
      <c r="BX24" s="2"/>
    </row>
    <row r="25" spans="6:76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102</v>
      </c>
      <c r="O25" s="2" t="s">
        <v>71</v>
      </c>
      <c r="P25" s="2"/>
      <c r="Q25" s="2">
        <v>2</v>
      </c>
      <c r="R25" s="49" t="s">
        <v>147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158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154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47">
        <v>120</v>
      </c>
      <c r="BD25" s="2">
        <v>0</v>
      </c>
      <c r="BE25" s="2">
        <v>0</v>
      </c>
      <c r="BF25" s="2" t="s">
        <v>133</v>
      </c>
      <c r="BG25" s="2" t="str">
        <f t="shared" si="1"/>
        <v>ТТИ-А 120/5А 5ВА 0,5S</v>
      </c>
      <c r="BH25" s="2"/>
      <c r="BI25">
        <v>6</v>
      </c>
      <c r="BJ25" s="2">
        <v>0</v>
      </c>
      <c r="BK25" s="2">
        <v>0</v>
      </c>
      <c r="BL25" s="2">
        <v>0</v>
      </c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/>
      <c r="BV25" s="2"/>
      <c r="BW25" s="2"/>
      <c r="BX25" s="2"/>
    </row>
    <row r="26" spans="6:76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102</v>
      </c>
      <c r="O26" s="2" t="s">
        <v>71</v>
      </c>
      <c r="P26" s="2"/>
      <c r="Q26" s="2">
        <v>2</v>
      </c>
      <c r="R26" s="49" t="s">
        <v>147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158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154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47">
        <v>100</v>
      </c>
      <c r="BD26" s="2">
        <v>0</v>
      </c>
      <c r="BE26" s="2">
        <v>0</v>
      </c>
      <c r="BF26" s="2" t="s">
        <v>133</v>
      </c>
      <c r="BG26" s="2" t="str">
        <f t="shared" si="1"/>
        <v>ТТИ-А 100/5А 5ВА 0,5S</v>
      </c>
      <c r="BH26" s="2"/>
      <c r="BI26">
        <v>6</v>
      </c>
      <c r="BJ26" s="2">
        <v>0</v>
      </c>
      <c r="BK26" s="2">
        <v>0</v>
      </c>
      <c r="BL26" s="2">
        <v>0</v>
      </c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/>
      <c r="BV26" s="2"/>
      <c r="BW26" s="2"/>
      <c r="BX26" s="2"/>
    </row>
    <row r="27" spans="6:76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102</v>
      </c>
      <c r="O27" s="2" t="s">
        <v>71</v>
      </c>
      <c r="P27" s="2"/>
      <c r="Q27" s="2">
        <v>2</v>
      </c>
      <c r="R27" s="49" t="s">
        <v>147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158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154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47">
        <v>80</v>
      </c>
      <c r="BD27" s="2">
        <v>0</v>
      </c>
      <c r="BE27" s="2">
        <v>0</v>
      </c>
      <c r="BF27" s="2" t="s">
        <v>133</v>
      </c>
      <c r="BG27" s="2" t="str">
        <f t="shared" si="1"/>
        <v>ТТИ-А 80/5А 5ВА 0,5S</v>
      </c>
      <c r="BH27" s="2"/>
      <c r="BI27">
        <v>6</v>
      </c>
      <c r="BJ27" s="2">
        <v>0</v>
      </c>
      <c r="BK27" s="2">
        <v>0</v>
      </c>
      <c r="BL27" s="2">
        <v>0</v>
      </c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/>
      <c r="BV27" s="2"/>
      <c r="BW27" s="2"/>
      <c r="BX27" s="2"/>
    </row>
    <row r="28" spans="6:76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102</v>
      </c>
      <c r="O28" s="2" t="s">
        <v>71</v>
      </c>
      <c r="P28" s="2"/>
      <c r="Q28" s="2">
        <v>2</v>
      </c>
      <c r="R28" s="49" t="s">
        <v>147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158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154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47">
        <v>75</v>
      </c>
      <c r="BD28" s="2">
        <v>0</v>
      </c>
      <c r="BE28" s="2">
        <v>0</v>
      </c>
      <c r="BF28" s="2" t="s">
        <v>133</v>
      </c>
      <c r="BG28" s="2" t="str">
        <f t="shared" si="1"/>
        <v>ТТИ-А 75/5А 5ВА 0,5S</v>
      </c>
      <c r="BH28" s="2"/>
      <c r="BI28">
        <v>6</v>
      </c>
      <c r="BJ28" s="2">
        <v>0</v>
      </c>
      <c r="BK28" s="2">
        <v>0</v>
      </c>
      <c r="BL28" s="2">
        <v>0</v>
      </c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/>
      <c r="BV28" s="2"/>
      <c r="BW28" s="2"/>
      <c r="BX28" s="2"/>
    </row>
    <row r="29" spans="6:76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102</v>
      </c>
      <c r="O29" s="2" t="s">
        <v>71</v>
      </c>
      <c r="P29" s="2"/>
      <c r="Q29" s="2">
        <v>2</v>
      </c>
      <c r="R29" s="49" t="s">
        <v>147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158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154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47">
        <v>60</v>
      </c>
      <c r="BD29" s="2">
        <v>0</v>
      </c>
      <c r="BE29" s="2">
        <v>0</v>
      </c>
      <c r="BF29" s="2" t="s">
        <v>133</v>
      </c>
      <c r="BG29" s="2" t="str">
        <f t="shared" si="1"/>
        <v>ТТИ-А 60/5А 5ВА 0,5S</v>
      </c>
      <c r="BH29" s="2"/>
      <c r="BI29">
        <v>6</v>
      </c>
      <c r="BJ29" s="2">
        <v>0</v>
      </c>
      <c r="BK29" s="2">
        <v>0</v>
      </c>
      <c r="BL29" s="2">
        <v>0</v>
      </c>
      <c r="BM29" s="2"/>
      <c r="BN29" s="2"/>
      <c r="BO29" s="2"/>
      <c r="BP29" s="2"/>
      <c r="BQ29" s="2">
        <v>0</v>
      </c>
      <c r="BR29" s="2">
        <v>0</v>
      </c>
      <c r="BS29" s="2">
        <v>0</v>
      </c>
      <c r="BT29" s="2">
        <v>0</v>
      </c>
      <c r="BU29" s="2"/>
      <c r="BV29" s="2"/>
      <c r="BW29" s="2"/>
      <c r="BX29" s="2"/>
    </row>
    <row r="30" spans="6:76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102</v>
      </c>
      <c r="O30" s="2" t="s">
        <v>71</v>
      </c>
      <c r="P30" s="2"/>
      <c r="Q30" s="2">
        <v>2</v>
      </c>
      <c r="R30" s="49" t="s">
        <v>147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158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154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47">
        <v>50</v>
      </c>
      <c r="BD30" s="2">
        <v>0</v>
      </c>
      <c r="BE30" s="2">
        <v>0</v>
      </c>
      <c r="BF30" s="2" t="s">
        <v>133</v>
      </c>
      <c r="BG30" s="2" t="str">
        <f t="shared" si="1"/>
        <v>ТТИ-А 50/5А 5ВА 0,5S</v>
      </c>
      <c r="BH30" s="2"/>
      <c r="BI30">
        <v>6</v>
      </c>
      <c r="BJ30" s="2">
        <v>0</v>
      </c>
      <c r="BK30" s="2">
        <v>0</v>
      </c>
      <c r="BL30" s="2">
        <v>0</v>
      </c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/>
      <c r="BV30" s="2"/>
      <c r="BW30" s="2"/>
      <c r="BX30" s="2"/>
    </row>
    <row r="31" spans="6:76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102</v>
      </c>
      <c r="O31" s="2" t="s">
        <v>71</v>
      </c>
      <c r="P31" s="2"/>
      <c r="Q31" s="2">
        <v>2</v>
      </c>
      <c r="R31" s="49" t="s">
        <v>147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158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154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47">
        <v>40</v>
      </c>
      <c r="BD31" s="2">
        <v>0</v>
      </c>
      <c r="BE31" s="2">
        <v>0</v>
      </c>
      <c r="BF31" s="2" t="s">
        <v>133</v>
      </c>
      <c r="BG31" s="2" t="str">
        <f t="shared" si="1"/>
        <v>ТТИ-А 40/5А 5ВА 0,5S</v>
      </c>
      <c r="BH31" s="2"/>
      <c r="BI31">
        <v>6</v>
      </c>
      <c r="BJ31" s="2">
        <v>0</v>
      </c>
      <c r="BK31" s="2">
        <v>0</v>
      </c>
      <c r="BL31" s="2">
        <v>0</v>
      </c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/>
      <c r="BV31" s="2"/>
      <c r="BW31" s="2"/>
      <c r="BX31" s="2"/>
    </row>
    <row r="32" spans="6:76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102</v>
      </c>
      <c r="O32" s="2" t="s">
        <v>71</v>
      </c>
      <c r="P32" s="2"/>
      <c r="Q32" s="2">
        <v>2</v>
      </c>
      <c r="R32" s="49" t="s">
        <v>147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158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154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47">
        <v>30</v>
      </c>
      <c r="BD32" s="2">
        <v>0</v>
      </c>
      <c r="BE32" s="2">
        <v>0</v>
      </c>
      <c r="BF32" s="2" t="s">
        <v>133</v>
      </c>
      <c r="BG32" s="2" t="str">
        <f t="shared" si="1"/>
        <v>ТТИ-А 30/5А 5ВА 0,5S</v>
      </c>
      <c r="BH32" s="2"/>
      <c r="BI32">
        <v>6</v>
      </c>
      <c r="BJ32" s="2">
        <v>0</v>
      </c>
      <c r="BK32" s="2">
        <v>0</v>
      </c>
      <c r="BL32" s="2">
        <v>0</v>
      </c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/>
      <c r="BV32" s="2"/>
      <c r="BW32" s="2"/>
      <c r="BX32" s="2"/>
    </row>
    <row r="33" spans="6:76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102</v>
      </c>
      <c r="O33" s="2" t="s">
        <v>71</v>
      </c>
      <c r="P33" s="2"/>
      <c r="Q33" s="2">
        <v>2</v>
      </c>
      <c r="R33" s="49" t="s">
        <v>147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158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154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47">
        <v>25</v>
      </c>
      <c r="BD33" s="2">
        <v>0</v>
      </c>
      <c r="BE33" s="2">
        <v>0</v>
      </c>
      <c r="BF33" s="2" t="s">
        <v>133</v>
      </c>
      <c r="BG33" s="2" t="str">
        <f t="shared" si="1"/>
        <v>ТТИ-А 25/5А 5ВА 0,5S</v>
      </c>
      <c r="BH33" s="2"/>
      <c r="BI33">
        <v>6</v>
      </c>
      <c r="BJ33" s="2">
        <v>0</v>
      </c>
      <c r="BK33" s="2">
        <v>0</v>
      </c>
      <c r="BL33" s="2">
        <v>0</v>
      </c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/>
      <c r="BV33" s="2"/>
      <c r="BW33" s="2"/>
      <c r="BX33" s="2"/>
    </row>
    <row r="34" spans="6:76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102</v>
      </c>
      <c r="O34" s="2" t="s">
        <v>71</v>
      </c>
      <c r="P34" s="2"/>
      <c r="Q34" s="2">
        <v>2</v>
      </c>
      <c r="R34" s="49" t="s">
        <v>147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158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154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47">
        <v>20</v>
      </c>
      <c r="BD34" s="2">
        <v>0</v>
      </c>
      <c r="BE34" s="2">
        <v>0</v>
      </c>
      <c r="BF34" s="2" t="s">
        <v>133</v>
      </c>
      <c r="BG34" s="2" t="str">
        <f t="shared" si="1"/>
        <v>ТТИ-А 20/5А 5ВА 0,5S</v>
      </c>
      <c r="BH34" s="2"/>
      <c r="BI34">
        <v>6</v>
      </c>
      <c r="BJ34" s="2">
        <v>0</v>
      </c>
      <c r="BK34" s="2">
        <v>0</v>
      </c>
      <c r="BL34" s="2">
        <v>0</v>
      </c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/>
      <c r="BV34" s="2"/>
      <c r="BW34" s="2"/>
      <c r="BX34" s="2"/>
    </row>
    <row r="35" spans="6:76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102</v>
      </c>
      <c r="O35" s="2" t="s">
        <v>71</v>
      </c>
      <c r="P35" s="2"/>
      <c r="Q35" s="2">
        <v>2</v>
      </c>
      <c r="R35" s="49" t="s">
        <v>147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158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154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47">
        <v>15</v>
      </c>
      <c r="BD35" s="2">
        <v>0</v>
      </c>
      <c r="BE35" s="2">
        <v>0</v>
      </c>
      <c r="BF35" s="2" t="s">
        <v>133</v>
      </c>
      <c r="BG35" s="2" t="str">
        <f t="shared" si="1"/>
        <v>ТТИ-А 15/5А 5ВА 0,5S</v>
      </c>
      <c r="BH35" s="2"/>
      <c r="BI35">
        <v>6</v>
      </c>
      <c r="BJ35" s="2">
        <v>0</v>
      </c>
      <c r="BK35" s="2">
        <v>0</v>
      </c>
      <c r="BL35" s="2">
        <v>0</v>
      </c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/>
      <c r="BV35" s="2"/>
      <c r="BW35" s="2"/>
      <c r="BX35" s="2"/>
    </row>
    <row r="36" spans="6:76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102</v>
      </c>
      <c r="O36" s="2" t="s">
        <v>71</v>
      </c>
      <c r="P36" s="2"/>
      <c r="Q36" s="2">
        <v>2</v>
      </c>
      <c r="R36" s="49" t="s">
        <v>147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158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154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47">
        <v>10</v>
      </c>
      <c r="BD36" s="2">
        <v>0</v>
      </c>
      <c r="BE36" s="2">
        <v>0</v>
      </c>
      <c r="BF36" s="2" t="s">
        <v>133</v>
      </c>
      <c r="BG36" s="2" t="str">
        <f t="shared" si="1"/>
        <v>ТТИ-А 10/5А 5ВА 0,5S</v>
      </c>
      <c r="BH36" s="2"/>
      <c r="BI36">
        <v>6</v>
      </c>
      <c r="BJ36" s="2">
        <v>0</v>
      </c>
      <c r="BK36" s="2">
        <v>0</v>
      </c>
      <c r="BL36" s="2">
        <v>0</v>
      </c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/>
      <c r="BV36" s="2"/>
      <c r="BW36" s="2"/>
      <c r="BX36" s="2"/>
    </row>
    <row r="37" spans="6:76" x14ac:dyDescent="0.25">
      <c r="K37" s="2">
        <v>0.4</v>
      </c>
      <c r="L37" s="2">
        <v>49</v>
      </c>
      <c r="M37" s="2">
        <v>34.5</v>
      </c>
      <c r="N37" s="2" t="s">
        <v>102</v>
      </c>
      <c r="O37" s="2" t="s">
        <v>71</v>
      </c>
      <c r="P37" s="2"/>
      <c r="Q37" s="2">
        <v>2</v>
      </c>
      <c r="R37" s="49" t="s">
        <v>147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158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154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47">
        <v>5</v>
      </c>
      <c r="BD37" s="2">
        <v>0</v>
      </c>
      <c r="BE37" s="2">
        <v>0</v>
      </c>
      <c r="BF37" s="2" t="s">
        <v>133</v>
      </c>
      <c r="BG37" s="2" t="str">
        <f>"ТТИ-А "&amp;BC37&amp;"/5А 5ВА 0,5S"</f>
        <v>ТТИ-А 5/5А 5ВА 0,5S</v>
      </c>
      <c r="BH37" s="2"/>
      <c r="BI37">
        <v>6</v>
      </c>
      <c r="BJ37" s="2">
        <v>0</v>
      </c>
      <c r="BK37" s="2">
        <v>0</v>
      </c>
      <c r="BL37" s="2">
        <v>0</v>
      </c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/>
      <c r="BV37" s="2"/>
      <c r="BW37" s="2"/>
      <c r="BX37" s="2"/>
    </row>
    <row r="38" spans="6:76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">
        <v>0</v>
      </c>
      <c r="BD38" s="47">
        <v>0</v>
      </c>
      <c r="BE38" s="2">
        <v>0</v>
      </c>
      <c r="BF38" s="2"/>
      <c r="BG38" s="2"/>
      <c r="BH38" s="2"/>
      <c r="BI38" s="2"/>
      <c r="BJ38" s="2">
        <v>0</v>
      </c>
      <c r="BK38" s="47">
        <v>0</v>
      </c>
      <c r="BL38" s="2">
        <v>0</v>
      </c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/>
      <c r="BV38" s="2"/>
      <c r="BW38" s="2"/>
      <c r="BX38" s="2"/>
    </row>
    <row r="41" spans="6:76" ht="15.75" thickBot="1" x14ac:dyDescent="0.3"/>
    <row r="42" spans="6:76" ht="15.75" thickBot="1" x14ac:dyDescent="0.3">
      <c r="F42" s="137" t="s">
        <v>72</v>
      </c>
      <c r="G42" s="138"/>
      <c r="H42" s="139"/>
    </row>
    <row r="43" spans="6:76" ht="31.5" x14ac:dyDescent="0.25">
      <c r="F43" s="36" t="s">
        <v>20</v>
      </c>
      <c r="G43" s="37" t="s">
        <v>21</v>
      </c>
      <c r="H43" s="38" t="s">
        <v>22</v>
      </c>
    </row>
    <row r="44" spans="6:76" x14ac:dyDescent="0.25">
      <c r="F44" s="27">
        <v>125</v>
      </c>
      <c r="G44" s="28"/>
      <c r="H44" s="29"/>
    </row>
    <row r="45" spans="6:76" x14ac:dyDescent="0.25">
      <c r="F45" s="27">
        <v>100</v>
      </c>
      <c r="G45" s="28"/>
      <c r="H45" s="29"/>
    </row>
    <row r="46" spans="6:76" x14ac:dyDescent="0.25">
      <c r="F46" s="27">
        <v>63</v>
      </c>
      <c r="G46" s="28"/>
      <c r="H46" s="29"/>
    </row>
    <row r="47" spans="6:76" x14ac:dyDescent="0.25">
      <c r="F47" s="27">
        <v>40</v>
      </c>
      <c r="G47" s="28"/>
      <c r="H47" s="29"/>
    </row>
    <row r="48" spans="6:76" x14ac:dyDescent="0.25">
      <c r="F48" s="27">
        <v>32</v>
      </c>
      <c r="G48" s="28"/>
      <c r="H48" s="29"/>
    </row>
    <row r="49" spans="6:8" x14ac:dyDescent="0.25">
      <c r="F49" s="27">
        <v>25</v>
      </c>
      <c r="G49" s="28"/>
      <c r="H49" s="29"/>
    </row>
    <row r="50" spans="6:8" x14ac:dyDescent="0.25">
      <c r="F50" s="27">
        <v>20</v>
      </c>
      <c r="G50" s="28"/>
      <c r="H50" s="29"/>
    </row>
    <row r="61" spans="6:8" x14ac:dyDescent="0.25">
      <c r="G61" t="s">
        <v>47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7" type="noConversion"/>
  <conditionalFormatting sqref="K6:M37 U13:Z37 U6:W12 Y6:AA6 Y7:Z12 AA7:AA37 BJ6:BR37 BU6:BX37 AW6:BG6 AO13:BH37 AO6:AU12 AV8:AV12 AW7:BH12 AE6:AG37">
    <cfRule type="cellIs" dxfId="97" priority="25" operator="equal">
      <formula>0</formula>
    </cfRule>
  </conditionalFormatting>
  <conditionalFormatting sqref="K38:M38 U38:AG38 AO38:AP38">
    <cfRule type="cellIs" dxfId="96" priority="24" operator="equal">
      <formula>0</formula>
    </cfRule>
  </conditionalFormatting>
  <conditionalFormatting sqref="AQ38:AW38">
    <cfRule type="cellIs" dxfId="95" priority="23" operator="equal">
      <formula>0</formula>
    </cfRule>
  </conditionalFormatting>
  <conditionalFormatting sqref="AX38:BR38 BU38:BX38">
    <cfRule type="cellIs" dxfId="94" priority="22" operator="equal">
      <formula>0</formula>
    </cfRule>
  </conditionalFormatting>
  <conditionalFormatting sqref="N6:T37">
    <cfRule type="cellIs" dxfId="93" priority="21" operator="equal">
      <formula>0</formula>
    </cfRule>
  </conditionalFormatting>
  <conditionalFormatting sqref="N38:T38">
    <cfRule type="cellIs" dxfId="92" priority="20" operator="equal">
      <formula>0</formula>
    </cfRule>
  </conditionalFormatting>
  <conditionalFormatting sqref="AH6:AI15">
    <cfRule type="cellIs" dxfId="91" priority="19" operator="equal">
      <formula>0</formula>
    </cfRule>
  </conditionalFormatting>
  <conditionalFormatting sqref="AJ38:AN38">
    <cfRule type="cellIs" dxfId="90" priority="18" operator="equal">
      <formula>0</formula>
    </cfRule>
  </conditionalFormatting>
  <conditionalFormatting sqref="AH16:AH37">
    <cfRule type="cellIs" dxfId="89" priority="17" operator="equal">
      <formula>0</formula>
    </cfRule>
  </conditionalFormatting>
  <conditionalFormatting sqref="AH38">
    <cfRule type="cellIs" dxfId="88" priority="16" operator="equal">
      <formula>0</formula>
    </cfRule>
  </conditionalFormatting>
  <conditionalFormatting sqref="AI16:AI37">
    <cfRule type="cellIs" dxfId="87" priority="15" operator="equal">
      <formula>0</formula>
    </cfRule>
  </conditionalFormatting>
  <conditionalFormatting sqref="AI38">
    <cfRule type="cellIs" dxfId="86" priority="14" operator="equal">
      <formula>0</formula>
    </cfRule>
  </conditionalFormatting>
  <conditionalFormatting sqref="AJ6:AK6 AJ7 AK7:AK15">
    <cfRule type="cellIs" dxfId="85" priority="13" operator="equal">
      <formula>0</formula>
    </cfRule>
  </conditionalFormatting>
  <conditionalFormatting sqref="AJ8:AJ11">
    <cfRule type="cellIs" dxfId="84" priority="12" operator="equal">
      <formula>0</formula>
    </cfRule>
  </conditionalFormatting>
  <conditionalFormatting sqref="AJ12:AJ14">
    <cfRule type="cellIs" dxfId="83" priority="11" operator="equal">
      <formula>0</formula>
    </cfRule>
  </conditionalFormatting>
  <conditionalFormatting sqref="AJ16:AK36 AJ15">
    <cfRule type="cellIs" dxfId="82" priority="10" operator="equal">
      <formula>0</formula>
    </cfRule>
  </conditionalFormatting>
  <conditionalFormatting sqref="AJ37:AK37">
    <cfRule type="cellIs" dxfId="81" priority="9" operator="equal">
      <formula>0</formula>
    </cfRule>
  </conditionalFormatting>
  <conditionalFormatting sqref="BS6:BS37">
    <cfRule type="cellIs" dxfId="80" priority="8" operator="equal">
      <formula>0</formula>
    </cfRule>
  </conditionalFormatting>
  <conditionalFormatting sqref="BS38">
    <cfRule type="cellIs" dxfId="79" priority="7" operator="equal">
      <formula>0</formula>
    </cfRule>
  </conditionalFormatting>
  <conditionalFormatting sqref="BT6:BT37">
    <cfRule type="cellIs" dxfId="78" priority="6" operator="equal">
      <formula>0</formula>
    </cfRule>
  </conditionalFormatting>
  <conditionalFormatting sqref="BT38">
    <cfRule type="cellIs" dxfId="77" priority="5" operator="equal">
      <formula>0</formula>
    </cfRule>
  </conditionalFormatting>
  <conditionalFormatting sqref="X6:X12">
    <cfRule type="cellIs" dxfId="76" priority="4" operator="equal">
      <formula>0</formula>
    </cfRule>
  </conditionalFormatting>
  <conditionalFormatting sqref="AV6:AV7">
    <cfRule type="cellIs" dxfId="75" priority="3" operator="equal">
      <formula>0</formula>
    </cfRule>
  </conditionalFormatting>
  <conditionalFormatting sqref="AL6:AN37">
    <cfRule type="cellIs" dxfId="74" priority="2" operator="equal">
      <formula>0</formula>
    </cfRule>
  </conditionalFormatting>
  <conditionalFormatting sqref="AB6:AD37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06">
        <f t="shared" si="0"/>
        <v>17</v>
      </c>
    </row>
    <row r="3" spans="1:19" ht="90" x14ac:dyDescent="0.25">
      <c r="C3" s="86"/>
      <c r="D3" s="150" t="s">
        <v>341</v>
      </c>
      <c r="E3" s="150"/>
      <c r="F3" s="150"/>
      <c r="G3" s="150" t="s">
        <v>342</v>
      </c>
      <c r="H3" s="150"/>
      <c r="I3" s="150"/>
      <c r="J3" s="97" t="s">
        <v>345</v>
      </c>
      <c r="K3" s="97" t="s">
        <v>343</v>
      </c>
      <c r="L3" s="150" t="s">
        <v>344</v>
      </c>
      <c r="M3" s="150"/>
      <c r="N3" s="150"/>
      <c r="O3" s="151" t="s">
        <v>353</v>
      </c>
      <c r="P3" s="151"/>
      <c r="Q3" s="151"/>
      <c r="R3" s="107" t="s">
        <v>354</v>
      </c>
    </row>
    <row r="4" spans="1:19" x14ac:dyDescent="0.25">
      <c r="C4" s="86"/>
      <c r="D4" s="51" t="s">
        <v>167</v>
      </c>
      <c r="E4" s="52" t="s">
        <v>165</v>
      </c>
      <c r="F4" s="53" t="s">
        <v>166</v>
      </c>
      <c r="G4" s="51" t="s">
        <v>167</v>
      </c>
      <c r="H4" s="52" t="s">
        <v>165</v>
      </c>
      <c r="I4" s="53" t="s">
        <v>166</v>
      </c>
      <c r="J4" s="52" t="s">
        <v>165</v>
      </c>
      <c r="K4" s="52" t="s">
        <v>165</v>
      </c>
      <c r="L4" s="51" t="s">
        <v>167</v>
      </c>
      <c r="M4" s="52" t="s">
        <v>165</v>
      </c>
      <c r="N4" s="53" t="s">
        <v>166</v>
      </c>
      <c r="O4" s="100" t="s">
        <v>167</v>
      </c>
      <c r="P4" s="101" t="s">
        <v>165</v>
      </c>
      <c r="Q4" s="102" t="s">
        <v>166</v>
      </c>
      <c r="R4" s="107"/>
    </row>
    <row r="5" spans="1:19" ht="45" x14ac:dyDescent="0.25">
      <c r="C5" s="96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100"/>
      <c r="P5" s="101"/>
      <c r="Q5" s="102"/>
      <c r="R5" s="107"/>
    </row>
    <row r="6" spans="1:19" x14ac:dyDescent="0.25">
      <c r="C6" s="83" t="s">
        <v>145</v>
      </c>
      <c r="D6" s="54" t="s">
        <v>348</v>
      </c>
      <c r="E6" s="52"/>
      <c r="F6" s="53"/>
      <c r="G6" s="54" t="s">
        <v>349</v>
      </c>
      <c r="H6" s="52"/>
      <c r="I6" s="53"/>
      <c r="J6" s="52" t="s">
        <v>346</v>
      </c>
      <c r="K6" s="52" t="s">
        <v>347</v>
      </c>
      <c r="L6" s="54" t="s">
        <v>350</v>
      </c>
      <c r="M6" s="52"/>
      <c r="N6" s="53"/>
      <c r="O6" s="54" t="s">
        <v>355</v>
      </c>
      <c r="P6" s="52"/>
      <c r="Q6" s="53"/>
      <c r="R6" s="107">
        <v>1</v>
      </c>
      <c r="S6" t="s">
        <v>146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Y7"/>
  <sheetViews>
    <sheetView workbookViewId="0">
      <selection activeCell="X7" sqref="X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5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106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</row>
    <row r="5" spans="1:25" ht="150" x14ac:dyDescent="0.25">
      <c r="D5" s="99" t="s">
        <v>341</v>
      </c>
      <c r="E5" s="99" t="s">
        <v>342</v>
      </c>
      <c r="F5" s="99" t="s">
        <v>343</v>
      </c>
      <c r="G5" s="99" t="s">
        <v>353</v>
      </c>
      <c r="H5" s="99" t="s">
        <v>344</v>
      </c>
      <c r="I5" s="99" t="s">
        <v>358</v>
      </c>
      <c r="J5" s="99" t="s">
        <v>359</v>
      </c>
      <c r="K5" s="99" t="s">
        <v>360</v>
      </c>
      <c r="L5" s="99" t="s">
        <v>361</v>
      </c>
      <c r="M5" s="99" t="s">
        <v>362</v>
      </c>
      <c r="N5" s="99" t="s">
        <v>363</v>
      </c>
      <c r="O5" s="99" t="s">
        <v>364</v>
      </c>
      <c r="P5" s="99" t="s">
        <v>365</v>
      </c>
      <c r="Q5" s="105" t="s">
        <v>366</v>
      </c>
      <c r="R5" s="99" t="s">
        <v>367</v>
      </c>
      <c r="S5" s="99" t="s">
        <v>368</v>
      </c>
      <c r="T5" s="99" t="s">
        <v>369</v>
      </c>
      <c r="U5" s="99" t="s">
        <v>370</v>
      </c>
      <c r="V5" s="99" t="s">
        <v>353</v>
      </c>
      <c r="W5" s="99" t="s">
        <v>371</v>
      </c>
      <c r="X5" s="108" t="s">
        <v>390</v>
      </c>
    </row>
    <row r="6" spans="1:25" ht="60" x14ac:dyDescent="0.25">
      <c r="B6" s="103" t="s">
        <v>2</v>
      </c>
      <c r="C6" s="103"/>
      <c r="Q6" s="104"/>
      <c r="X6" s="109"/>
    </row>
    <row r="7" spans="1:25" x14ac:dyDescent="0.25">
      <c r="B7" t="s">
        <v>389</v>
      </c>
      <c r="C7" t="str">
        <f>IF(COUNTIF($B$7:B7,B7)=1,"&lt;zzzimport&gt;",1)</f>
        <v>&lt;zzzimport&gt;</v>
      </c>
      <c r="D7" s="1">
        <f>'&lt;zallcab&gt;EXPORT'!E6</f>
        <v>0</v>
      </c>
      <c r="E7" s="1">
        <f>'&lt;zallcab&gt;EXPORT'!H6</f>
        <v>0</v>
      </c>
      <c r="F7" s="1" t="str">
        <f>'&lt;zallcab&gt;EXPORT'!K6</f>
        <v>&lt;zcabdevfinish&gt;</v>
      </c>
      <c r="G7" s="1">
        <f>'&lt;zallcab&gt;EXPORT'!P6</f>
        <v>0</v>
      </c>
      <c r="H7" s="1">
        <f>'&lt;zallcab&gt;EXPORT'!M6</f>
        <v>0</v>
      </c>
      <c r="I7" s="1">
        <v>1</v>
      </c>
      <c r="J7" s="1" t="e">
        <f>INDEX(BDzallcab!$C$4:$C$9,MATCH(G7,BDzallcab!$B$4:$B$9))</f>
        <v>#N/A</v>
      </c>
      <c r="K7" s="1">
        <f>SUMIFS(I7:$I$700000,D7:$D$700000,D7,G7:$G$700000,G7)</f>
        <v>1</v>
      </c>
      <c r="L7" s="1">
        <f>MATCH(D7,$D$7:D7,0)</f>
        <v>1</v>
      </c>
      <c r="M7" s="1">
        <f>SUMIFS(I7:$I$700000,D7:$D$700000,D7)</f>
        <v>1</v>
      </c>
      <c r="N7" s="1" t="str">
        <f>INDEX($F$7:$F$700000,L7+M7-1)</f>
        <v>&lt;zcabdevfinish&gt;</v>
      </c>
      <c r="O7" s="1" t="str">
        <f>INDEX($N$7:$N$700000,MATCH(D7,$D$7:D7,0))</f>
        <v>&lt;zcabdevfinish&gt;</v>
      </c>
      <c r="P7" s="1">
        <f>SUMIFS($H$7:H7,$D$7:D7,D7,$G$7:G7,G7)</f>
        <v>0</v>
      </c>
      <c r="Q7" s="106">
        <f t="shared" ref="Q7" si="1">IF(K7=1,1,0)</f>
        <v>1</v>
      </c>
      <c r="R7" s="1">
        <f>IF(SUMIFS($Q$7:Q7,$D$7:D7,D7)=1,1,0)</f>
        <v>1</v>
      </c>
      <c r="S7" s="1">
        <f t="shared" ref="S7" si="2">IF(R7=1,D7," ")</f>
        <v>0</v>
      </c>
      <c r="T7" s="1">
        <f t="shared" ref="T7" si="3">IF(R7=1,E7," ")</f>
        <v>0</v>
      </c>
      <c r="U7" s="1" t="str">
        <f t="shared" ref="U7" si="4">IF(R7=1,O7," ")</f>
        <v>&lt;zcabdevfinish&gt;</v>
      </c>
      <c r="V7" s="1">
        <f>IF(Q7=1,G7," ")</f>
        <v>0</v>
      </c>
      <c r="W7" s="1">
        <f t="shared" ref="W7" si="5">IF(Q7=1,P7," ")</f>
        <v>0</v>
      </c>
      <c r="X7" s="110">
        <f>SUMIFS($H$7:$H$700000,$D$7:$D$700000,D7)</f>
        <v>0</v>
      </c>
      <c r="Y7" t="s">
        <v>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4:S5"/>
  <sheetViews>
    <sheetView workbookViewId="0">
      <selection activeCell="G5" sqref="G5"/>
    </sheetView>
  </sheetViews>
  <sheetFormatPr defaultRowHeight="15" x14ac:dyDescent="0.25"/>
  <cols>
    <col min="7" max="7" width="20.28515625" customWidth="1"/>
  </cols>
  <sheetData>
    <row r="4" spans="2:19" x14ac:dyDescent="0.25">
      <c r="C4" s="1" t="s">
        <v>384</v>
      </c>
      <c r="D4" s="1" t="s">
        <v>168</v>
      </c>
      <c r="E4" s="1" t="s">
        <v>385</v>
      </c>
      <c r="F4" s="1" t="s">
        <v>353</v>
      </c>
      <c r="G4" s="1"/>
      <c r="H4" s="1" t="s">
        <v>344</v>
      </c>
    </row>
    <row r="5" spans="2:19" x14ac:dyDescent="0.25">
      <c r="B5" t="s">
        <v>388</v>
      </c>
      <c r="C5" s="1">
        <f>'&lt;zallcab&gt;CALC'!S7</f>
        <v>0</v>
      </c>
      <c r="D5" s="1">
        <f>'&lt;zallcab&gt;CALC'!T7</f>
        <v>0</v>
      </c>
      <c r="E5" s="1" t="str">
        <f>'&lt;zallcab&gt;CALC'!U7</f>
        <v>&lt;zcabdevfinish&gt;</v>
      </c>
      <c r="F5" s="1" t="e">
        <f>'&lt;zallcab&gt;CALC'!J7</f>
        <v>#N/A</v>
      </c>
      <c r="G5" s="1" t="s">
        <v>386</v>
      </c>
      <c r="H5" s="1">
        <f>'&lt;zallcab&gt;CALC'!W7</f>
        <v>0</v>
      </c>
      <c r="I5" t="s">
        <v>193</v>
      </c>
      <c r="K5" t="s">
        <v>213</v>
      </c>
      <c r="L5" s="1" t="s">
        <v>212</v>
      </c>
      <c r="M5" s="1">
        <v>60</v>
      </c>
      <c r="N5" s="1">
        <v>0</v>
      </c>
      <c r="O5" s="1">
        <v>1</v>
      </c>
      <c r="P5" s="1">
        <v>1</v>
      </c>
      <c r="S5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4"/>
  <sheetViews>
    <sheetView workbookViewId="0">
      <selection activeCell="B3" sqref="B3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174</v>
      </c>
      <c r="B1" t="str">
        <f>"&lt;zsetvaluetocell toSheet=[zalldevEXPORT]  toCell=[F4] value=[&lt;zlight&gt;] calc=[after]"</f>
        <v>&lt;zsetvaluetocell toSheet=[zalldevEXPORT]  toCell=[F4] value=[&lt;zlight&gt;] calc=[after]</v>
      </c>
    </row>
    <row r="2" spans="1:2" x14ac:dyDescent="0.25">
      <c r="A2" t="s">
        <v>173</v>
      </c>
      <c r="B2" t="s">
        <v>411</v>
      </c>
    </row>
    <row r="3" spans="1:2" x14ac:dyDescent="0.25">
      <c r="A3" t="s">
        <v>173</v>
      </c>
      <c r="B3" t="s">
        <v>0</v>
      </c>
    </row>
    <row r="4" spans="1:2" x14ac:dyDescent="0.25">
      <c r="A4" t="s">
        <v>175</v>
      </c>
      <c r="B4" t="s">
        <v>324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174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173</v>
      </c>
      <c r="B2" t="s">
        <v>0</v>
      </c>
    </row>
    <row r="3" spans="1:2" x14ac:dyDescent="0.25">
      <c r="A3" t="s">
        <v>175</v>
      </c>
      <c r="B3" t="s">
        <v>324</v>
      </c>
    </row>
    <row r="4" spans="1:2" x14ac:dyDescent="0.25">
      <c r="A4" t="s">
        <v>174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173</v>
      </c>
      <c r="B5" t="s">
        <v>0</v>
      </c>
    </row>
    <row r="6" spans="1:2" x14ac:dyDescent="0.25">
      <c r="A6" t="s">
        <v>175</v>
      </c>
      <c r="B6" t="s">
        <v>324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A4" sqref="A4:N4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97" t="s">
        <v>1</v>
      </c>
      <c r="E5" s="97" t="s">
        <v>333</v>
      </c>
      <c r="F5" s="97" t="s">
        <v>168</v>
      </c>
      <c r="G5" s="97" t="s">
        <v>181</v>
      </c>
      <c r="H5" s="97" t="s">
        <v>7</v>
      </c>
      <c r="I5" s="97" t="s">
        <v>412</v>
      </c>
      <c r="J5" s="97" t="s">
        <v>413</v>
      </c>
      <c r="K5" s="97" t="s">
        <v>414</v>
      </c>
      <c r="L5" s="103"/>
      <c r="M5" s="103"/>
    </row>
    <row r="6" spans="1:14" x14ac:dyDescent="0.25">
      <c r="B6" t="s">
        <v>410</v>
      </c>
      <c r="C6" t="s">
        <v>328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'&lt;zalldev&gt;EXPORT'!AV11</f>
        <v>0</v>
      </c>
      <c r="J6" s="52">
        <f>'&lt;zalldev&gt;EXPORT'!AU11</f>
        <v>0</v>
      </c>
      <c r="K6" s="52">
        <v>1</v>
      </c>
      <c r="L6" t="s">
        <v>329</v>
      </c>
      <c r="M6" t="s">
        <v>193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FR28"/>
  <sheetViews>
    <sheetView tabSelected="1" workbookViewId="0">
      <selection activeCell="AG14" sqref="AG14"/>
    </sheetView>
  </sheetViews>
  <sheetFormatPr defaultRowHeight="15" x14ac:dyDescent="0.25"/>
  <cols>
    <col min="1" max="2" width="2.7109375" customWidth="1"/>
    <col min="3" max="3" width="4.85546875" customWidth="1"/>
    <col min="8" max="8" width="28.7109375" customWidth="1"/>
    <col min="9" max="10" width="29.42578125" customWidth="1"/>
    <col min="11" max="13" width="3.7109375" customWidth="1"/>
    <col min="14" max="14" width="8.7109375" customWidth="1"/>
    <col min="18" max="19" width="10.28515625" bestFit="1" customWidth="1"/>
    <col min="36" max="38" width="5.7109375" customWidth="1"/>
    <col min="44" max="46" width="5.7109375" customWidth="1"/>
    <col min="66" max="69" width="6.7109375" customWidth="1"/>
    <col min="70" max="70" width="12.7109375" customWidth="1"/>
    <col min="71" max="71" width="11.7109375" customWidth="1"/>
    <col min="81" max="81" width="10.28515625" bestFit="1" customWidth="1"/>
    <col min="82" max="86" width="10.28515625" customWidth="1"/>
    <col min="119" max="119" width="11" customWidth="1"/>
  </cols>
  <sheetData>
    <row r="1" spans="4:56" x14ac:dyDescent="0.25">
      <c r="D1" s="1">
        <f>'&lt;zlight&gt;'!F20</f>
        <v>0</v>
      </c>
      <c r="E1" s="1" t="e">
        <f ca="1">V6</f>
        <v>#N/A</v>
      </c>
      <c r="F1" s="1">
        <f>V8</f>
        <v>0.92</v>
      </c>
      <c r="G1" s="1">
        <f>H11</f>
        <v>380</v>
      </c>
      <c r="H1" s="1" t="str">
        <f>H12</f>
        <v>АВС</v>
      </c>
    </row>
    <row r="4" spans="4:56" ht="18" customHeight="1" x14ac:dyDescent="0.25">
      <c r="D4" s="181" t="s">
        <v>323</v>
      </c>
      <c r="E4" s="181"/>
      <c r="F4" s="181"/>
      <c r="G4" s="181"/>
      <c r="H4" s="181"/>
      <c r="I4" s="88" t="s">
        <v>322</v>
      </c>
      <c r="J4" s="182"/>
      <c r="Q4" s="88"/>
      <c r="R4" s="181" t="s">
        <v>321</v>
      </c>
      <c r="S4" s="181"/>
      <c r="T4" s="181"/>
      <c r="U4" s="181"/>
      <c r="V4" s="181"/>
      <c r="W4" s="181"/>
      <c r="AV4" s="193" t="s">
        <v>418</v>
      </c>
      <c r="AW4" s="193" t="s">
        <v>419</v>
      </c>
      <c r="AX4" s="193" t="s">
        <v>168</v>
      </c>
      <c r="AY4" s="193" t="s">
        <v>417</v>
      </c>
      <c r="AZ4" s="193" t="s">
        <v>422</v>
      </c>
      <c r="BA4" s="193" t="s">
        <v>416</v>
      </c>
      <c r="BB4" s="193" t="s">
        <v>420</v>
      </c>
      <c r="BC4" s="193" t="s">
        <v>423</v>
      </c>
    </row>
    <row r="5" spans="4:56" x14ac:dyDescent="0.25">
      <c r="D5" s="165" t="s">
        <v>320</v>
      </c>
      <c r="E5" s="165"/>
      <c r="F5" s="165"/>
      <c r="G5" s="165"/>
      <c r="H5" s="87">
        <f>'&lt;zlight&gt;'!F20</f>
        <v>0</v>
      </c>
      <c r="I5" s="86" t="s">
        <v>319</v>
      </c>
      <c r="J5" s="183"/>
      <c r="Q5" s="86" t="s">
        <v>318</v>
      </c>
      <c r="R5" s="177" t="s">
        <v>317</v>
      </c>
      <c r="S5" s="177"/>
      <c r="T5" s="177"/>
      <c r="U5" s="177"/>
      <c r="V5" s="177" t="e">
        <f ca="1">SUM($AE$26:$AE$12001)</f>
        <v>#N/A</v>
      </c>
      <c r="W5" s="177"/>
      <c r="AU5" t="s">
        <v>415</v>
      </c>
      <c r="AV5" s="52">
        <f>'&lt;zlight&gt;TEMPGU'!D6</f>
        <v>0</v>
      </c>
      <c r="AW5" s="52">
        <f>'&lt;zlight&gt;TEMPGU'!E6</f>
        <v>0</v>
      </c>
      <c r="AX5" s="52">
        <f>'&lt;zlight&gt;TEMPGU'!F6</f>
        <v>0</v>
      </c>
      <c r="AY5" s="52">
        <f>'&lt;zlight&gt;TEMPGU'!G6</f>
        <v>0</v>
      </c>
      <c r="AZ5" s="52">
        <f>'&lt;zlight&gt;TEMPGU'!H6</f>
        <v>0</v>
      </c>
      <c r="BA5" s="52" t="str">
        <f>'&lt;zlight&gt;TEMPGU'!I6</f>
        <v>0</v>
      </c>
      <c r="BB5" s="52">
        <f>'&lt;zlight&gt;TEMPGU'!J6</f>
        <v>0</v>
      </c>
      <c r="BC5" s="195">
        <f>IF(BB5=0,0,1)</f>
        <v>0</v>
      </c>
      <c r="BD5" t="s">
        <v>193</v>
      </c>
    </row>
    <row r="6" spans="4:56" x14ac:dyDescent="0.25">
      <c r="D6" s="202" t="s">
        <v>316</v>
      </c>
      <c r="E6" s="202"/>
      <c r="F6" s="202"/>
      <c r="G6" s="202"/>
      <c r="H6" s="192">
        <f>AV5</f>
        <v>0</v>
      </c>
      <c r="I6" s="86" t="s">
        <v>315</v>
      </c>
      <c r="J6" s="183"/>
      <c r="Q6" s="86">
        <v>63</v>
      </c>
      <c r="R6" s="177" t="s">
        <v>314</v>
      </c>
      <c r="S6" s="177"/>
      <c r="T6" s="177"/>
      <c r="U6" s="177"/>
      <c r="V6" s="177" t="e">
        <f ca="1">V5*V11</f>
        <v>#N/A</v>
      </c>
      <c r="W6" s="177"/>
    </row>
    <row r="7" spans="4:56" x14ac:dyDescent="0.25">
      <c r="D7" s="165" t="s">
        <v>313</v>
      </c>
      <c r="E7" s="165"/>
      <c r="F7" s="165"/>
      <c r="G7" s="165"/>
      <c r="H7" s="83">
        <v>45399</v>
      </c>
      <c r="I7" s="86" t="s">
        <v>312</v>
      </c>
      <c r="J7" s="183"/>
      <c r="Q7" s="86">
        <v>32</v>
      </c>
      <c r="R7" s="177" t="s">
        <v>311</v>
      </c>
      <c r="S7" s="177"/>
      <c r="T7" s="177"/>
      <c r="U7" s="177"/>
      <c r="V7" s="177" t="e">
        <f ca="1">ROUNDUP((V6*1000)/(VLOOKUP(H11,BD!$B$4:$C$5,2,FALSE)*V8),2)</f>
        <v>#N/A</v>
      </c>
      <c r="W7" s="177"/>
    </row>
    <row r="8" spans="4:56" x14ac:dyDescent="0.25">
      <c r="D8" s="165" t="s">
        <v>310</v>
      </c>
      <c r="E8" s="165"/>
      <c r="F8" s="165"/>
      <c r="G8" s="165"/>
      <c r="H8" s="83" t="s">
        <v>309</v>
      </c>
      <c r="I8" s="86" t="s">
        <v>308</v>
      </c>
      <c r="J8" s="183"/>
      <c r="Q8" s="86">
        <v>6</v>
      </c>
      <c r="R8" s="178" t="s">
        <v>307</v>
      </c>
      <c r="S8" s="179"/>
      <c r="T8" s="179"/>
      <c r="U8" s="180"/>
      <c r="V8" s="173">
        <v>0.92</v>
      </c>
      <c r="W8" s="173"/>
    </row>
    <row r="9" spans="4:56" x14ac:dyDescent="0.25">
      <c r="D9" s="165" t="s">
        <v>306</v>
      </c>
      <c r="E9" s="165"/>
      <c r="F9" s="165"/>
      <c r="G9" s="165"/>
      <c r="H9" s="83" t="s">
        <v>305</v>
      </c>
      <c r="I9" s="86" t="s">
        <v>304</v>
      </c>
      <c r="J9" s="183"/>
      <c r="Q9" s="86" t="s">
        <v>303</v>
      </c>
      <c r="R9" s="172" t="s">
        <v>302</v>
      </c>
      <c r="S9" s="172"/>
      <c r="T9" s="172"/>
      <c r="U9" s="172"/>
      <c r="V9" s="173"/>
      <c r="W9" s="173"/>
    </row>
    <row r="10" spans="4:56" x14ac:dyDescent="0.25">
      <c r="D10" s="165" t="s">
        <v>301</v>
      </c>
      <c r="E10" s="165"/>
      <c r="F10" s="165"/>
      <c r="G10" s="165"/>
      <c r="I10" s="86" t="s">
        <v>300</v>
      </c>
      <c r="J10" s="183"/>
      <c r="Q10" s="86">
        <v>4</v>
      </c>
      <c r="R10" s="172"/>
      <c r="S10" s="172"/>
      <c r="T10" s="172"/>
      <c r="U10" s="172"/>
      <c r="V10" s="173"/>
      <c r="W10" s="173"/>
    </row>
    <row r="11" spans="4:56" x14ac:dyDescent="0.25">
      <c r="D11" s="165" t="s">
        <v>299</v>
      </c>
      <c r="E11" s="165"/>
      <c r="F11" s="165"/>
      <c r="G11" s="165"/>
      <c r="H11" s="83">
        <v>380</v>
      </c>
      <c r="I11" s="86" t="s">
        <v>298</v>
      </c>
      <c r="J11" s="183"/>
      <c r="Q11" s="86" t="s">
        <v>297</v>
      </c>
      <c r="R11" s="174" t="s">
        <v>296</v>
      </c>
      <c r="S11" s="175"/>
      <c r="T11" s="175"/>
      <c r="U11" s="176"/>
      <c r="V11" s="174">
        <v>0.65</v>
      </c>
      <c r="W11" s="176"/>
    </row>
    <row r="12" spans="4:56" x14ac:dyDescent="0.25">
      <c r="D12" s="165" t="s">
        <v>295</v>
      </c>
      <c r="E12" s="165"/>
      <c r="F12" s="165"/>
      <c r="G12" s="165"/>
      <c r="H12" s="83" t="s">
        <v>294</v>
      </c>
      <c r="I12" s="86" t="s">
        <v>218</v>
      </c>
      <c r="J12" s="183"/>
      <c r="Q12" s="86" t="s">
        <v>293</v>
      </c>
      <c r="R12" s="166" t="s">
        <v>292</v>
      </c>
      <c r="S12" s="166"/>
      <c r="T12" s="166"/>
      <c r="U12" s="166"/>
      <c r="V12" s="166">
        <v>44.5</v>
      </c>
      <c r="W12" s="166"/>
    </row>
    <row r="13" spans="4:56" x14ac:dyDescent="0.25">
      <c r="D13" s="165" t="s">
        <v>291</v>
      </c>
      <c r="E13" s="165"/>
      <c r="F13" s="165"/>
      <c r="G13" s="165"/>
      <c r="H13" s="83" t="s">
        <v>290</v>
      </c>
      <c r="I13" s="84"/>
      <c r="J13" s="184"/>
      <c r="Q13" s="84"/>
      <c r="R13" s="166" t="s">
        <v>289</v>
      </c>
      <c r="S13" s="166"/>
      <c r="T13" s="166"/>
      <c r="U13" s="166"/>
      <c r="V13" s="166">
        <v>44.5</v>
      </c>
      <c r="W13" s="166"/>
    </row>
    <row r="14" spans="4:56" x14ac:dyDescent="0.25">
      <c r="D14" s="165" t="s">
        <v>288</v>
      </c>
      <c r="E14" s="165"/>
      <c r="F14" s="165"/>
      <c r="G14" s="165"/>
      <c r="H14" s="85" t="str">
        <f>'&lt;zlight&gt;'!G20&amp;"."&amp;'&lt;zlight&gt;'!H20</f>
        <v>.</v>
      </c>
      <c r="I14" s="84"/>
      <c r="J14" s="184"/>
      <c r="Q14" s="84"/>
      <c r="R14" s="166" t="s">
        <v>287</v>
      </c>
      <c r="S14" s="166"/>
      <c r="T14" s="166"/>
      <c r="U14" s="166"/>
      <c r="V14" s="166">
        <v>44.5</v>
      </c>
      <c r="W14" s="166"/>
    </row>
    <row r="15" spans="4:56" x14ac:dyDescent="0.25">
      <c r="D15" s="165" t="s">
        <v>286</v>
      </c>
      <c r="E15" s="165"/>
      <c r="F15" s="165"/>
      <c r="G15" s="165"/>
      <c r="H15" s="83">
        <v>77</v>
      </c>
      <c r="Q15" s="84"/>
      <c r="R15" s="167" t="s">
        <v>285</v>
      </c>
      <c r="S15" s="167"/>
      <c r="T15" s="167"/>
      <c r="U15" s="167"/>
      <c r="V15" s="167" t="e">
        <f ca="1">ROUNDUP((V6*1000)/(VLOOKUP(H11,BD!$B$4:$C$5,2,FALSE)*V8),2)</f>
        <v>#N/A</v>
      </c>
      <c r="W15" s="167"/>
    </row>
    <row r="16" spans="4:56" x14ac:dyDescent="0.25">
      <c r="R16" s="194" t="s">
        <v>421</v>
      </c>
      <c r="S16" s="194"/>
      <c r="T16" s="194"/>
      <c r="U16" s="194"/>
      <c r="V16" s="194" t="e">
        <f>INDEX(BA5:BA9,MATCH(1,BC5:BC9,0))</f>
        <v>#N/A</v>
      </c>
      <c r="W16" s="194"/>
    </row>
    <row r="19" spans="1:174" x14ac:dyDescent="0.25">
      <c r="AQ19" t="s">
        <v>391</v>
      </c>
    </row>
    <row r="24" spans="1:174" s="1" customFormat="1" x14ac:dyDescent="0.25">
      <c r="A24" s="111">
        <f>COLUMN(A24)</f>
        <v>1</v>
      </c>
      <c r="B24" s="111">
        <f t="shared" ref="B24:BR24" si="0">COLUMN(B24)</f>
        <v>2</v>
      </c>
      <c r="C24" s="111">
        <f t="shared" si="0"/>
        <v>3</v>
      </c>
      <c r="D24" s="111">
        <f t="shared" si="0"/>
        <v>4</v>
      </c>
      <c r="E24" s="111">
        <f t="shared" si="0"/>
        <v>5</v>
      </c>
      <c r="F24" s="111">
        <f t="shared" si="0"/>
        <v>6</v>
      </c>
      <c r="G24" s="111">
        <f t="shared" si="0"/>
        <v>7</v>
      </c>
      <c r="H24" s="111">
        <f t="shared" si="0"/>
        <v>8</v>
      </c>
      <c r="I24" s="111">
        <f t="shared" si="0"/>
        <v>9</v>
      </c>
      <c r="J24" s="111"/>
      <c r="K24" s="111">
        <f t="shared" si="0"/>
        <v>11</v>
      </c>
      <c r="L24" s="111">
        <f t="shared" si="0"/>
        <v>12</v>
      </c>
      <c r="M24" s="111">
        <f t="shared" si="0"/>
        <v>13</v>
      </c>
      <c r="N24" s="111">
        <f t="shared" si="0"/>
        <v>14</v>
      </c>
      <c r="O24" s="111">
        <f t="shared" si="0"/>
        <v>15</v>
      </c>
      <c r="P24" s="111"/>
      <c r="Q24" s="111">
        <f t="shared" si="0"/>
        <v>17</v>
      </c>
      <c r="R24" s="111">
        <f t="shared" si="0"/>
        <v>18</v>
      </c>
      <c r="S24" s="111">
        <f t="shared" si="0"/>
        <v>19</v>
      </c>
      <c r="T24" s="111">
        <f t="shared" si="0"/>
        <v>20</v>
      </c>
      <c r="U24" s="111">
        <f t="shared" si="0"/>
        <v>21</v>
      </c>
      <c r="V24" s="111">
        <f t="shared" si="0"/>
        <v>22</v>
      </c>
      <c r="W24" s="111">
        <f t="shared" si="0"/>
        <v>23</v>
      </c>
      <c r="X24" s="111">
        <f t="shared" si="0"/>
        <v>24</v>
      </c>
      <c r="Y24" s="111">
        <f t="shared" si="0"/>
        <v>25</v>
      </c>
      <c r="Z24" s="111">
        <f t="shared" si="0"/>
        <v>26</v>
      </c>
      <c r="AA24" s="111">
        <f t="shared" si="0"/>
        <v>27</v>
      </c>
      <c r="AB24" s="111">
        <f t="shared" si="0"/>
        <v>28</v>
      </c>
      <c r="AC24" s="111">
        <f t="shared" si="0"/>
        <v>29</v>
      </c>
      <c r="AD24" s="111"/>
      <c r="AE24" s="111">
        <f t="shared" si="0"/>
        <v>31</v>
      </c>
      <c r="AF24" s="111"/>
      <c r="AG24" s="111"/>
      <c r="AH24" s="111">
        <f t="shared" si="0"/>
        <v>34</v>
      </c>
      <c r="AI24" s="111">
        <f t="shared" si="0"/>
        <v>35</v>
      </c>
      <c r="AJ24" s="111"/>
      <c r="AK24" s="111"/>
      <c r="AL24" s="111"/>
      <c r="AM24" s="111">
        <f t="shared" si="0"/>
        <v>39</v>
      </c>
      <c r="AN24" s="111">
        <f t="shared" si="0"/>
        <v>40</v>
      </c>
      <c r="AO24" s="111">
        <f t="shared" si="0"/>
        <v>41</v>
      </c>
      <c r="AP24" s="111">
        <f t="shared" si="0"/>
        <v>42</v>
      </c>
      <c r="AQ24" s="111">
        <f t="shared" si="0"/>
        <v>43</v>
      </c>
      <c r="AR24" s="111">
        <f t="shared" si="0"/>
        <v>44</v>
      </c>
      <c r="AS24" s="111">
        <f t="shared" si="0"/>
        <v>45</v>
      </c>
      <c r="AT24" s="111">
        <f t="shared" si="0"/>
        <v>46</v>
      </c>
      <c r="AU24" s="111">
        <f t="shared" si="0"/>
        <v>47</v>
      </c>
      <c r="AV24" s="111">
        <f t="shared" si="0"/>
        <v>48</v>
      </c>
      <c r="AW24" s="111">
        <f t="shared" si="0"/>
        <v>49</v>
      </c>
      <c r="AX24" s="111">
        <f t="shared" si="0"/>
        <v>50</v>
      </c>
      <c r="AY24" s="111">
        <f t="shared" si="0"/>
        <v>51</v>
      </c>
      <c r="AZ24" s="111">
        <f t="shared" si="0"/>
        <v>52</v>
      </c>
      <c r="BA24" s="111">
        <f t="shared" si="0"/>
        <v>53</v>
      </c>
      <c r="BB24" s="111">
        <f t="shared" si="0"/>
        <v>54</v>
      </c>
      <c r="BC24" s="111">
        <f t="shared" si="0"/>
        <v>55</v>
      </c>
      <c r="BD24" s="111">
        <f t="shared" si="0"/>
        <v>56</v>
      </c>
      <c r="BE24" s="111">
        <f t="shared" si="0"/>
        <v>57</v>
      </c>
      <c r="BF24" s="111">
        <f t="shared" si="0"/>
        <v>58</v>
      </c>
      <c r="BG24" s="111">
        <f t="shared" si="0"/>
        <v>59</v>
      </c>
      <c r="BH24" s="111">
        <f t="shared" si="0"/>
        <v>60</v>
      </c>
      <c r="BI24" s="111">
        <f t="shared" si="0"/>
        <v>61</v>
      </c>
      <c r="BJ24" s="111">
        <f t="shared" si="0"/>
        <v>62</v>
      </c>
      <c r="BK24" s="111">
        <f t="shared" si="0"/>
        <v>63</v>
      </c>
      <c r="BL24" s="111">
        <f t="shared" si="0"/>
        <v>64</v>
      </c>
      <c r="BM24" s="111">
        <f t="shared" si="0"/>
        <v>65</v>
      </c>
      <c r="BN24" s="111">
        <f t="shared" si="0"/>
        <v>66</v>
      </c>
      <c r="BO24" s="111">
        <f t="shared" si="0"/>
        <v>67</v>
      </c>
      <c r="BP24" s="111">
        <f t="shared" si="0"/>
        <v>68</v>
      </c>
      <c r="BQ24" s="111">
        <f t="shared" si="0"/>
        <v>69</v>
      </c>
      <c r="BR24" s="111">
        <f t="shared" si="0"/>
        <v>70</v>
      </c>
      <c r="BS24" s="111">
        <f t="shared" ref="BS24:EJ24" si="1">COLUMN(BS24)</f>
        <v>71</v>
      </c>
      <c r="BT24" s="111">
        <f t="shared" si="1"/>
        <v>72</v>
      </c>
      <c r="BU24" s="111">
        <f t="shared" si="1"/>
        <v>73</v>
      </c>
      <c r="BV24" s="111">
        <f t="shared" si="1"/>
        <v>74</v>
      </c>
      <c r="BW24" s="111">
        <f t="shared" si="1"/>
        <v>75</v>
      </c>
      <c r="BX24" s="111">
        <f t="shared" si="1"/>
        <v>76</v>
      </c>
      <c r="BY24" s="111">
        <f t="shared" si="1"/>
        <v>77</v>
      </c>
      <c r="BZ24" s="111">
        <f t="shared" si="1"/>
        <v>78</v>
      </c>
      <c r="CA24" s="111">
        <f t="shared" si="1"/>
        <v>79</v>
      </c>
      <c r="CB24" s="111">
        <f t="shared" si="1"/>
        <v>80</v>
      </c>
      <c r="CC24" s="111">
        <f t="shared" si="1"/>
        <v>81</v>
      </c>
      <c r="CD24" s="111">
        <f t="shared" si="1"/>
        <v>82</v>
      </c>
      <c r="CE24" s="111"/>
      <c r="CF24" s="111"/>
      <c r="CG24" s="111"/>
      <c r="CH24" s="111"/>
      <c r="CI24" s="111">
        <f t="shared" si="1"/>
        <v>87</v>
      </c>
      <c r="CJ24" s="111">
        <f t="shared" si="1"/>
        <v>88</v>
      </c>
      <c r="CK24" s="111">
        <f t="shared" si="1"/>
        <v>89</v>
      </c>
      <c r="CL24" s="111">
        <f t="shared" si="1"/>
        <v>90</v>
      </c>
      <c r="CM24" s="111">
        <f t="shared" si="1"/>
        <v>91</v>
      </c>
      <c r="CN24" s="111">
        <f t="shared" si="1"/>
        <v>92</v>
      </c>
      <c r="CO24" s="111">
        <f t="shared" si="1"/>
        <v>93</v>
      </c>
      <c r="CP24" s="111">
        <f t="shared" si="1"/>
        <v>94</v>
      </c>
      <c r="CQ24" s="111">
        <f t="shared" si="1"/>
        <v>95</v>
      </c>
      <c r="CR24" s="111">
        <f t="shared" si="1"/>
        <v>96</v>
      </c>
      <c r="CS24" s="111">
        <f t="shared" si="1"/>
        <v>97</v>
      </c>
      <c r="CT24" s="111">
        <f t="shared" si="1"/>
        <v>98</v>
      </c>
      <c r="CU24" s="111">
        <f t="shared" si="1"/>
        <v>99</v>
      </c>
      <c r="CV24" s="111">
        <f t="shared" si="1"/>
        <v>100</v>
      </c>
      <c r="CW24" s="111">
        <f t="shared" si="1"/>
        <v>101</v>
      </c>
      <c r="CX24" s="111">
        <f t="shared" si="1"/>
        <v>102</v>
      </c>
      <c r="CY24" s="111">
        <f t="shared" si="1"/>
        <v>103</v>
      </c>
      <c r="CZ24" s="111">
        <f t="shared" si="1"/>
        <v>104</v>
      </c>
      <c r="DA24" s="111">
        <f t="shared" si="1"/>
        <v>105</v>
      </c>
      <c r="DB24" s="111">
        <f t="shared" si="1"/>
        <v>106</v>
      </c>
      <c r="DC24" s="111">
        <f t="shared" si="1"/>
        <v>107</v>
      </c>
      <c r="DD24" s="111">
        <f t="shared" si="1"/>
        <v>108</v>
      </c>
      <c r="DE24" s="111">
        <f t="shared" si="1"/>
        <v>109</v>
      </c>
      <c r="DF24" s="111">
        <f t="shared" si="1"/>
        <v>110</v>
      </c>
      <c r="DG24" s="111">
        <f t="shared" si="1"/>
        <v>111</v>
      </c>
      <c r="DH24" s="111">
        <f t="shared" si="1"/>
        <v>112</v>
      </c>
      <c r="DI24" s="111">
        <f t="shared" si="1"/>
        <v>113</v>
      </c>
      <c r="DJ24" s="111">
        <f t="shared" si="1"/>
        <v>114</v>
      </c>
      <c r="DK24" s="111">
        <f t="shared" si="1"/>
        <v>115</v>
      </c>
      <c r="DL24" s="111">
        <f t="shared" si="1"/>
        <v>116</v>
      </c>
      <c r="DM24" s="111">
        <f t="shared" si="1"/>
        <v>117</v>
      </c>
      <c r="DN24" s="111">
        <f t="shared" si="1"/>
        <v>118</v>
      </c>
      <c r="DO24" s="111">
        <f t="shared" si="1"/>
        <v>119</v>
      </c>
      <c r="DP24" s="111">
        <f t="shared" si="1"/>
        <v>120</v>
      </c>
      <c r="DQ24" s="111">
        <f t="shared" si="1"/>
        <v>121</v>
      </c>
      <c r="DR24" s="111">
        <f t="shared" si="1"/>
        <v>122</v>
      </c>
      <c r="DS24" s="111">
        <f t="shared" si="1"/>
        <v>123</v>
      </c>
      <c r="DT24" s="111">
        <f t="shared" si="1"/>
        <v>124</v>
      </c>
      <c r="DU24" s="111">
        <f t="shared" si="1"/>
        <v>125</v>
      </c>
      <c r="DV24" s="111">
        <f t="shared" si="1"/>
        <v>126</v>
      </c>
      <c r="DW24" s="111">
        <f t="shared" si="1"/>
        <v>127</v>
      </c>
      <c r="DX24" s="111">
        <f t="shared" si="1"/>
        <v>128</v>
      </c>
      <c r="DY24" s="111">
        <f t="shared" si="1"/>
        <v>129</v>
      </c>
      <c r="DZ24" s="111">
        <f t="shared" si="1"/>
        <v>130</v>
      </c>
      <c r="EA24" s="1">
        <f t="shared" si="1"/>
        <v>131</v>
      </c>
      <c r="EB24" s="1">
        <f t="shared" si="1"/>
        <v>132</v>
      </c>
      <c r="EC24" s="1">
        <f t="shared" si="1"/>
        <v>133</v>
      </c>
      <c r="ED24" s="1">
        <f t="shared" si="1"/>
        <v>134</v>
      </c>
      <c r="EE24" s="1">
        <f t="shared" si="1"/>
        <v>135</v>
      </c>
      <c r="EF24" s="1">
        <f t="shared" si="1"/>
        <v>136</v>
      </c>
      <c r="EG24" s="1">
        <f t="shared" si="1"/>
        <v>137</v>
      </c>
      <c r="EH24" s="1">
        <f t="shared" si="1"/>
        <v>138</v>
      </c>
      <c r="EI24" s="1">
        <f t="shared" si="1"/>
        <v>139</v>
      </c>
      <c r="EJ24" s="1">
        <f t="shared" si="1"/>
        <v>140</v>
      </c>
      <c r="EK24" s="1">
        <f t="shared" ref="EK24:EU24" si="2">COLUMN(EK24)</f>
        <v>141</v>
      </c>
      <c r="EL24" s="1">
        <f t="shared" si="2"/>
        <v>142</v>
      </c>
      <c r="EM24" s="1">
        <f t="shared" si="2"/>
        <v>143</v>
      </c>
      <c r="EN24" s="1">
        <f t="shared" si="2"/>
        <v>144</v>
      </c>
      <c r="EO24" s="1">
        <f t="shared" si="2"/>
        <v>145</v>
      </c>
      <c r="EP24" s="1">
        <f t="shared" si="2"/>
        <v>146</v>
      </c>
      <c r="EQ24" s="1">
        <f t="shared" si="2"/>
        <v>147</v>
      </c>
      <c r="ER24" s="1">
        <f t="shared" si="2"/>
        <v>148</v>
      </c>
      <c r="ES24" s="1">
        <f t="shared" si="2"/>
        <v>149</v>
      </c>
      <c r="ET24" s="1">
        <f t="shared" si="2"/>
        <v>150</v>
      </c>
      <c r="EU24" s="1">
        <f t="shared" si="2"/>
        <v>151</v>
      </c>
      <c r="EV24" s="1">
        <f>COLUMN(EV24)</f>
        <v>152</v>
      </c>
      <c r="EW24" s="1">
        <f t="shared" ref="EW24:FR24" si="3">COLUMN(EW24)</f>
        <v>153</v>
      </c>
      <c r="EX24" s="1">
        <f t="shared" si="3"/>
        <v>154</v>
      </c>
      <c r="EY24" s="1">
        <f t="shared" si="3"/>
        <v>155</v>
      </c>
      <c r="EZ24" s="1">
        <f t="shared" si="3"/>
        <v>156</v>
      </c>
      <c r="FA24" s="1">
        <f t="shared" si="3"/>
        <v>157</v>
      </c>
      <c r="FB24" s="1">
        <f t="shared" si="3"/>
        <v>158</v>
      </c>
      <c r="FC24" s="1">
        <f t="shared" si="3"/>
        <v>159</v>
      </c>
      <c r="FD24" s="1">
        <f t="shared" si="3"/>
        <v>160</v>
      </c>
      <c r="FE24" s="1">
        <f t="shared" si="3"/>
        <v>161</v>
      </c>
      <c r="FF24" s="1">
        <f t="shared" si="3"/>
        <v>162</v>
      </c>
      <c r="FG24" s="1">
        <f t="shared" si="3"/>
        <v>163</v>
      </c>
      <c r="FH24" s="1">
        <f t="shared" si="3"/>
        <v>164</v>
      </c>
      <c r="FI24" s="1">
        <f t="shared" si="3"/>
        <v>165</v>
      </c>
      <c r="FJ24" s="1">
        <f t="shared" si="3"/>
        <v>166</v>
      </c>
      <c r="FK24" s="1">
        <f t="shared" si="3"/>
        <v>167</v>
      </c>
      <c r="FL24" s="1">
        <f t="shared" si="3"/>
        <v>168</v>
      </c>
      <c r="FM24" s="1">
        <f t="shared" si="3"/>
        <v>169</v>
      </c>
      <c r="FN24" s="1">
        <f t="shared" si="3"/>
        <v>170</v>
      </c>
      <c r="FO24" s="1">
        <f t="shared" si="3"/>
        <v>171</v>
      </c>
      <c r="FP24" s="1">
        <f t="shared" si="3"/>
        <v>172</v>
      </c>
      <c r="FQ24" s="1">
        <f t="shared" si="3"/>
        <v>173</v>
      </c>
      <c r="FR24" s="1">
        <f t="shared" si="3"/>
        <v>174</v>
      </c>
    </row>
    <row r="25" spans="1:174" ht="15.75" thickBot="1" x14ac:dyDescent="0.3">
      <c r="AQ25" t="s">
        <v>352</v>
      </c>
    </row>
    <row r="26" spans="1:174" ht="15.75" customHeight="1" thickBot="1" x14ac:dyDescent="0.3">
      <c r="D26" s="168" t="s">
        <v>284</v>
      </c>
      <c r="E26" s="170" t="s">
        <v>233</v>
      </c>
      <c r="F26" s="163" t="s">
        <v>232</v>
      </c>
      <c r="G26" s="170" t="s">
        <v>283</v>
      </c>
      <c r="H26" s="163" t="s">
        <v>282</v>
      </c>
      <c r="I26" s="163" t="s">
        <v>281</v>
      </c>
      <c r="J26" s="186" t="s">
        <v>404</v>
      </c>
      <c r="K26" s="188" t="s">
        <v>405</v>
      </c>
      <c r="L26" s="188"/>
      <c r="M26" s="188"/>
      <c r="N26" s="155" t="s">
        <v>280</v>
      </c>
      <c r="Q26" s="157" t="s">
        <v>279</v>
      </c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9" t="s">
        <v>278</v>
      </c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1"/>
      <c r="AO26" s="159" t="s">
        <v>277</v>
      </c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1"/>
      <c r="BC26" s="159" t="s">
        <v>276</v>
      </c>
      <c r="BD26" s="160"/>
      <c r="BE26" s="160"/>
      <c r="BF26" s="160"/>
      <c r="BG26" s="160"/>
      <c r="BH26" s="160"/>
      <c r="BI26" s="160"/>
      <c r="BJ26" s="160"/>
      <c r="BK26" s="160"/>
      <c r="BL26" s="160"/>
      <c r="BM26" s="160"/>
      <c r="BN26" s="160"/>
      <c r="BO26" s="160"/>
      <c r="BP26" s="160"/>
      <c r="BQ26" s="160"/>
      <c r="BR26" s="160"/>
      <c r="BS26" s="161"/>
      <c r="BT26" s="152" t="s">
        <v>275</v>
      </c>
      <c r="BU26" s="153"/>
      <c r="BV26" s="153"/>
      <c r="BW26" s="153"/>
      <c r="BX26" s="153"/>
      <c r="BY26" s="153"/>
      <c r="BZ26" s="153"/>
      <c r="CA26" s="162" t="s">
        <v>274</v>
      </c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62"/>
      <c r="CV26" s="162"/>
      <c r="CW26" s="162"/>
      <c r="CX26" t="s">
        <v>213</v>
      </c>
      <c r="CY26" s="1" t="s">
        <v>273</v>
      </c>
      <c r="CZ26" s="1">
        <v>60</v>
      </c>
      <c r="DA26" s="1">
        <v>0</v>
      </c>
      <c r="DB26" s="1">
        <v>1</v>
      </c>
      <c r="DC26" s="1">
        <v>1</v>
      </c>
      <c r="DD26" t="s">
        <v>272</v>
      </c>
      <c r="DE26">
        <f>H5</f>
        <v>0</v>
      </c>
      <c r="DF26" t="s">
        <v>271</v>
      </c>
      <c r="DG26">
        <f>H6</f>
        <v>0</v>
      </c>
      <c r="DH26" t="s">
        <v>270</v>
      </c>
      <c r="DI26" t="e">
        <f ca="1">"Установленная полная мощность, Ру = "&amp;V5&amp;"кВт"</f>
        <v>#N/A</v>
      </c>
      <c r="DJ26" t="s">
        <v>269</v>
      </c>
      <c r="DK26" t="str">
        <f>"Коэффициент спроса, Кс = "&amp;V11</f>
        <v>Коэффициент спроса, Кс = 0,65</v>
      </c>
      <c r="DL26" t="s">
        <v>268</v>
      </c>
      <c r="DM26" t="e">
        <f ca="1">"Расчетная мощность, Рр = "&amp;V6</f>
        <v>#N/A</v>
      </c>
      <c r="DN26" t="s">
        <v>267</v>
      </c>
      <c r="DO26" t="str">
        <f>"Коэффициент мощности, cosf = "&amp;V8</f>
        <v>Коэффициент мощности, cosf = 0,92</v>
      </c>
      <c r="DP26" t="s">
        <v>266</v>
      </c>
      <c r="DQ26" t="e">
        <f ca="1">"Расчетный ток, Iр = "&amp;V15&amp;"А"</f>
        <v>#N/A</v>
      </c>
      <c r="EL26" t="s">
        <v>195</v>
      </c>
    </row>
    <row r="27" spans="1:174" ht="45.75" thickBot="1" x14ac:dyDescent="0.3">
      <c r="D27" s="169"/>
      <c r="E27" s="171"/>
      <c r="F27" s="164"/>
      <c r="G27" s="171"/>
      <c r="H27" s="164"/>
      <c r="I27" s="164"/>
      <c r="J27" s="187"/>
      <c r="K27" s="189" t="s">
        <v>265</v>
      </c>
      <c r="L27" s="189" t="s">
        <v>264</v>
      </c>
      <c r="M27" s="199" t="s">
        <v>263</v>
      </c>
      <c r="N27" s="156"/>
      <c r="Q27" s="82" t="s">
        <v>339</v>
      </c>
      <c r="R27" s="82" t="s">
        <v>262</v>
      </c>
      <c r="S27" s="82" t="s">
        <v>3</v>
      </c>
      <c r="T27" s="81" t="s">
        <v>261</v>
      </c>
      <c r="U27" s="79" t="s">
        <v>260</v>
      </c>
      <c r="V27" s="81" t="s">
        <v>259</v>
      </c>
      <c r="W27" s="80" t="s">
        <v>258</v>
      </c>
      <c r="X27" s="80" t="s">
        <v>257</v>
      </c>
      <c r="Y27" s="79" t="s">
        <v>256</v>
      </c>
      <c r="Z27" s="78" t="s">
        <v>255</v>
      </c>
      <c r="AA27" s="77" t="s">
        <v>254</v>
      </c>
      <c r="AB27" s="76" t="s">
        <v>253</v>
      </c>
      <c r="AC27" s="72" t="s">
        <v>252</v>
      </c>
      <c r="AD27" s="72" t="s">
        <v>427</v>
      </c>
      <c r="AE27" s="72" t="s">
        <v>250</v>
      </c>
      <c r="AF27" s="72" t="s">
        <v>428</v>
      </c>
      <c r="AG27" s="72" t="s">
        <v>249</v>
      </c>
      <c r="AH27" s="72" t="s">
        <v>248</v>
      </c>
      <c r="AI27" s="72" t="s">
        <v>251</v>
      </c>
      <c r="AJ27" s="72" t="s">
        <v>424</v>
      </c>
      <c r="AK27" s="72" t="s">
        <v>425</v>
      </c>
      <c r="AL27" s="72" t="s">
        <v>426</v>
      </c>
      <c r="AM27" s="71" t="s">
        <v>228</v>
      </c>
      <c r="AN27" s="70" t="s">
        <v>247</v>
      </c>
      <c r="AO27" s="72" t="s">
        <v>246</v>
      </c>
      <c r="AP27" s="72" t="s">
        <v>245</v>
      </c>
      <c r="AQ27" s="72" t="s">
        <v>244</v>
      </c>
      <c r="AR27" s="72" t="s">
        <v>243</v>
      </c>
      <c r="AS27" s="72" t="s">
        <v>242</v>
      </c>
      <c r="AT27" s="72" t="s">
        <v>241</v>
      </c>
      <c r="AU27" s="72" t="s">
        <v>240</v>
      </c>
      <c r="AV27" s="72" t="s">
        <v>35</v>
      </c>
      <c r="AW27" s="72" t="s">
        <v>239</v>
      </c>
      <c r="AX27" s="72" t="s">
        <v>238</v>
      </c>
      <c r="AY27" s="72" t="s">
        <v>237</v>
      </c>
      <c r="AZ27" s="72" t="s">
        <v>236</v>
      </c>
      <c r="BA27" s="72" t="s">
        <v>235</v>
      </c>
      <c r="BB27" s="72" t="s">
        <v>234</v>
      </c>
      <c r="BC27" s="75" t="s">
        <v>233</v>
      </c>
      <c r="BD27" s="75" t="s">
        <v>232</v>
      </c>
      <c r="BE27" s="74" t="s">
        <v>231</v>
      </c>
      <c r="BF27" s="72" t="s">
        <v>230</v>
      </c>
      <c r="BG27" s="74" t="s">
        <v>229</v>
      </c>
      <c r="BH27" s="73" t="s">
        <v>228</v>
      </c>
      <c r="BI27" s="71" t="s">
        <v>227</v>
      </c>
      <c r="BJ27" s="71" t="s">
        <v>226</v>
      </c>
      <c r="BK27" s="71" t="s">
        <v>225</v>
      </c>
      <c r="BL27" s="71" t="s">
        <v>224</v>
      </c>
      <c r="BM27" s="72" t="s">
        <v>223</v>
      </c>
      <c r="BN27" s="71" t="s">
        <v>221</v>
      </c>
      <c r="BO27" s="71" t="s">
        <v>220</v>
      </c>
      <c r="BP27" s="71" t="s">
        <v>219</v>
      </c>
      <c r="BQ27" s="72" t="s">
        <v>218</v>
      </c>
      <c r="BR27" s="71" t="s">
        <v>217</v>
      </c>
      <c r="BS27" s="70" t="s">
        <v>216</v>
      </c>
      <c r="BT27" s="69" t="s">
        <v>222</v>
      </c>
      <c r="BU27" s="69" t="s">
        <v>221</v>
      </c>
      <c r="BV27" s="69" t="s">
        <v>220</v>
      </c>
      <c r="BW27" s="69" t="s">
        <v>219</v>
      </c>
      <c r="BX27" s="69" t="s">
        <v>218</v>
      </c>
      <c r="BY27" s="69" t="s">
        <v>217</v>
      </c>
      <c r="BZ27" s="117" t="s">
        <v>216</v>
      </c>
      <c r="CA27" s="118" t="s">
        <v>396</v>
      </c>
      <c r="CB27" s="118" t="s">
        <v>395</v>
      </c>
      <c r="CC27" s="118" t="s">
        <v>397</v>
      </c>
      <c r="CD27" s="130" t="s">
        <v>402</v>
      </c>
      <c r="CE27" s="196" t="s">
        <v>429</v>
      </c>
      <c r="CF27" s="196" t="s">
        <v>430</v>
      </c>
      <c r="CG27" s="196" t="s">
        <v>431</v>
      </c>
      <c r="CH27" s="196" t="s">
        <v>432</v>
      </c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8"/>
      <c r="CT27" s="118"/>
      <c r="CU27" s="118"/>
      <c r="CV27" s="118"/>
      <c r="CW27" s="118"/>
      <c r="CZ27" s="1">
        <v>35</v>
      </c>
      <c r="EM27" s="154" t="s">
        <v>215</v>
      </c>
      <c r="EN27" s="154"/>
      <c r="EO27" s="154"/>
      <c r="EP27" s="154"/>
      <c r="EQ27" s="154"/>
      <c r="ER27" s="154"/>
      <c r="ES27" s="154"/>
      <c r="ET27" s="154"/>
      <c r="EU27" s="154"/>
      <c r="EV27" s="154" t="s">
        <v>214</v>
      </c>
      <c r="EW27" s="154"/>
      <c r="EX27" s="154"/>
      <c r="EY27" s="154"/>
      <c r="EZ27" s="154"/>
      <c r="FA27" s="154"/>
      <c r="FB27" s="154"/>
      <c r="FC27" s="154"/>
      <c r="FD27" s="154"/>
    </row>
    <row r="28" spans="1:174" x14ac:dyDescent="0.25">
      <c r="C28" t="s">
        <v>403</v>
      </c>
      <c r="D28" s="68">
        <f>IF(COUNT($CB$28:CB28)=MATCH(CA28,$CA$28:CA28,0),CA28,"")</f>
        <v>-1</v>
      </c>
      <c r="E28" s="64" t="str">
        <f>IF(D28="","","АВ")</f>
        <v>АВ</v>
      </c>
      <c r="F28" s="64">
        <f>IF(D28="","",1)</f>
        <v>1</v>
      </c>
      <c r="G28" s="64" t="str">
        <f>IF(D28="","","АВ")</f>
        <v>АВ</v>
      </c>
      <c r="H28" s="68" t="e">
        <f ca="1">IF(E28="","",IF(F28="",BQ28&amp;", "&amp;BR28&amp;", "&amp;BS28,IF(MATCH(F28,$F$28:F28,0)=MATCH(F28,$F$28:F28,1),BQ28&amp;", "&amp;BR28&amp;", "&amp;BS28,"")))</f>
        <v>#N/A</v>
      </c>
      <c r="I28" s="68" t="e">
        <f ca="1">IF(G28="","",BX28&amp;", "&amp;BY28&amp;", "&amp;BZ28)</f>
        <v>#N/A</v>
      </c>
      <c r="J28" s="185" t="e">
        <f ca="1">AD28&amp;"кВт; "&amp;R28&amp;"В; "&amp;AE28&amp;"A; "&amp;AF28</f>
        <v>#N/A</v>
      </c>
      <c r="K28" s="200" t="e">
        <f>IF(CE28=0,"V","")</f>
        <v>#N/A</v>
      </c>
      <c r="L28" s="200" t="e">
        <f>IF(CE28=1,"V","")</f>
        <v>#N/A</v>
      </c>
      <c r="M28" s="200" t="e">
        <f>IF(CE28=2,"V","")</f>
        <v>#N/A</v>
      </c>
      <c r="N28" s="198"/>
      <c r="O28" t="str">
        <f>"&lt;zsetformulatocell toSheet=[zalldevEXPORT]  toCell=["&amp;ADDRESS(ROW('&lt;zalldev&gt;EXPORT'!W11),COLUMN('&lt;zalldev&gt;EXPORT'!W11))&amp;"] formula=[fromSheet!"&amp;ADDRESS(ROW(X28),COLUMN(X28))&amp;"]"</f>
        <v>&lt;zsetformulatocell toSheet=[zalldevEXPORT]  toCell=[$W$11] formula=[fromSheet!$X$28]</v>
      </c>
      <c r="Q28" s="53">
        <f>'&lt;zalldev&gt;EXPORT'!D11</f>
        <v>0</v>
      </c>
      <c r="R28" s="67" t="e">
        <f ca="1">IF(IFERROR(CC28,1)=1,INDEX(BD!$B$4:$B$5,MATCH('&lt;zalldev&gt;EXPORT'!AB11,BD!$A$4:$A$5,0)),INDIRECT("'"&amp;Q28&amp;"'!"&amp;"G1"))</f>
        <v>#N/A</v>
      </c>
      <c r="S28" s="67" t="e">
        <f ca="1">IF(IFERROR(CC28,1)=1,INDEX(BD!$B$10:$B$13,MATCH('&lt;zalldev&gt;EXPORT'!AE11,BD!$A$10:$A$13,0)),INDIRECT("'"&amp;Q28&amp;"'!"&amp;"H1"))</f>
        <v>#N/A</v>
      </c>
      <c r="T28" s="67">
        <f ca="1">IF(IFERROR(CC28,1)=1,Y28*X28,INDIRECT("'"&amp;Q28&amp;"'!"&amp;"E1"))</f>
        <v>0</v>
      </c>
      <c r="U28" s="67">
        <f ca="1">IF(IFERROR(CC28,1)=1,'&lt;zalldev&gt;EXPORT'!Y11,INDIRECT("'"&amp;Q28&amp;"'!"&amp;"F1"))</f>
        <v>0</v>
      </c>
      <c r="V28" s="52" t="e">
        <f ca="1">ROUNDUP((T28*1000)/(INDEX(BD!$C$4:$C$5,MATCH(R28,BD!$B$4:$B$5,0))*U28),2)</f>
        <v>#N/A</v>
      </c>
      <c r="W28" s="53">
        <f ca="1">ROUNDUP(T28*ROUNDUP(TAN(ACOS(U28)),2),2)</f>
        <v>0</v>
      </c>
      <c r="X28" s="53">
        <f>'&lt;zalldev&gt;EXPORT'!V11</f>
        <v>0</v>
      </c>
      <c r="Y28" s="53">
        <f>'&lt;zalldev&gt;EXPORT'!AP11</f>
        <v>1</v>
      </c>
      <c r="Z28" s="53">
        <v>1</v>
      </c>
      <c r="AA28" s="1" t="s">
        <v>325</v>
      </c>
      <c r="AB28" s="53">
        <f>'&lt;zalldev&gt;EXPORT'!P11</f>
        <v>0</v>
      </c>
      <c r="AC28" s="61">
        <v>1</v>
      </c>
      <c r="AD28" s="61">
        <f ca="1">IF(D28="","",AC28*SUMIFS($T$28:$T$700000,$CA$28:$CA$700000,CA28))</f>
        <v>0</v>
      </c>
      <c r="AE28" s="61" t="e">
        <f ca="1">IF(D28="","",ROUNDUP((AD28*1000)/(INDEX(BD!$C$4:$C$5,MATCH(R28,BD!$B$4:$B$5,0))*AF28),2))</f>
        <v>#N/A</v>
      </c>
      <c r="AF28" s="61" t="e">
        <f ca="1">IF(D28="","",ROUNDUP(COS(ATAN(ROUNDUP(AG28/AD28,2))),2))</f>
        <v>#DIV/0!</v>
      </c>
      <c r="AG28" s="61">
        <f ca="1">IF(D28="","",AC28*SUMIFS($W$28:$W$12004,$CA$28:$CA$12004,CA28))</f>
        <v>0</v>
      </c>
      <c r="AH28" s="61">
        <f ca="1">IF(D28="","",ROUNDUP(SQRT(AD28*AD28+AG28*AG28),2))</f>
        <v>0</v>
      </c>
      <c r="AI28" s="61" t="e">
        <f ca="1">IF(D28="","",ROUNDUP((1/1000)*(100/R28)*IF(R28&lt;380,2,SQRT(3))*AE28*AQ28*(INDEX(INDIRECT("BDКаб!"&amp;INDEX(BDКаб!$C$4:$AH$4,1,MATCH(AR28&amp;AS28&amp;AT28&amp;"R",BDКаб!$C$3:$AH$3,0))),MATCH(AV28,BDКаб!$B$5:$B$12,0))*AF28 + INDEX(INDIRECT("BDКаб!"&amp;INDEX(BDКаб!$C$4:$AH$4,1,MATCH(AR28&amp;AS28&amp;AT28&amp;"X",BDКаб!$C$3:$AH$3,0))),MATCH(AV28,BDКаб!$B$5:$B$12,0))*SQRT(1-AF28*AF28)),2))</f>
        <v>#N/A</v>
      </c>
      <c r="AJ28" s="201" t="e">
        <f>IF(CE28=0,IF(CH28=0,T28,T28+SUMIF(CF28:$CF$700000,Q28,AK28:$AK$700000)),"")</f>
        <v>#N/A</v>
      </c>
      <c r="AK28" s="201" t="e">
        <f>IF(CE28=1,IF(CH28=0,T28,T28+SUMIF(CF28:$CF$700000,Q28,AL28:$AL$700000)),"")</f>
        <v>#N/A</v>
      </c>
      <c r="AL28" s="201" t="e">
        <f>IF(CE28=2,T28,"")</f>
        <v>#N/A</v>
      </c>
      <c r="AM28" s="60">
        <f>IF(D28="","",1.3)</f>
        <v>1.3</v>
      </c>
      <c r="AN28" s="60">
        <f>IF(AO28="","",3)</f>
        <v>3</v>
      </c>
      <c r="AO28" s="61" t="str">
        <f>IF(CD28="0",IF(D28="","",'&lt;zalldev&gt;EXPORT'!J11&amp;"."&amp;'&lt;zalldev&gt;EXPORT'!M11),'&lt;zalldev&gt;EXPORT'!J11&amp;"."&amp;'&lt;zalldev&gt;EXPORT'!M11)</f>
        <v>.</v>
      </c>
      <c r="AP28" s="61" t="e">
        <f ca="1">IF(AO28="","",AW28&amp;"-"&amp;AU28&amp;"х"&amp;AV28&amp;"мм²")</f>
        <v>#N/A</v>
      </c>
      <c r="AQ28" s="131" t="e">
        <f>IF(AO28="","",INDEX('&lt;zallcab&gt;CALC'!$X$7:$X$700000,MATCH(AO28,'&lt;zallcab&gt;CALC'!$D$7:$D$700000,0)))</f>
        <v>#N/A</v>
      </c>
      <c r="AR28" s="60" t="str">
        <f>IF(AO28="","","М")</f>
        <v>М</v>
      </c>
      <c r="AS28" s="60" t="str">
        <f>IF(AO28="","","М")</f>
        <v>М</v>
      </c>
      <c r="AT28" s="60" t="str">
        <f>IF(AO28="","","В")</f>
        <v>В</v>
      </c>
      <c r="AU28" s="66" t="e">
        <f ca="1">IF(AO28="","",IF(R28=380,5,3))</f>
        <v>#N/A</v>
      </c>
      <c r="AV28" s="66" t="e">
        <f ca="1">IF(AO28="","",IF(AY28&gt;IF(BA28&gt;BB28,BA28,BB28),AY28,IF(BA28&gt;BB28,BA28,BB28)))</f>
        <v>#N/A</v>
      </c>
      <c r="AW28" s="66" t="str">
        <f>IF(AO28="","","ВВГнг(А)-LS")</f>
        <v>ВВГнг(А)-LS</v>
      </c>
      <c r="AX28" s="66" t="e">
        <f ca="1">IF(AO28="","",(AN28*380*1000)/(SQRT(3)*IF(AO28="","",IF(D28="",V28,AE28))*AQ28*100))</f>
        <v>#N/A</v>
      </c>
      <c r="AY28" s="60"/>
      <c r="AZ28" s="60"/>
      <c r="BA28" t="e">
        <f ca="1">IF(AO28="","",INDEX(BDКаб!$B$5:$B$12,MATCH(AX28,INDIRECT("BDКаб!"&amp;INDEX(BDКаб!$B$4:$AH$4,MATCH(AR28&amp;AS28&amp;AT28&amp;"Z",BDКаб!$B$3:$AH$3,0))),-1)+1))</f>
        <v>#N/A</v>
      </c>
      <c r="BB28" t="e">
        <f ca="1">IF(AO28="","",INDEX(BDКаб!$B$5:$B$12,MATCH(IF(AO28="","",IF(E28="",V28,AE28)),INDIRECT("BDКаб!"&amp;INDEX(BDКаб!$B$4:$AH$4,MATCH(AR28&amp;AS28&amp;AT28&amp;"I",BDКаб!$B$3:$AH$3,0))),1)+1))</f>
        <v>#N/A</v>
      </c>
      <c r="BC28" s="65" t="str">
        <f>IF(E28="","",E28)</f>
        <v>АВ</v>
      </c>
      <c r="BD28" s="65">
        <f>IF(F28="","",F28)</f>
        <v>1</v>
      </c>
      <c r="BE28" s="65" t="e">
        <f ca="1">IF(AE28="","",AE28)</f>
        <v>#N/A</v>
      </c>
      <c r="BF28" s="62" t="e">
        <f ca="1">IF(BC28="","",IF(BD28="",BE28,SUMIFS($BE$28:$BE$500004,$BD$28:$BD$500004,BD28)))</f>
        <v>#N/A</v>
      </c>
      <c r="BG28" s="65" t="e">
        <f ca="1">IF(BC28="","",IF(R28&lt;380,1,3))</f>
        <v>#N/A</v>
      </c>
      <c r="BH28" s="63">
        <f>IF(BC28="","",1.3)</f>
        <v>1.3</v>
      </c>
      <c r="BI28" s="62" t="e">
        <f ca="1">IF(BC28="","",IF(BH28="",BF28*1.3,BH28*BF28))</f>
        <v>#N/A</v>
      </c>
      <c r="BJ28" s="62" t="e">
        <f ca="1">IF(BC28="","",INDEX(INDIRECT("BD!"&amp;INDEX(BD!$K$5:$BX$5,1,MATCH(BC28&amp;"I",BD!$K$4:$BY$4,0))),MATCH(BI28,INDIRECT("BD!"&amp;INDEX(BD!$K$5:$BX$5,1,MATCH(BC28&amp;"I",BD!$K$4:$BY$4,0))),-1)))</f>
        <v>#N/A</v>
      </c>
      <c r="BK28" s="64">
        <f>IF(BC28="","",10)</f>
        <v>10</v>
      </c>
      <c r="BL28" t="s">
        <v>325</v>
      </c>
      <c r="BM28" s="62" t="str">
        <f>IF(BC28="","",IF(BL28="",IF(BJ28&gt;=BK28,BJ28,BK28),BL28))</f>
        <v>пусто</v>
      </c>
      <c r="BN28" s="60" t="str">
        <f>IF(E28="","","C")</f>
        <v>C</v>
      </c>
      <c r="BO28" s="59" t="e">
        <f ca="1">IF(E28="","",IF(R28=380,3,1))</f>
        <v>#N/A</v>
      </c>
      <c r="BP28" s="59" t="str">
        <f>IF(E28="","","30")</f>
        <v>30</v>
      </c>
      <c r="BQ28" s="59" t="e">
        <f ca="1">IF(E28="","",INDEX(INDIRECT("BD!"&amp;INDEX(BD!$K$5:$BX$5,1,MATCH(E28&amp;"О",BD!$K$4:$BY$4,0))),MATCH(BJ28,INDIRECT("BD!"&amp;INDEX(BD!$K$5:$BX$5,1,MATCH(E28&amp;"I",BD!$K$4:$BY$4,0))),0))&amp;D28)</f>
        <v>#N/A</v>
      </c>
      <c r="BR28" s="58" t="e">
        <f ca="1">IF(E28="","",INDEX(INDIRECT("BD!"&amp;INDEX(BD!$K$5:$BX$5,1,MATCH(E28&amp;"М",BD!$K$4:$BY$4,0))),MATCH(BJ28,INDIRECT("BD!"&amp;INDEX(BD!$K$5:$BX$5,1,MATCH(E28&amp;"I",BD!$K$4:$BY$4,0))),0)))</f>
        <v>#N/A</v>
      </c>
      <c r="BS28" t="e">
        <f ca="1">IF(E28="","",BO28&amp;"P,"&amp;BJ28&amp;"А,"&amp;BN28&amp;IF(BP28="","",","&amp;BP28&amp;"мА"))</f>
        <v>#N/A</v>
      </c>
      <c r="BT28" s="61" t="e">
        <f ca="1">IF(G28="","",INDEX(INDIRECT("BD!"&amp;INDEX(BD!$K$5:$CA$5,1,MATCH(G28&amp;"I",BD!$K$4:$CB$4,0))),MATCH(AM28*AE28,INDIRECT("BD!"&amp;INDEX(BD!$K$5:$CA$5,1,MATCH(G28&amp;"I",BD!$K$4:$CB$4,0))),-1)))</f>
        <v>#N/A</v>
      </c>
      <c r="BU28" s="60" t="str">
        <f>IF(G28="","","C")</f>
        <v>C</v>
      </c>
      <c r="BV28" s="59" t="str">
        <f>IF(G28="","","3")</f>
        <v>3</v>
      </c>
      <c r="BW28" s="59" t="str">
        <f>IF(G28="","","30")</f>
        <v>30</v>
      </c>
      <c r="BX28" s="59" t="e">
        <f ca="1">IF(G28="","",INDEX(INDIRECT("BD!"&amp;INDEX(BD!$K$5:$CA$5,1,MATCH(G28&amp;"О",BD!$K$4:$CB$4,0))),MATCH(BT28,INDIRECT("BD!"&amp;INDEX(BD!$K$5:$CA$5,1,MATCH(G28&amp;"I",BD!$K$4:$CB$4,0))),0))&amp;D28)</f>
        <v>#N/A</v>
      </c>
      <c r="BY28" s="58" t="e">
        <f ca="1">IF(G28="","",INDEX(INDIRECT("BD!"&amp;INDEX(BD!$K$5:$CA$5,1,MATCH(G28&amp;"М",BD!$K$4:$CB$4,0))),MATCH(BT28,INDIRECT("BD!"&amp;INDEX(BD!$K$5:$CA$5,1,MATCH(G28&amp;"I",BD!$K$4:$CB$4,0))),0)))</f>
        <v>#N/A</v>
      </c>
      <c r="BZ28" t="e">
        <f ca="1">IF(G28="","",BV28&amp;"P,"&amp;BT28&amp;"А,"&amp;BU28&amp;IF(BW28="","",","&amp;BW28&amp;"мА"))</f>
        <v>#N/A</v>
      </c>
      <c r="CA28" s="120">
        <f>'&lt;zalldev&gt;EXPORT'!AM11</f>
        <v>-1</v>
      </c>
      <c r="CB28" s="120">
        <f>COUNT($CA$28:CA28)</f>
        <v>1</v>
      </c>
      <c r="CC28" s="120" t="e">
        <f ca="1">INDIRECT("'"&amp;Q28&amp;"'!"&amp;"X14")</f>
        <v>#REF!</v>
      </c>
      <c r="CD28" s="120" t="str">
        <f>'&lt;zalldev&gt;EXPORT'!AN11</f>
        <v>-1</v>
      </c>
      <c r="CE28" s="197" t="e">
        <f>'&lt;zalldev&gt;EXPORT'!AV11-$V$16-1</f>
        <v>#N/A</v>
      </c>
      <c r="CF28" s="197">
        <f>'&lt;zalldev&gt;EXPORT'!J11</f>
        <v>0</v>
      </c>
      <c r="CG28" s="197">
        <f>'&lt;zalldev&gt;EXPORT'!M11</f>
        <v>0</v>
      </c>
      <c r="CH28" s="197">
        <f>'&lt;zalldev&gt;EXPORT'!AU11</f>
        <v>0</v>
      </c>
      <c r="CI28" s="122">
        <f>COUNT($CA$28:CA28)</f>
        <v>1</v>
      </c>
      <c r="CJ28" s="122">
        <f>IF('&lt;zalldev&gt;EXPORT'!W11=0,'&lt;zalldev&gt;EXPORT'!W11,1)</f>
        <v>0</v>
      </c>
      <c r="CK28" s="122"/>
      <c r="CL28" s="122"/>
      <c r="CM28" s="123">
        <f>IF(MATCH(CA28,$CA$28:CA28,0)=COUNT($CA$28:CA28),COUNTIFS(F28:$F$120004,F28),0)</f>
        <v>1</v>
      </c>
      <c r="CN28" s="121">
        <f>IF(INDEX($CM$28:CM28,MATCH(CA28,$CA$28:CA28,0))&gt;1,IF(CM28=0,2,1),IF(CM28=1,1,0))</f>
        <v>1</v>
      </c>
      <c r="CO28" s="123">
        <f>INDEX($CJ$28:CJ28,COUNT($CA$28:CA28)-1)</f>
        <v>0</v>
      </c>
      <c r="CP28" s="123">
        <f>IF(INDEX($CJ$28:$CJ$120004,COUNT($CA$28:CA28))=1,IF(INDEX($CJ$28:$CJ$120004,COUNT($CA$28:CA28)+1)=1,1,0),0)</f>
        <v>0</v>
      </c>
      <c r="CQ28" s="124">
        <f>IF(COUNT($CA$28:CA28)=1,1,IF(INDEX($CA$28:CA28,COUNT($CA$28:CA28)-1)=INDEX($CA$28:CA28,COUNT($CA$28:CA28)),0,COUNT($CA$28:CA28)))</f>
        <v>1</v>
      </c>
      <c r="CR28" s="124">
        <f>IF(CQ28&gt;0,ROW(CR28),"-")</f>
        <v>28</v>
      </c>
      <c r="CS28" s="124">
        <f>IF(CK28=0,0,SUMIFS(CJ28:$CJ$120004,CK28:$CK$120004,CK28))</f>
        <v>0</v>
      </c>
      <c r="CT28" s="124">
        <f ca="1">IF(COUNTIF(INDIRECT(ADDRESS(ROW(CT28),COLUMN(CK28))&amp;":"&amp;ADDRESS(MIN(CR28:$CR$120004),COLUMN(CK28))),0)&gt;1,1,0)</f>
        <v>0</v>
      </c>
      <c r="CU28" s="123">
        <f>IF(CI28=1,0,IF(INDEX($CA$28:CA28,CI28-1)=CA28,IF(INDEX($CK$28:CK28,CI28-1)=CK28,IF(INDEX($CL$28:CL28,CI28-1)=CL28,1,0),0),0))</f>
        <v>0</v>
      </c>
      <c r="CV28" s="125" t="e">
        <f>MATCH(1,K28:M28,0)</f>
        <v>#N/A</v>
      </c>
      <c r="CW28" s="124">
        <f>IF(CI28&lt;&gt;1,INDEX($CW$28:CW28,CI28-1)+25 - IF(CJ28=0,IF(CO28=1,IF(CS28&lt;2,25,0),0),0),60)</f>
        <v>60</v>
      </c>
      <c r="CX28" t="s">
        <v>213</v>
      </c>
      <c r="CY28" s="1" t="s">
        <v>212</v>
      </c>
      <c r="CZ28" s="1">
        <f>CW28</f>
        <v>60</v>
      </c>
      <c r="DA28" s="1">
        <v>0</v>
      </c>
      <c r="DB28" s="1">
        <v>1</v>
      </c>
      <c r="DC28" s="1">
        <v>1</v>
      </c>
      <c r="DD28" s="1" t="s">
        <v>211</v>
      </c>
      <c r="DE28" s="1" t="e">
        <f ca="1">IF(S28="ABC","BOOLEAN_1","BOOLEAN_0")</f>
        <v>#N/A</v>
      </c>
      <c r="DF28" s="1" t="s">
        <v>210</v>
      </c>
      <c r="DG28" s="1" t="e">
        <f ca="1">IF(H28&lt;&gt;"","INTEGER_0",IF(CM28=0,IF(CN28=0,"INTEGER_3","INTEGER_"&amp;CN28),"INTEGER_"&amp;CN28))</f>
        <v>#N/A</v>
      </c>
      <c r="DH28" s="57" t="s">
        <v>209</v>
      </c>
      <c r="DI28" t="s">
        <v>325</v>
      </c>
      <c r="DJ28" s="57" t="s">
        <v>208</v>
      </c>
      <c r="DK28" s="1" t="str">
        <f t="shared" ref="DK28" si="4">"INTEGER_0"</f>
        <v>INTEGER_0</v>
      </c>
      <c r="DL28" s="57" t="s">
        <v>207</v>
      </c>
      <c r="DM28" t="s">
        <v>325</v>
      </c>
      <c r="DN28" s="57" t="s">
        <v>206</v>
      </c>
      <c r="DO28" s="133" t="str">
        <f ca="1">IFERROR(_xlfn.IFS(CU28="INTEGER_0","INTEGER_0",CU28="INTEGER_1","INTEGER_0",IF(BY28=1,IF(CJ28=1,1,0),0),"INTEGER_1",IF(BT28=1,IF(BY28=1,1,0),0),"INTEGER_2",IF(BT28=0,IF(BY28=1,1,0),0),"INTEGER_0",IF(BY28=1,IF(CJ28=2,IF(BU28=0,IF(CD28=0,1,0),0),0),0),"INTEGER_2",IF(BY28=1,IF(CJ28=2,IF(BU28=0,IF(CD28&lt;&gt;0,1,0),0),0),0),"INTEGER_4",IF(BY28=1,IF(CJ28=2,IF(BU28&lt;&gt;0,1,0),0),0),"INTEGER_3",IF(BY28=0,IF(BT28=1,IF(CI28=1,1,0),0),0),"INTEGER_5"),"INTEGER_0")</f>
        <v>INTEGER_0</v>
      </c>
      <c r="DP28" s="57" t="s">
        <v>205</v>
      </c>
      <c r="DQ28" s="1" t="str">
        <f t="shared" ref="DQ28" si="5">IF(CP28=0,"INTEGER_0","INTEGER_0")</f>
        <v>INTEGER_0</v>
      </c>
      <c r="DR28" s="57" t="s">
        <v>204</v>
      </c>
      <c r="DS28" t="s">
        <v>325</v>
      </c>
      <c r="DT28" s="1" t="s">
        <v>203</v>
      </c>
      <c r="DU28" s="1">
        <f>IF(Y28&gt;1,Q28&amp;"("&amp;Y28&amp;"шт.)",Q28)</f>
        <v>0</v>
      </c>
      <c r="DV28" s="1" t="s">
        <v>202</v>
      </c>
      <c r="DW28" s="1">
        <f ca="1">T28</f>
        <v>0</v>
      </c>
      <c r="DX28" s="1" t="s">
        <v>201</v>
      </c>
      <c r="DY28" s="1" t="e">
        <f ca="1">V28</f>
        <v>#N/A</v>
      </c>
      <c r="DZ28" s="1" t="s">
        <v>200</v>
      </c>
      <c r="EA28" s="1" t="e">
        <f ca="1">AB28&amp;"\P~"&amp;R28&amp;"V"</f>
        <v>#N/A</v>
      </c>
      <c r="EB28" s="56" t="s">
        <v>199</v>
      </c>
      <c r="EC28" s="56" t="str">
        <f>AO28</f>
        <v>.</v>
      </c>
      <c r="ED28" s="56" t="s">
        <v>198</v>
      </c>
      <c r="EE28" t="s">
        <v>325</v>
      </c>
      <c r="EF28" s="56" t="s">
        <v>197</v>
      </c>
      <c r="EG28" t="s">
        <v>325</v>
      </c>
      <c r="EH28" s="56" t="s">
        <v>196</v>
      </c>
      <c r="EI28" s="56" t="e">
        <f ca="1">AP28</f>
        <v>#N/A</v>
      </c>
      <c r="EJ28" s="56" t="str">
        <f>"VSCHEMACable22"</f>
        <v>VSCHEMACable22</v>
      </c>
      <c r="EK28" s="56" t="e">
        <f>IF(AQ28&lt;&gt;"","L="&amp;AQ28&amp;"м"," ")</f>
        <v>#N/A</v>
      </c>
      <c r="EL28" t="s">
        <v>195</v>
      </c>
      <c r="EM28" t="e">
        <f ca="1">IF(H28&lt;&gt;"","&lt;zinsertblock&gt;","")</f>
        <v>#N/A</v>
      </c>
      <c r="EN28" s="1" t="e">
        <f ca="1">IF(EM28="","",INDEX(INDIRECT("BD!"&amp;INDEX(BD!$K$5:$BX$5,1,MATCH(E28&amp;"UGO",BD!$K$4:$BY$4,0))),MATCH(BJ28,INDIRECT("BD!"&amp;INDEX(BD!$K$5:$BX$5,1,MATCH(E28&amp;"I",BD!$K$4:$BY$4,0))),0)))</f>
        <v>#N/A</v>
      </c>
      <c r="EO28" s="1" t="e">
        <f ca="1">IF(EM28="","",CZ28+INDEX(INDIRECT("BD!"&amp;INDEX(BD!$K$5:$BX$5,1,MATCH(E28&amp;"MOVEX",BD!$K$4:$BY$4,0))),MATCH(BJ28,INDIRECT("BD!"&amp;INDEX(BD!$K$5:$BX$5,1,MATCH(E28&amp;"I",BD!$K$4:$BY$4,0))),0)))</f>
        <v>#N/A</v>
      </c>
      <c r="EP28" s="1" t="e">
        <f ca="1">IF(EM28="","",DA28+INDEX(INDIRECT("BD!"&amp;INDEX(BD!$K$5:$BX$5,1,MATCH(E28&amp;"MOVEY",BD!$K$4:$BY$4,0))),MATCH(BJ28,INDIRECT("BD!"&amp;INDEX(BD!$K$5:$BX$5,1,MATCH(E28&amp;"I",BD!$K$4:$BY$4,0))),0)))</f>
        <v>#N/A</v>
      </c>
      <c r="EQ28" s="1">
        <v>1</v>
      </c>
      <c r="ER28" s="1">
        <v>1</v>
      </c>
      <c r="ES28" s="1" t="s">
        <v>194</v>
      </c>
      <c r="ET28" s="1" t="e">
        <f ca="1">BQ28&amp;"\P"&amp;BR28&amp;"\P"&amp;BS28</f>
        <v>#N/A</v>
      </c>
      <c r="EU28" t="e">
        <f ca="1">IF(EM28="","","&lt;/zinsertblock&gt;")</f>
        <v>#N/A</v>
      </c>
      <c r="EV28" t="e">
        <f ca="1">IF(I28&lt;&gt;"","&lt;zinsertblock&gt;","")</f>
        <v>#N/A</v>
      </c>
      <c r="EW28" s="1" t="e">
        <f ca="1">IF(EV28="","",INDEX(INDIRECT("BD!"&amp;INDEX(BD!$K$5:$CA$5,1,MATCH(G28&amp;"UGO",BD!$K$4:$CB$4,0))),MATCH(BT28,INDIRECT("BD!"&amp;INDEX(BD!$K$5:$CA$5,1,MATCH(G28&amp;"I",BD!$K$4:$CB$4,0))),0)))</f>
        <v>#N/A</v>
      </c>
      <c r="EX28" s="1" t="e">
        <f ca="1">IF(EV28="","",CZ28+INDEX(INDIRECT("BD!"&amp;INDEX(BD!$K$5:$CA$5,1,MATCH(G28&amp;"MOVEX",BD!$K$4:$CB$4,0))),MATCH(BT28,INDIRECT("BD!"&amp;INDEX(BD!$K$5:$CA$5,1,MATCH(G28&amp;"I",BD!$K$4:$CB$4,0))),0)))</f>
        <v>#N/A</v>
      </c>
      <c r="EY28" s="1" t="e">
        <f ca="1">IF(EV28="","",DA28-20+INDEX(INDIRECT("BD!"&amp;INDEX(BD!$K$5:$CA$5,1,MATCH(G28&amp;"MOVEY",BD!$K$4:$CB$4,0))),MATCH(BT28,INDIRECT("BD!"&amp;INDEX(BD!$K$5:$CA$5,1,MATCH(G28&amp;"I",BD!$K$4:$CB$4,0))),0)))</f>
        <v>#N/A</v>
      </c>
      <c r="EZ28" s="1">
        <v>1</v>
      </c>
      <c r="FA28" s="1">
        <v>1</v>
      </c>
      <c r="FB28" s="1" t="s">
        <v>194</v>
      </c>
      <c r="FC28" s="1" t="e">
        <f ca="1">BX28&amp;"\P"&amp;BY28&amp;"\P"&amp;BZ28</f>
        <v>#N/A</v>
      </c>
      <c r="FD28" t="e">
        <f ca="1">IF(EV28="","","&lt;/zinsertblock&gt;")</f>
        <v>#N/A</v>
      </c>
      <c r="FE28" t="s">
        <v>193</v>
      </c>
    </row>
  </sheetData>
  <mergeCells count="52">
    <mergeCell ref="D6:G6"/>
    <mergeCell ref="R6:U6"/>
    <mergeCell ref="V6:W6"/>
    <mergeCell ref="D4:H4"/>
    <mergeCell ref="R4:W4"/>
    <mergeCell ref="D5:G5"/>
    <mergeCell ref="R5:U5"/>
    <mergeCell ref="V5:W5"/>
    <mergeCell ref="D7:G7"/>
    <mergeCell ref="R7:U7"/>
    <mergeCell ref="V7:W7"/>
    <mergeCell ref="D8:G8"/>
    <mergeCell ref="R8:U8"/>
    <mergeCell ref="V8:W8"/>
    <mergeCell ref="D9:G9"/>
    <mergeCell ref="R9:U10"/>
    <mergeCell ref="V9:W10"/>
    <mergeCell ref="D10:G10"/>
    <mergeCell ref="D11:G11"/>
    <mergeCell ref="R11:U11"/>
    <mergeCell ref="V11:W11"/>
    <mergeCell ref="D12:G12"/>
    <mergeCell ref="R12:U12"/>
    <mergeCell ref="V12:W12"/>
    <mergeCell ref="D13:G13"/>
    <mergeCell ref="R13:U13"/>
    <mergeCell ref="V13:W13"/>
    <mergeCell ref="I26:I27"/>
    <mergeCell ref="D14:G14"/>
    <mergeCell ref="R14:U14"/>
    <mergeCell ref="V14:W14"/>
    <mergeCell ref="D15:G15"/>
    <mergeCell ref="R15:U15"/>
    <mergeCell ref="V15:W15"/>
    <mergeCell ref="D26:D27"/>
    <mergeCell ref="E26:E27"/>
    <mergeCell ref="F26:F27"/>
    <mergeCell ref="G26:G27"/>
    <mergeCell ref="H26:H27"/>
    <mergeCell ref="J26:J27"/>
    <mergeCell ref="R16:U16"/>
    <mergeCell ref="V16:W16"/>
    <mergeCell ref="BT26:BZ26"/>
    <mergeCell ref="EM27:EU27"/>
    <mergeCell ref="EV27:FD27"/>
    <mergeCell ref="K26:M26"/>
    <mergeCell ref="N26:N27"/>
    <mergeCell ref="Q26:AB26"/>
    <mergeCell ref="AC26:AN26"/>
    <mergeCell ref="AO26:BB26"/>
    <mergeCell ref="BC26:BS26"/>
    <mergeCell ref="CA26:CW26"/>
  </mergeCells>
  <conditionalFormatting sqref="R28">
    <cfRule type="expression" dxfId="72" priority="103">
      <formula>NOT(_xlfn.ISFORMULA(R28))</formula>
    </cfRule>
  </conditionalFormatting>
  <conditionalFormatting sqref="S28">
    <cfRule type="expression" dxfId="71" priority="102">
      <formula>NOT(_xlfn.ISFORMULA(S28))</formula>
    </cfRule>
  </conditionalFormatting>
  <conditionalFormatting sqref="T28">
    <cfRule type="expression" dxfId="70" priority="101">
      <formula>NOT(_xlfn.ISFORMULA(T28))</formula>
    </cfRule>
  </conditionalFormatting>
  <conditionalFormatting sqref="U28">
    <cfRule type="expression" dxfId="69" priority="100">
      <formula>NOT(_xlfn.ISFORMULA(U28))</formula>
    </cfRule>
  </conditionalFormatting>
  <conditionalFormatting sqref="AU28">
    <cfRule type="expression" dxfId="68" priority="98">
      <formula>NOT(_xlfn.ISFORMULA(AU28))</formula>
    </cfRule>
  </conditionalFormatting>
  <conditionalFormatting sqref="AX28">
    <cfRule type="expression" dxfId="67" priority="97">
      <formula>NOT(_xlfn.ISFORMULA(AX28))</formula>
    </cfRule>
  </conditionalFormatting>
  <conditionalFormatting sqref="AV28">
    <cfRule type="expression" dxfId="66" priority="95">
      <formula>NOT(_xlfn.ISFORMULA(AV28))</formula>
    </cfRule>
  </conditionalFormatting>
  <conditionalFormatting sqref="DG28">
    <cfRule type="cellIs" dxfId="65" priority="90" operator="equal">
      <formula>"INTEGER_0"</formula>
    </cfRule>
  </conditionalFormatting>
  <conditionalFormatting sqref="DG28">
    <cfRule type="cellIs" dxfId="64" priority="85" operator="equal">
      <formula>"INTEGER_5"</formula>
    </cfRule>
    <cfRule type="cellIs" dxfId="63" priority="86" operator="equal">
      <formula>"INTEGER_4"</formula>
    </cfRule>
    <cfRule type="cellIs" dxfId="62" priority="87" operator="equal">
      <formula>"INTEGER_3"</formula>
    </cfRule>
    <cfRule type="cellIs" dxfId="61" priority="88" operator="equal">
      <formula>"INTEGER_2"</formula>
    </cfRule>
    <cfRule type="cellIs" dxfId="60" priority="89" operator="equal">
      <formula>"INTEGER_1"</formula>
    </cfRule>
  </conditionalFormatting>
  <conditionalFormatting sqref="DH28">
    <cfRule type="cellIs" dxfId="59" priority="84" operator="equal">
      <formula>"INTEGER_0"</formula>
    </cfRule>
  </conditionalFormatting>
  <conditionalFormatting sqref="DH28">
    <cfRule type="cellIs" dxfId="58" priority="79" operator="equal">
      <formula>"INTEGER_5"</formula>
    </cfRule>
    <cfRule type="cellIs" dxfId="57" priority="80" operator="equal">
      <formula>"INTEGER_4"</formula>
    </cfRule>
    <cfRule type="cellIs" dxfId="56" priority="81" operator="equal">
      <formula>"INTEGER_3"</formula>
    </cfRule>
    <cfRule type="cellIs" dxfId="55" priority="82" operator="equal">
      <formula>"INTEGER_2"</formula>
    </cfRule>
    <cfRule type="cellIs" dxfId="54" priority="83" operator="equal">
      <formula>"INTEGER_1"</formula>
    </cfRule>
  </conditionalFormatting>
  <conditionalFormatting sqref="DJ28">
    <cfRule type="cellIs" dxfId="53" priority="72" operator="equal">
      <formula>"INTEGER_0"</formula>
    </cfRule>
  </conditionalFormatting>
  <conditionalFormatting sqref="DJ28">
    <cfRule type="cellIs" dxfId="52" priority="67" operator="equal">
      <formula>"INTEGER_5"</formula>
    </cfRule>
    <cfRule type="cellIs" dxfId="51" priority="68" operator="equal">
      <formula>"INTEGER_4"</formula>
    </cfRule>
    <cfRule type="cellIs" dxfId="50" priority="69" operator="equal">
      <formula>"INTEGER_3"</formula>
    </cfRule>
    <cfRule type="cellIs" dxfId="49" priority="70" operator="equal">
      <formula>"INTEGER_2"</formula>
    </cfRule>
    <cfRule type="cellIs" dxfId="48" priority="71" operator="equal">
      <formula>"INTEGER_1"</formula>
    </cfRule>
  </conditionalFormatting>
  <conditionalFormatting sqref="DK28">
    <cfRule type="cellIs" dxfId="47" priority="66" operator="equal">
      <formula>"INTEGER_0"</formula>
    </cfRule>
  </conditionalFormatting>
  <conditionalFormatting sqref="DK28">
    <cfRule type="cellIs" dxfId="46" priority="61" operator="equal">
      <formula>"INTEGER_5"</formula>
    </cfRule>
    <cfRule type="cellIs" dxfId="45" priority="62" operator="equal">
      <formula>"INTEGER_4"</formula>
    </cfRule>
    <cfRule type="cellIs" dxfId="44" priority="63" operator="equal">
      <formula>"INTEGER_3"</formula>
    </cfRule>
    <cfRule type="cellIs" dxfId="43" priority="64" operator="equal">
      <formula>"INTEGER_2"</formula>
    </cfRule>
    <cfRule type="cellIs" dxfId="42" priority="65" operator="equal">
      <formula>"INTEGER_1"</formula>
    </cfRule>
  </conditionalFormatting>
  <conditionalFormatting sqref="DL28">
    <cfRule type="cellIs" dxfId="41" priority="60" operator="equal">
      <formula>"INTEGER_0"</formula>
    </cfRule>
  </conditionalFormatting>
  <conditionalFormatting sqref="DL28">
    <cfRule type="cellIs" dxfId="40" priority="55" operator="equal">
      <formula>"INTEGER_5"</formula>
    </cfRule>
    <cfRule type="cellIs" dxfId="39" priority="56" operator="equal">
      <formula>"INTEGER_4"</formula>
    </cfRule>
    <cfRule type="cellIs" dxfId="38" priority="57" operator="equal">
      <formula>"INTEGER_3"</formula>
    </cfRule>
    <cfRule type="cellIs" dxfId="37" priority="58" operator="equal">
      <formula>"INTEGER_2"</formula>
    </cfRule>
    <cfRule type="cellIs" dxfId="36" priority="59" operator="equal">
      <formula>"INTEGER_1"</formula>
    </cfRule>
  </conditionalFormatting>
  <conditionalFormatting sqref="DN28">
    <cfRule type="cellIs" dxfId="35" priority="48" operator="equal">
      <formula>"INTEGER_0"</formula>
    </cfRule>
  </conditionalFormatting>
  <conditionalFormatting sqref="DN28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DP28">
    <cfRule type="cellIs" dxfId="29" priority="42" operator="equal">
      <formula>"INTEGER_0"</formula>
    </cfRule>
  </conditionalFormatting>
  <conditionalFormatting sqref="DP28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DQ28">
    <cfRule type="cellIs" dxfId="23" priority="36" operator="equal">
      <formula>"INTEGER_0"</formula>
    </cfRule>
  </conditionalFormatting>
  <conditionalFormatting sqref="DQ28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DR28">
    <cfRule type="cellIs" dxfId="17" priority="24" operator="equal">
      <formula>"INTEGER_0"</formula>
    </cfRule>
  </conditionalFormatting>
  <conditionalFormatting sqref="DR28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DT28">
    <cfRule type="cellIs" dxfId="11" priority="12" operator="equal">
      <formula>"INTEGER_0"</formula>
    </cfRule>
  </conditionalFormatting>
  <conditionalFormatting sqref="DT28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U28:ED28 EF28 EH28:EK28">
    <cfRule type="cellIs" dxfId="5" priority="6" operator="equal">
      <formula>"INTEGER_0"</formula>
    </cfRule>
  </conditionalFormatting>
  <conditionalFormatting sqref="DU28:ED28 EF28 EH28:EK28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42" t="s">
        <v>36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4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45" t="s">
        <v>12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</row>
    <row r="2" spans="1:18" ht="35.25" customHeight="1" thickBot="1" x14ac:dyDescent="0.3">
      <c r="A2" s="24"/>
      <c r="B2" s="3" t="s">
        <v>13</v>
      </c>
      <c r="C2" s="146" t="s">
        <v>14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7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7"/>
  <sheetViews>
    <sheetView workbookViewId="0">
      <selection activeCell="I16" sqref="I1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178</v>
      </c>
      <c r="B1" t="s">
        <v>188</v>
      </c>
    </row>
    <row r="2" spans="1:11" x14ac:dyDescent="0.25">
      <c r="A2" t="s">
        <v>179</v>
      </c>
      <c r="B2" t="s">
        <v>0</v>
      </c>
      <c r="I2" t="s">
        <v>159</v>
      </c>
    </row>
    <row r="3" spans="1:11" x14ac:dyDescent="0.25">
      <c r="A3" t="s">
        <v>179</v>
      </c>
      <c r="B3" t="s">
        <v>180</v>
      </c>
      <c r="I3" t="s">
        <v>160</v>
      </c>
    </row>
    <row r="4" spans="1:11" ht="15.75" customHeight="1" x14ac:dyDescent="0.25">
      <c r="A4" t="s">
        <v>179</v>
      </c>
      <c r="B4" t="s">
        <v>10</v>
      </c>
      <c r="J4" t="s">
        <v>8</v>
      </c>
      <c r="K4" t="s">
        <v>161</v>
      </c>
    </row>
    <row r="5" spans="1:11" ht="15.75" customHeight="1" x14ac:dyDescent="0.25">
      <c r="A5" t="s">
        <v>179</v>
      </c>
      <c r="B5" t="s">
        <v>11</v>
      </c>
      <c r="J5" t="s">
        <v>9</v>
      </c>
      <c r="K5" t="s">
        <v>162</v>
      </c>
    </row>
    <row r="6" spans="1:11" x14ac:dyDescent="0.25">
      <c r="A6" t="s">
        <v>179</v>
      </c>
      <c r="B6" t="s">
        <v>351</v>
      </c>
    </row>
    <row r="7" spans="1:11" x14ac:dyDescent="0.25">
      <c r="A7" t="s">
        <v>179</v>
      </c>
      <c r="B7" t="s">
        <v>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2" sqref="B2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E11"/>
  <sheetViews>
    <sheetView topLeftCell="Q4" workbookViewId="0">
      <selection activeCell="AV11" sqref="AV11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5" width="12.7109375" customWidth="1"/>
    <col min="36" max="40" width="14.140625" customWidth="1"/>
    <col min="41" max="42" width="16" customWidth="1"/>
    <col min="43" max="56" width="12.7109375" customWidth="1"/>
  </cols>
  <sheetData>
    <row r="3" spans="1:57" x14ac:dyDescent="0.25">
      <c r="D3" s="149" t="s">
        <v>326</v>
      </c>
      <c r="E3" s="149"/>
      <c r="F3" s="149"/>
    </row>
    <row r="4" spans="1:57" x14ac:dyDescent="0.25">
      <c r="D4" s="89" t="s">
        <v>327</v>
      </c>
      <c r="E4" s="90"/>
      <c r="F4" s="93" t="s">
        <v>37</v>
      </c>
    </row>
    <row r="7" spans="1:57" x14ac:dyDescent="0.25">
      <c r="A7">
        <f>COLUMN(A7)-1</f>
        <v>0</v>
      </c>
      <c r="B7">
        <f t="shared" ref="B7:BE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J7">
        <f t="shared" si="0"/>
        <v>35</v>
      </c>
      <c r="AK7">
        <f t="shared" si="0"/>
        <v>36</v>
      </c>
      <c r="AL7">
        <f t="shared" si="0"/>
        <v>37</v>
      </c>
      <c r="AM7">
        <f t="shared" si="0"/>
        <v>38</v>
      </c>
      <c r="AN7">
        <f t="shared" si="0"/>
        <v>39</v>
      </c>
      <c r="AO7">
        <f t="shared" si="0"/>
        <v>40</v>
      </c>
      <c r="AP7">
        <f t="shared" si="0"/>
        <v>41</v>
      </c>
      <c r="AQ7">
        <f t="shared" si="0"/>
        <v>42</v>
      </c>
      <c r="AR7">
        <f t="shared" si="0"/>
        <v>43</v>
      </c>
      <c r="AS7" s="113">
        <f t="shared" si="0"/>
        <v>44</v>
      </c>
      <c r="AT7" s="113">
        <f t="shared" si="0"/>
        <v>45</v>
      </c>
      <c r="AU7" s="113">
        <f t="shared" si="0"/>
        <v>46</v>
      </c>
      <c r="AV7" s="113">
        <f t="shared" si="0"/>
        <v>47</v>
      </c>
      <c r="AW7">
        <f t="shared" si="0"/>
        <v>48</v>
      </c>
      <c r="AX7">
        <f t="shared" si="0"/>
        <v>49</v>
      </c>
      <c r="AY7">
        <f t="shared" si="0"/>
        <v>50</v>
      </c>
      <c r="BE7">
        <f t="shared" si="0"/>
        <v>56</v>
      </c>
    </row>
    <row r="8" spans="1:57" ht="135" x14ac:dyDescent="0.25">
      <c r="B8" s="98"/>
      <c r="C8" s="148" t="s">
        <v>1</v>
      </c>
      <c r="D8" s="148"/>
      <c r="E8" s="148"/>
      <c r="F8" s="149" t="s">
        <v>333</v>
      </c>
      <c r="G8" s="149"/>
      <c r="H8" s="149"/>
      <c r="I8" s="148" t="s">
        <v>168</v>
      </c>
      <c r="J8" s="148"/>
      <c r="K8" s="148"/>
      <c r="L8" s="148" t="s">
        <v>181</v>
      </c>
      <c r="M8" s="148"/>
      <c r="N8" s="148"/>
      <c r="O8" s="148" t="s">
        <v>7</v>
      </c>
      <c r="P8" s="148"/>
      <c r="Q8" s="148"/>
      <c r="R8" s="148" t="s">
        <v>182</v>
      </c>
      <c r="S8" s="148"/>
      <c r="T8" s="148"/>
      <c r="U8" s="148" t="s">
        <v>169</v>
      </c>
      <c r="V8" s="148"/>
      <c r="W8" s="148"/>
      <c r="X8" s="148" t="s">
        <v>184</v>
      </c>
      <c r="Y8" s="148"/>
      <c r="Z8" s="148"/>
      <c r="AA8" s="148" t="s">
        <v>185</v>
      </c>
      <c r="AB8" s="148"/>
      <c r="AC8" s="148"/>
      <c r="AD8" s="148" t="s">
        <v>3</v>
      </c>
      <c r="AE8" s="148"/>
      <c r="AF8" s="148"/>
      <c r="AG8" s="148" t="s">
        <v>393</v>
      </c>
      <c r="AH8" s="148"/>
      <c r="AI8" s="148"/>
      <c r="AJ8" s="116" t="s">
        <v>335</v>
      </c>
      <c r="AK8" s="126" t="s">
        <v>398</v>
      </c>
      <c r="AL8" s="126" t="s">
        <v>399</v>
      </c>
      <c r="AM8" s="126" t="s">
        <v>400</v>
      </c>
      <c r="AN8" s="129" t="s">
        <v>401</v>
      </c>
      <c r="AO8" s="116" t="s">
        <v>336</v>
      </c>
      <c r="AP8" s="116" t="s">
        <v>337</v>
      </c>
      <c r="AQ8" s="114" t="s">
        <v>189</v>
      </c>
      <c r="AR8" s="115" t="s">
        <v>327</v>
      </c>
      <c r="AS8" s="191" t="s">
        <v>408</v>
      </c>
      <c r="AT8" s="191" t="s">
        <v>409</v>
      </c>
      <c r="AU8" s="129" t="s">
        <v>406</v>
      </c>
      <c r="AV8" s="190" t="s">
        <v>407</v>
      </c>
      <c r="AW8" s="114" t="s">
        <v>190</v>
      </c>
      <c r="AX8" s="114" t="s">
        <v>191</v>
      </c>
      <c r="AY8" s="114" t="s">
        <v>192</v>
      </c>
      <c r="AZ8" s="114" t="s">
        <v>394</v>
      </c>
      <c r="BA8" s="92"/>
      <c r="BB8" s="92"/>
      <c r="BC8" s="92"/>
      <c r="BD8" s="92"/>
    </row>
    <row r="9" spans="1:57" x14ac:dyDescent="0.25">
      <c r="B9" s="51"/>
      <c r="C9" s="51" t="s">
        <v>167</v>
      </c>
      <c r="D9" s="52" t="s">
        <v>165</v>
      </c>
      <c r="E9" s="132" t="s">
        <v>166</v>
      </c>
      <c r="F9" s="51" t="s">
        <v>167</v>
      </c>
      <c r="G9" s="52" t="s">
        <v>165</v>
      </c>
      <c r="H9" s="53" t="s">
        <v>166</v>
      </c>
      <c r="I9" s="51" t="s">
        <v>167</v>
      </c>
      <c r="J9" s="52" t="s">
        <v>165</v>
      </c>
      <c r="K9" s="132" t="s">
        <v>166</v>
      </c>
      <c r="L9" s="51" t="s">
        <v>167</v>
      </c>
      <c r="M9" s="52" t="s">
        <v>165</v>
      </c>
      <c r="N9" s="132" t="s">
        <v>166</v>
      </c>
      <c r="O9" s="51" t="s">
        <v>167</v>
      </c>
      <c r="P9" s="52" t="s">
        <v>165</v>
      </c>
      <c r="Q9" s="53" t="s">
        <v>166</v>
      </c>
      <c r="R9" s="51" t="s">
        <v>167</v>
      </c>
      <c r="S9" s="52" t="s">
        <v>165</v>
      </c>
      <c r="T9" s="132" t="s">
        <v>166</v>
      </c>
      <c r="U9" s="51" t="s">
        <v>167</v>
      </c>
      <c r="V9" s="52" t="s">
        <v>165</v>
      </c>
      <c r="W9" s="53" t="s">
        <v>166</v>
      </c>
      <c r="X9" s="51" t="s">
        <v>167</v>
      </c>
      <c r="Y9" s="52" t="s">
        <v>165</v>
      </c>
      <c r="Z9" s="53" t="s">
        <v>166</v>
      </c>
      <c r="AA9" s="51" t="s">
        <v>167</v>
      </c>
      <c r="AB9" s="52" t="s">
        <v>165</v>
      </c>
      <c r="AC9" s="53" t="s">
        <v>166</v>
      </c>
      <c r="AD9" s="51" t="s">
        <v>167</v>
      </c>
      <c r="AE9" s="52" t="s">
        <v>165</v>
      </c>
      <c r="AF9" s="53" t="s">
        <v>166</v>
      </c>
      <c r="AG9" s="51" t="s">
        <v>167</v>
      </c>
      <c r="AH9" s="52" t="s">
        <v>165</v>
      </c>
      <c r="AI9" s="132" t="s">
        <v>166</v>
      </c>
      <c r="AJ9" s="94"/>
      <c r="AK9" s="127"/>
      <c r="AL9" s="127"/>
      <c r="AM9" s="127"/>
      <c r="AN9" s="127"/>
      <c r="AO9" s="94"/>
      <c r="AP9" s="94"/>
      <c r="AQ9" s="55"/>
      <c r="AR9" s="91"/>
      <c r="AS9" s="112"/>
      <c r="AT9" s="112"/>
      <c r="AU9" s="127"/>
      <c r="AV9" s="127"/>
      <c r="AW9" s="55"/>
      <c r="AX9" s="55"/>
      <c r="AY9" s="55"/>
      <c r="AZ9" s="55"/>
      <c r="BA9" s="92"/>
      <c r="BB9" s="92"/>
      <c r="BC9" s="92"/>
      <c r="BD9" s="92"/>
    </row>
    <row r="10" spans="1:57" x14ac:dyDescent="0.25">
      <c r="B10" s="51" t="s">
        <v>2</v>
      </c>
      <c r="C10" s="51"/>
      <c r="D10" s="52"/>
      <c r="E10" s="132"/>
      <c r="F10" s="51"/>
      <c r="G10" s="52"/>
      <c r="H10" s="53"/>
      <c r="I10" s="51"/>
      <c r="J10" s="52"/>
      <c r="K10" s="132"/>
      <c r="L10" s="51"/>
      <c r="M10" s="52"/>
      <c r="N10" s="132"/>
      <c r="O10" s="51"/>
      <c r="P10" s="52"/>
      <c r="Q10" s="53"/>
      <c r="R10" s="51"/>
      <c r="S10" s="52"/>
      <c r="T10" s="132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132"/>
      <c r="AJ10" s="95"/>
      <c r="AK10" s="128"/>
      <c r="AL10" s="128"/>
      <c r="AM10" s="128"/>
      <c r="AN10" s="128"/>
      <c r="AO10" s="95"/>
      <c r="AP10" s="95"/>
      <c r="AQ10" s="55"/>
      <c r="AR10" s="91"/>
      <c r="AS10" s="112"/>
      <c r="AT10" s="112"/>
      <c r="AU10" s="128"/>
      <c r="AV10" s="128"/>
      <c r="AW10" s="55"/>
      <c r="AX10" s="55"/>
      <c r="AY10" s="55"/>
      <c r="AZ10" s="55"/>
      <c r="BA10" s="92"/>
      <c r="BB10" s="92"/>
      <c r="BC10" s="92"/>
      <c r="BD10" s="92"/>
    </row>
    <row r="11" spans="1:57" x14ac:dyDescent="0.25">
      <c r="B11" s="51" t="s">
        <v>163</v>
      </c>
      <c r="C11" s="54" t="s">
        <v>171</v>
      </c>
      <c r="D11" s="52"/>
      <c r="E11" s="132"/>
      <c r="F11" s="54" t="s">
        <v>330</v>
      </c>
      <c r="G11" s="52"/>
      <c r="H11" s="53"/>
      <c r="I11" s="54" t="s">
        <v>331</v>
      </c>
      <c r="J11" s="52"/>
      <c r="K11" s="132"/>
      <c r="L11" s="54" t="s">
        <v>332</v>
      </c>
      <c r="M11" s="52"/>
      <c r="N11" s="132"/>
      <c r="O11" s="54" t="s">
        <v>170</v>
      </c>
      <c r="P11" s="52"/>
      <c r="Q11" s="53"/>
      <c r="R11" s="54" t="s">
        <v>334</v>
      </c>
      <c r="S11" s="52"/>
      <c r="T11" s="132"/>
      <c r="U11" s="54" t="s">
        <v>172</v>
      </c>
      <c r="V11" s="52"/>
      <c r="W11" s="53"/>
      <c r="X11" s="54" t="s">
        <v>183</v>
      </c>
      <c r="Y11" s="52"/>
      <c r="Z11" s="53"/>
      <c r="AA11" s="54" t="s">
        <v>186</v>
      </c>
      <c r="AB11" s="52"/>
      <c r="AC11" s="53"/>
      <c r="AD11" s="54" t="s">
        <v>187</v>
      </c>
      <c r="AE11" s="52"/>
      <c r="AF11" s="53"/>
      <c r="AG11" s="54" t="s">
        <v>392</v>
      </c>
      <c r="AH11" s="52"/>
      <c r="AI11" s="132"/>
      <c r="AJ11" s="94" t="str">
        <f>J11&amp;"-"&amp;M11&amp;"-"&amp;S11</f>
        <v>--</v>
      </c>
      <c r="AK11" s="127">
        <f>IFERROR(IF(INDEX($AH$11:AH11,MATCH(J11,$D$11:D11,0))="True",1,0),-1)</f>
        <v>-1</v>
      </c>
      <c r="AL11" s="127" t="str">
        <f>IF(AK11=-1,"-1",IF(AK11=1,J11,INDEX($AL$11:AL11,COUNT($AQ$11:AQ11)-1)))</f>
        <v>-1</v>
      </c>
      <c r="AM11" s="127">
        <f>IF(AK11=-1,-1,IF(AK11=1,M11,INDEX($AM$11:AM11,COUNT($AQ$11:AQ11)-1)))</f>
        <v>-1</v>
      </c>
      <c r="AN11" s="127" t="str">
        <f>IF(AL11="-1","-1",IF(AL11&lt;&gt;J11,1,0))</f>
        <v>-1</v>
      </c>
      <c r="AO11" s="94">
        <f>IF(COUNT($AQ$11:AQ11)=MATCH(AJ11,$AJ$11:AJ11,0),1,0)</f>
        <v>1</v>
      </c>
      <c r="AP11" s="94">
        <f>SUMIFS($AQ$11:$AQ$700000,$AJ$11:$AJ$700000,AJ11)</f>
        <v>1</v>
      </c>
      <c r="AQ11" s="55">
        <v>1</v>
      </c>
      <c r="AR11" s="91" t="str">
        <f>$F$4</f>
        <v>-</v>
      </c>
      <c r="AS11" s="112">
        <f>IF(AR11=AL11,IF(AO11=1,1,0),0)</f>
        <v>0</v>
      </c>
      <c r="AT11" s="112">
        <f>IF(AR11=D11,1,0)</f>
        <v>0</v>
      </c>
      <c r="AU11" s="127">
        <f>SUMIF(J11:$J$700000,D11,AQ11:$AQ$700000)</f>
        <v>0</v>
      </c>
      <c r="AV11" s="127" t="str">
        <f>IF(AK11=-1,"0",1+INDEX($AV$11:$AV$700000,MATCH(J11,$D$11:$D$700000,0)))</f>
        <v>0</v>
      </c>
      <c r="AW11" s="55">
        <f>SUMIFS($AQ$11:$AQ$700000,$S$11:$S$700000,S11,$M$11:$M$700000,M11)</f>
        <v>0</v>
      </c>
      <c r="AX11" s="55">
        <f>IF(SUMIFS($AQ$11:AQ11,$S$11:S11,S11,$M$11:M11,M11)=1,1,0)</f>
        <v>0</v>
      </c>
      <c r="AY11" s="55">
        <f>IF(AX11=1,1,0)</f>
        <v>0</v>
      </c>
      <c r="AZ11" s="55">
        <f>M11</f>
        <v>0</v>
      </c>
      <c r="BA11" s="92"/>
      <c r="BB11" s="92"/>
      <c r="BC11" s="92"/>
      <c r="BD11" s="92"/>
      <c r="BE11" t="s">
        <v>164</v>
      </c>
    </row>
  </sheetData>
  <mergeCells count="12"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H5" sqref="H5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372</v>
      </c>
      <c r="C4" s="1" t="s">
        <v>373</v>
      </c>
    </row>
    <row r="5" spans="2:3" x14ac:dyDescent="0.25">
      <c r="B5" s="1" t="s">
        <v>374</v>
      </c>
      <c r="C5" s="1" t="s">
        <v>375</v>
      </c>
    </row>
    <row r="6" spans="2:3" x14ac:dyDescent="0.25">
      <c r="B6" s="1" t="s">
        <v>376</v>
      </c>
      <c r="C6" s="1" t="s">
        <v>377</v>
      </c>
    </row>
    <row r="7" spans="2:3" x14ac:dyDescent="0.25">
      <c r="B7" s="1" t="s">
        <v>378</v>
      </c>
      <c r="C7" s="1" t="s">
        <v>379</v>
      </c>
    </row>
    <row r="8" spans="2:3" x14ac:dyDescent="0.25">
      <c r="B8" s="1" t="s">
        <v>380</v>
      </c>
      <c r="C8" s="1" t="s">
        <v>381</v>
      </c>
    </row>
    <row r="9" spans="2:3" x14ac:dyDescent="0.25">
      <c r="B9" s="1" t="s">
        <v>382</v>
      </c>
      <c r="C9" s="1" t="s">
        <v>383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workbookViewId="0">
      <selection activeCell="F35" sqref="F35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340</v>
      </c>
    </row>
    <row r="2" spans="1:2" x14ac:dyDescent="0.25">
      <c r="A2" t="s">
        <v>174</v>
      </c>
      <c r="B2" t="s">
        <v>387</v>
      </c>
    </row>
    <row r="3" spans="1:2" x14ac:dyDescent="0.25">
      <c r="A3" t="s">
        <v>173</v>
      </c>
      <c r="B3" t="s">
        <v>356</v>
      </c>
    </row>
    <row r="4" spans="1:2" x14ac:dyDescent="0.25">
      <c r="A4" t="s">
        <v>174</v>
      </c>
      <c r="B4" t="s">
        <v>387</v>
      </c>
    </row>
    <row r="5" spans="1:2" x14ac:dyDescent="0.25">
      <c r="A5" t="s">
        <v>173</v>
      </c>
      <c r="B5" t="s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BD</vt:lpstr>
      <vt:lpstr>BDКаб</vt:lpstr>
      <vt:lpstr>BDKc</vt:lpstr>
      <vt:lpstr>&lt;workbook&gt;SET</vt:lpstr>
      <vt:lpstr>&lt;zalldev&gt;SET</vt:lpstr>
      <vt:lpstr>&lt;zalldev&gt;EXPORT</vt:lpstr>
      <vt:lpstr>&lt;zalldev&gt;TEMPLATEKZ</vt:lpstr>
      <vt:lpstr>BDzallcab</vt:lpstr>
      <vt:lpstr>&lt;zallcab&gt;SET</vt:lpstr>
      <vt:lpstr>&lt;zallcab&gt;EXPORT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2024-07-19T14:43:34Z</dcterms:modified>
</cp:coreProperties>
</file>