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E09B2187-FF2A-4836-9D9D-38AEC63F3093}" xr6:coauthVersionLast="45" xr6:coauthVersionMax="45" xr10:uidLastSave="{00000000-0000-0000-0000-000000000000}"/>
  <bookViews>
    <workbookView xWindow="8040" yWindow="1680" windowWidth="34605" windowHeight="15780" firstSheet="6" activeTab="15" xr2:uid="{456AB35E-0355-4F16-B1D8-5CF582B696FE}"/>
  </bookViews>
  <sheets>
    <sheet name="BD" sheetId="4" r:id="rId1"/>
    <sheet name="BDКаб" sheetId="13" r:id="rId2"/>
    <sheet name="BDKc" sheetId="12" r:id="rId3"/>
    <sheet name="&lt;workbook&gt;SET" sheetId="7" r:id="rId4"/>
    <sheet name="&lt;zalldev&gt;SET" sheetId="15" r:id="rId5"/>
    <sheet name="&lt;zalldev&gt;TEMPLATEKZ" sheetId="17" r:id="rId6"/>
    <sheet name="&lt;zalldev&gt;EXPORT" sheetId="11" r:id="rId7"/>
    <sheet name="BDzallcab" sheetId="26" r:id="rId8"/>
    <sheet name="&lt;zallcab&gt;SET" sheetId="23" r:id="rId9"/>
    <sheet name="&lt;zallcab&gt;EXPORT" sheetId="14" r:id="rId10"/>
    <sheet name="&lt;zallcab&gt;CALC" sheetId="2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4" i="20" l="1"/>
  <c r="X7" i="24"/>
  <c r="F5" i="25"/>
  <c r="N7" i="24" l="1"/>
  <c r="K7" i="24"/>
  <c r="C2" i="14" l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B4" i="24" l="1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Q7" i="24" l="1"/>
  <c r="H7" i="24"/>
  <c r="G7" i="24"/>
  <c r="J7" i="24" s="1"/>
  <c r="F7" i="24"/>
  <c r="E7" i="24"/>
  <c r="D7" i="24"/>
  <c r="M7" i="24" s="1"/>
  <c r="C7" i="24"/>
  <c r="V7" i="24" l="1"/>
  <c r="P7" i="24"/>
  <c r="W7" i="24" s="1"/>
  <c r="H5" i="25" s="1"/>
  <c r="R7" i="24"/>
  <c r="L7" i="24"/>
  <c r="O7" i="24" s="1"/>
  <c r="U7" i="24" l="1"/>
  <c r="E5" i="25" s="1"/>
  <c r="S7" i="24"/>
  <c r="C5" i="25" s="1"/>
  <c r="T7" i="24"/>
  <c r="D5" i="25" s="1"/>
  <c r="AN8" i="20" l="1"/>
  <c r="AN7" i="20"/>
  <c r="AS24" i="20"/>
  <c r="AK24" i="20"/>
  <c r="AA24" i="20" l="1"/>
  <c r="P24" i="20" l="1"/>
  <c r="X24" i="20"/>
  <c r="W24" i="20"/>
  <c r="AL11" i="11"/>
  <c r="AS11" i="11" l="1"/>
  <c r="AR11" i="11"/>
  <c r="AI11" i="11"/>
  <c r="AH11" i="11"/>
  <c r="AQ11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U7" i="11"/>
  <c r="A7" i="11"/>
  <c r="AG11" i="11"/>
  <c r="D1" i="20" l="1"/>
  <c r="F17" i="20"/>
  <c r="E17" i="20"/>
  <c r="D17" i="20"/>
  <c r="G1" i="22"/>
  <c r="F1" i="22"/>
  <c r="E1" i="22"/>
  <c r="D1" i="22"/>
  <c r="ET20" i="20"/>
  <c r="EU20" i="20"/>
  <c r="EV20" i="20"/>
  <c r="EW20" i="20"/>
  <c r="EX20" i="20"/>
  <c r="EY20" i="20"/>
  <c r="EZ20" i="20"/>
  <c r="FA20" i="20"/>
  <c r="FB20" i="20"/>
  <c r="FC20" i="20"/>
  <c r="FD20" i="20"/>
  <c r="FE20" i="20"/>
  <c r="FF20" i="20"/>
  <c r="FG20" i="20"/>
  <c r="FH20" i="20"/>
  <c r="N24" i="20" l="1"/>
  <c r="EL20" i="20"/>
  <c r="EM20" i="20"/>
  <c r="EN20" i="20"/>
  <c r="EO20" i="20"/>
  <c r="EP20" i="20"/>
  <c r="EQ20" i="20"/>
  <c r="ER20" i="20"/>
  <c r="ES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BM20" i="20"/>
  <c r="BN20" i="20"/>
  <c r="BO20" i="20"/>
  <c r="BP20" i="20"/>
  <c r="BQ20" i="20"/>
  <c r="BR20" i="20"/>
  <c r="BS20" i="20"/>
  <c r="BT20" i="20"/>
  <c r="BU20" i="20"/>
  <c r="BV20" i="20"/>
  <c r="BW20" i="20"/>
  <c r="BX20" i="20"/>
  <c r="BY20" i="20"/>
  <c r="BZ20" i="20"/>
  <c r="CA20" i="20"/>
  <c r="CB20" i="20"/>
  <c r="CC20" i="20"/>
  <c r="CD20" i="20"/>
  <c r="CE20" i="20"/>
  <c r="CF20" i="20"/>
  <c r="CG20" i="20"/>
  <c r="CH20" i="20"/>
  <c r="CI20" i="20"/>
  <c r="CJ20" i="20"/>
  <c r="CK20" i="20"/>
  <c r="CL20" i="20"/>
  <c r="CM20" i="20"/>
  <c r="CN20" i="20"/>
  <c r="CO20" i="20"/>
  <c r="CP20" i="20"/>
  <c r="CQ20" i="20"/>
  <c r="CR20" i="20"/>
  <c r="CS20" i="20"/>
  <c r="CT20" i="20"/>
  <c r="CU20" i="20"/>
  <c r="CV20" i="20"/>
  <c r="CW20" i="20"/>
  <c r="CX20" i="20"/>
  <c r="CY20" i="20"/>
  <c r="CZ20" i="20"/>
  <c r="DA20" i="20"/>
  <c r="DB20" i="20"/>
  <c r="DC20" i="20"/>
  <c r="DD20" i="20"/>
  <c r="DE20" i="20"/>
  <c r="DF20" i="20"/>
  <c r="DG20" i="20"/>
  <c r="DH20" i="20"/>
  <c r="DI20" i="20"/>
  <c r="DJ20" i="20"/>
  <c r="DK20" i="20"/>
  <c r="DL20" i="20"/>
  <c r="DM20" i="20"/>
  <c r="DN20" i="20"/>
  <c r="DO20" i="20"/>
  <c r="DP20" i="20"/>
  <c r="DQ20" i="20"/>
  <c r="DR20" i="20"/>
  <c r="DS20" i="20"/>
  <c r="DT20" i="20"/>
  <c r="DU20" i="20"/>
  <c r="DV20" i="20"/>
  <c r="DW20" i="20"/>
  <c r="DX20" i="20"/>
  <c r="DY20" i="20"/>
  <c r="DZ20" i="20"/>
  <c r="EA20" i="20"/>
  <c r="EB20" i="20"/>
  <c r="EC20" i="20"/>
  <c r="ED20" i="20"/>
  <c r="EE20" i="20"/>
  <c r="EF20" i="20"/>
  <c r="EG20" i="20"/>
  <c r="EH20" i="20"/>
  <c r="EI20" i="20"/>
  <c r="EJ20" i="20"/>
  <c r="EK20" i="20"/>
  <c r="A20" i="20"/>
  <c r="L24" i="20" l="1"/>
  <c r="K24" i="20" s="1"/>
  <c r="J24" i="20"/>
  <c r="B1" i="18"/>
  <c r="D24" i="20" l="1"/>
  <c r="AK11" i="11"/>
  <c r="CW22" i="20" l="1"/>
  <c r="DA22" i="20"/>
  <c r="DE22" i="20"/>
  <c r="BW24" i="20"/>
  <c r="BY24" i="20" s="1"/>
  <c r="BZ24" i="20"/>
  <c r="CI24" i="20"/>
  <c r="DA24" i="20"/>
  <c r="DZ24" i="20"/>
  <c r="EA24" i="20"/>
  <c r="CF24" i="20" l="1"/>
  <c r="DG24" i="20" s="1"/>
  <c r="CE24" i="20"/>
  <c r="CG24" i="20"/>
  <c r="CH24" i="20" s="1"/>
  <c r="CK24" i="20"/>
  <c r="CM24" i="20"/>
  <c r="CP24" i="20" s="1"/>
  <c r="H14" i="20"/>
  <c r="H5" i="20"/>
  <c r="CU22" i="20" s="1"/>
  <c r="H1" i="20"/>
  <c r="G1" i="20"/>
  <c r="F1" i="20"/>
  <c r="BX24" i="20"/>
  <c r="CJ24" i="20"/>
  <c r="T24" i="20" l="1"/>
  <c r="R24" i="20"/>
  <c r="CU24" i="20" s="1"/>
  <c r="Q24" i="20"/>
  <c r="DQ24" i="20" s="1"/>
  <c r="DK24" i="20"/>
  <c r="CL24" i="20"/>
  <c r="AI24" i="20"/>
  <c r="E24" i="20"/>
  <c r="G24" i="20"/>
  <c r="S24" i="20"/>
  <c r="AD24" i="20" s="1"/>
  <c r="F24" i="20"/>
  <c r="U24" i="20" l="1"/>
  <c r="V24" i="20"/>
  <c r="AG24" i="20" s="1"/>
  <c r="DM24" i="20"/>
  <c r="AJ24" i="20"/>
  <c r="AN24" i="20"/>
  <c r="AO24" i="20"/>
  <c r="AP24" i="20"/>
  <c r="AQ24" i="20"/>
  <c r="DS24" i="20"/>
  <c r="BQ24" i="20"/>
  <c r="BS24" i="20"/>
  <c r="BR24" i="20"/>
  <c r="AY24" i="20"/>
  <c r="BL24" i="20"/>
  <c r="BJ24" i="20"/>
  <c r="BK24" i="20"/>
  <c r="AZ24" i="20"/>
  <c r="CC24" i="20"/>
  <c r="CD24" i="20" s="1"/>
  <c r="AC24" i="20" l="1"/>
  <c r="AF24" i="20" s="1"/>
  <c r="AH24" i="20"/>
  <c r="DO24" i="20"/>
  <c r="BG24" i="20"/>
  <c r="BC24" i="20"/>
  <c r="BI24" i="20"/>
  <c r="BD24" i="20"/>
  <c r="U5" i="20"/>
  <c r="CY22" i="20" s="1"/>
  <c r="BP24" i="20"/>
  <c r="BU24" i="20"/>
  <c r="BT24" i="20"/>
  <c r="AT24" i="20" l="1"/>
  <c r="BV24" i="20"/>
  <c r="ES24" i="20" s="1"/>
  <c r="BA24" i="20"/>
  <c r="BB24" i="20" s="1"/>
  <c r="BE24" i="20" s="1"/>
  <c r="U6" i="20"/>
  <c r="DC22" i="20" s="1"/>
  <c r="BF24" i="20"/>
  <c r="AX24" i="20"/>
  <c r="AW24" i="20"/>
  <c r="AR24" i="20" l="1"/>
  <c r="AL24" i="20" s="1"/>
  <c r="BO24" i="20"/>
  <c r="I24" i="20"/>
  <c r="U15" i="20"/>
  <c r="DG22" i="20" s="1"/>
  <c r="U7" i="20"/>
  <c r="E1" i="20"/>
  <c r="BM24" i="20"/>
  <c r="BN24" i="20"/>
  <c r="AE24" i="20"/>
  <c r="H24" i="20" l="1"/>
  <c r="EJ24" i="20"/>
  <c r="DY24" i="20"/>
  <c r="EL24" i="20"/>
  <c r="EM24" i="20" l="1"/>
  <c r="EO24" i="20"/>
  <c r="ET24" i="20"/>
  <c r="EN24" i="20"/>
  <c r="EC24" i="20"/>
  <c r="CW24" i="20"/>
  <c r="EK24" i="20" l="1"/>
  <c r="EF24" i="20"/>
  <c r="ED24" i="20"/>
  <c r="EE24" i="20"/>
  <c r="B4" i="21"/>
  <c r="B1" i="21"/>
  <c r="AO11" i="11" l="1"/>
  <c r="AN11" i="11"/>
  <c r="AM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2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19C71313-9868-4587-BC88-C9A1BC4ADD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P23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S23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W23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X23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Y23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Z23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AA23" authorId="1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B23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I23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N23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O23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P23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R23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Y23" authorId="0" shapeId="0" xr:uid="{42617EC5-9B5A-426C-B5EC-04AC02124BEF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Z23" authorId="0" shapeId="0" xr:uid="{4D5D5AC1-F4E1-46CC-A860-4D58A7B3B0D8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B23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D23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<sst xmlns="http://schemas.openxmlformats.org/spreadsheetml/2006/main" count="813" uniqueCount="401">
  <si>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</si>
  <si>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</si>
  <si>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</si>
  <si>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</si>
  <si>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</si>
  <si>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</si>
  <si>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</si>
  <si>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</si>
  <si>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</si>
  <si>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</si>
  <si>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</si>
  <si>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</si>
  <si>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</si>
  <si>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</si>
  <si>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</si>
  <si>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</si>
  <si>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</si>
  <si>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</si>
  <si>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</si>
  <si>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</si>
  <si>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</si>
  <si>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</si>
  <si>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</si>
  <si>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</si>
  <si>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</si>
  <si>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</si>
  <si>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</si>
  <si>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</si>
  <si>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</si>
  <si>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</si>
  <si>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</si>
  <si>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</si>
  <si>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</si>
  <si>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</si>
  <si>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</si>
  <si>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</si>
  <si>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</si>
  <si>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</si>
  <si>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</si>
  <si>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</si>
  <si>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</si>
  <si>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</si>
  <si>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</si>
  <si>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</si>
  <si>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</si>
  <si>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</si>
  <si>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</si>
  <si>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</si>
  <si>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</si>
  <si>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</si>
  <si>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</si>
  <si>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</si>
  <si>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</si>
  <si>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</si>
  <si>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</si>
  <si>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</si>
  <si>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</si>
  <si>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</si>
  <si>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</si>
  <si>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</si>
  <si>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</si>
  <si>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</si>
  <si>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</si>
  <si>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</si>
  <si>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</si>
  <si>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</si>
  <si>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</si>
  <si>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</si>
  <si>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</si>
  <si>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</si>
  <si>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</si>
  <si>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ВА47-60М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</si>
  <si>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</si>
  <si>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</si>
  <si>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</si>
  <si>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</si>
  <si>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</si>
  <si>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</si>
  <si>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</si>
  <si>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</si>
  <si>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</si>
  <si>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</si>
  <si>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</si>
  <si>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</si>
  <si>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</si>
  <si>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</si>
  <si>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</si>
  <si>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</si>
  <si>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</si>
  <si>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</si>
  <si>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</si>
  <si>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</si>
  <si>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</si>
  <si>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</si>
  <si>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</si>
  <si>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</si>
  <si>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</si>
  <si>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</si>
  <si>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</si>
  <si>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</si>
  <si>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</si>
  <si>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</si>
  <si>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</si>
  <si>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</si>
  <si>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</si>
  <si>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</si>
  <si>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</si>
  <si>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</si>
  <si>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</si>
  <si>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</si>
  <si>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</si>
  <si>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</si>
  <si>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</si>
  <si>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</si>
  <si>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</si>
  <si>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</si>
  <si>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</si>
  <si>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</si>
  <si>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</si>
  <si>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</si>
  <si>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</si>
  <si>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</si>
  <si>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</si>
  <si>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</si>
  <si>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</si>
  <si>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</si>
  <si>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</si>
  <si>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</si>
  <si>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</si>
  <si>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</si>
  <si>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</si>
  <si>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</si>
  <si>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</si>
  <si>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</si>
  <si>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</si>
  <si>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</si>
  <si>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</si>
  <si>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</si>
  <si>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</si>
  <si>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</si>
  <si>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</si>
  <si>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</si>
  <si>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</si>
  <si>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</si>
  <si>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</si>
  <si>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</si>
  <si>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</si>
  <si>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</si>
  <si>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</si>
  <si>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</si>
  <si>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</si>
  <si>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</si>
  <si>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</si>
  <si>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</si>
  <si>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</si>
  <si>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</si>
  <si>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</si>
  <si>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</si>
  <si>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</si>
  <si>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</si>
  <si>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</si>
  <si>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</si>
  <si>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</si>
  <si>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</si>
  <si>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</si>
  <si>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</si>
  <si>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</si>
  <si>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</si>
  <si>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</si>
  <si>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</si>
  <si>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</si>
  <si>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</si>
  <si>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</si>
  <si>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</si>
  <si>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</si>
  <si>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</si>
  <si>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</si>
  <si>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</si>
  <si>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</si>
  <si>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</si>
  <si>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</si>
  <si>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</si>
  <si>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</si>
  <si>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</si>
  <si>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</si>
  <si>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</si>
  <si>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</si>
  <si>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</si>
  <si>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ALL222</t>
  </si>
  <si>
    <t>Ед устр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</si>
  <si>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</si>
  <si>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</si>
  <si>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</si>
  <si>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</si>
  <si>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</si>
  <si>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</si>
  <si>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</si>
  <si>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</si>
  <si>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</si>
  <si>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</si>
  <si>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</si>
  <si>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</si>
  <si>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</si>
  <si>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</si>
  <si>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</si>
  <si>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</si>
  <si>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</si>
  <si>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</si>
  <si>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</si>
  <si>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</si>
  <si>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</si>
  <si>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</si>
  <si>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</si>
  <si>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</si>
  <si>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</si>
  <si>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</si>
  <si>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</si>
  <si>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</si>
  <si>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</si>
  <si>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</si>
  <si>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</si>
  <si>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</si>
  <si>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</si>
  <si>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Ток, А</t>
  </si>
  <si>
    <t>Выбран. уставка, А</t>
  </si>
  <si>
    <t>Принуд. уставка, 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</si>
  <si>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</si>
  <si>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</si>
  <si>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</si>
  <si>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</si>
  <si>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</si>
  <si>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</si>
  <si>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Ток данной группы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</si>
  <si>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</si>
  <si>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</si>
  <si>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</si>
  <si>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</si>
  <si>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</si>
  <si>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</si>
  <si>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</si>
  <si>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</si>
  <si>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</si>
  <si>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</si>
  <si>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</si>
  <si>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</si>
  <si>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</si>
  <si>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</si>
  <si>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</si>
  <si>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</si>
  <si>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</si>
  <si>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</si>
  <si>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</si>
  <si>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</si>
  <si>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Pр, 
kW</t>
  </si>
  <si>
    <t>Cosφ гр.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</si>
  <si>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</si>
  <si>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</si>
  <si>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</si>
  <si>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</si>
  <si>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</si>
  <si>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</si>
  <si>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</si>
  <si>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</si>
  <si>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</si>
  <si>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</si>
  <si>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</si>
  <si>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</si>
  <si>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</si>
  <si>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</si>
  <si>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</si>
  <si>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</si>
  <si>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</si>
  <si>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</si>
  <si>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</si>
  <si>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</si>
  <si>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</si>
  <si>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</si>
  <si>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</si>
  <si>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2-й уровню схемы данные</t>
  </si>
  <si>
    <t>1-й уровню схемы данные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</si>
  <si>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</si>
  <si>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</si>
  <si>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</si>
  <si>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</si>
  <si>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>Ур подключения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</si>
  <si>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</si>
  <si>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</si>
  <si>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</si>
  <si>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</si>
  <si>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</si>
  <si>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</si>
  <si>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</si>
  <si>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</si>
  <si>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</si>
  <si>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</si>
  <si>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</si>
  <si>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</si>
  <si>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</si>
  <si>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</si>
  <si>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</si>
  <si>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</si>
  <si>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</si>
  <si>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</si>
  <si>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</si>
  <si>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</si>
  <si>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</si>
  <si>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</si>
  <si>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</si>
  <si>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</si>
  <si>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</si>
  <si>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</si>
  <si>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</si>
  <si>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</si>
  <si>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</si>
  <si>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</si>
  <si>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</si>
  <si>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</si>
  <si>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</si>
  <si>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</si>
  <si>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</si>
  <si>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ЩРН-12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</si>
  <si>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</si>
  <si>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</si>
  <si>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</si>
  <si>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</si>
  <si>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</si>
  <si>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</si>
  <si>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</si>
  <si>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</si>
  <si>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</si>
  <si>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</si>
  <si>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</si>
  <si>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</si>
  <si>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&lt;zlight&gt;GU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</si>
  <si>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</si>
  <si>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</si>
  <si>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</si>
  <si>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</si>
  <si>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</si>
  <si>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</si>
  <si>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</si>
  <si>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</si>
  <si>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</si>
  <si>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</si>
  <si>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&lt;zcopyrow targetsheet=[&lt;zalldev&gt;EXPORT] targetcodename=[zalldevimport] keynumcol=[37]&gt;</t>
  </si>
  <si>
    <t>&lt;zcopyrow targetsheet=[&lt;zalldev&gt;EXPORT] targetcodename=[zalldevimport] keynumcol=[42]&gt;</t>
  </si>
  <si>
    <t>&lt;zcopyrow targetsheet=[&lt;zlight&gt;GUTEMP] targetcodename=[zGUGUGUGU] keynumcol=[8]&gt;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</si>
  <si>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</si>
  <si>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</si>
  <si>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</si>
  <si>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</si>
  <si>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</si>
  <si>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</si>
  <si>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</si>
  <si>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</si>
  <si>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</si>
  <si>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</si>
  <si>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</si>
  <si>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</si>
  <si>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</si>
  <si>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</si>
  <si>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ЕСЛИ(AK24="";"";СУММЕСЛИМН('&lt;zallcab&gt;EXPORT'!$M$6:$M$700000;'&lt;zallcab&gt;EXPORT'!$E$6:$E$700000;AK24))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</si>
  <si>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</si>
  <si>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</si>
  <si>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</si>
  <si>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</si>
  <si>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</si>
  <si>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</si>
  <si>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</si>
  <si>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</si>
  <si>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</si>
  <si>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</si>
  <si>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</si>
  <si>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</si>
  <si>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</si>
  <si>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</si>
  <si>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</si>
  <si>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</si>
  <si>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</si>
  <si>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</si>
  <si>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</si>
  <si>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</si>
  <si>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</si>
  <si>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</si>
  <si>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</si>
  <si>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</si>
  <si>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</si>
  <si>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</si>
  <si>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</si>
  <si>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</si>
  <si>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</si>
  <si>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</si>
  <si>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</si>
  <si>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</si>
  <si>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</si>
  <si>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2 х ВВГнг(А)-LS-5х120мм²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</si>
  <si>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</si>
  <si>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</si>
  <si>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</si>
  <si>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</si>
  <si>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ЕСЛИ(AK24="";"";ИНДЕКС('&lt;zallcab&gt;CALC'!$X$7:$X$700000;ПОИСКПОЗ(AK24;'&lt;zallcab&gt;CALC'!$D$7:$D$700000;0)))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</si>
</sst>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0" fillId="14" borderId="1" xfId="1" applyNumberFormat="1" applyFont="1" applyFill="1" applyBorder="1" applyAlignment="1" applyProtection="1">
      <alignment horizontal="center"/>
      <protection hidden="1"/>
    </xf>
    <xf numFmtId="0" fontId="11" fillId="15" borderId="1" xfId="1" applyFont="1" applyFill="1" applyBorder="1" applyAlignment="1" applyProtection="1">
      <alignment horizontal="center"/>
      <protection hidden="1"/>
    </xf>
    <xf numFmtId="0" fontId="12" fillId="15" borderId="1" xfId="1" applyFont="1" applyFill="1" applyBorder="1" applyAlignment="1" applyProtection="1">
      <alignment horizontal="center"/>
      <protection hidden="1"/>
    </xf>
    <xf numFmtId="0" fontId="13" fillId="15" borderId="1" xfId="1" applyFont="1" applyFill="1" applyBorder="1" applyAlignment="1" applyProtection="1">
      <alignment horizontal="center"/>
      <protection hidden="1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11" borderId="0" xfId="2" applyFont="1" applyFill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4" borderId="41" xfId="1" applyFont="1" applyFill="1" applyBorder="1" applyAlignment="1" applyProtection="1">
      <alignment horizontal="center" vertical="center" wrapText="1"/>
      <protection hidden="1"/>
    </xf>
    <xf numFmtId="0" fontId="3" fillId="4" borderId="39" xfId="1" applyFont="1" applyFill="1" applyBorder="1" applyAlignment="1" applyProtection="1">
      <alignment horizontal="center" vertical="center" wrapText="1"/>
      <protection hidden="1"/>
    </xf>
    <xf numFmtId="0" fontId="3" fillId="4" borderId="42" xfId="1" applyFont="1" applyFill="1" applyBorder="1" applyAlignment="1" applyProtection="1">
      <alignment horizontal="center" vertical="center" wrapText="1"/>
      <protection hidden="1"/>
    </xf>
    <xf numFmtId="0" fontId="3" fillId="16" borderId="39" xfId="1" applyFont="1" applyFill="1" applyBorder="1" applyAlignment="1" applyProtection="1">
      <alignment horizontal="center" vertical="center" wrapText="1"/>
      <protection hidden="1"/>
    </xf>
    <xf numFmtId="0" fontId="3" fillId="17" borderId="43" xfId="1" applyFont="1" applyFill="1" applyBorder="1" applyAlignment="1" applyProtection="1">
      <alignment horizontal="center" vertical="center" wrapText="1"/>
      <protection hidden="1"/>
    </xf>
    <xf numFmtId="0" fontId="3" fillId="17" borderId="39" xfId="1" applyFont="1" applyFill="1" applyBorder="1" applyAlignment="1" applyProtection="1">
      <alignment horizontal="center" vertical="center" wrapText="1"/>
      <protection hidden="1"/>
    </xf>
    <xf numFmtId="0" fontId="3" fillId="4" borderId="42" xfId="1" applyFont="1" applyFill="1" applyBorder="1" applyAlignment="1" applyProtection="1">
      <alignment horizontal="center" vertical="center"/>
      <protection hidden="1"/>
    </xf>
    <xf numFmtId="0" fontId="3" fillId="7" borderId="5" xfId="0" applyFont="1" applyFill="1" applyBorder="1" applyAlignment="1" applyProtection="1">
      <alignment horizontal="center" vertical="center" wrapText="1"/>
      <protection hidden="1"/>
    </xf>
    <xf numFmtId="0" fontId="3" fillId="7" borderId="44" xfId="2" applyFont="1" applyFill="1" applyBorder="1" applyAlignment="1" applyProtection="1">
      <alignment horizontal="center" vertical="center" wrapText="1"/>
      <protection hidden="1"/>
    </xf>
    <xf numFmtId="0" fontId="3" fillId="7" borderId="45" xfId="2" applyFont="1" applyFill="1" applyBorder="1" applyAlignment="1" applyProtection="1">
      <alignment horizontal="center" vertical="center"/>
      <protection hidden="1"/>
    </xf>
    <xf numFmtId="0" fontId="3" fillId="7" borderId="45" xfId="1" applyFont="1" applyFill="1" applyBorder="1" applyAlignment="1" applyProtection="1">
      <alignment horizontal="center" vertical="center"/>
      <protection hidden="1"/>
    </xf>
    <xf numFmtId="0" fontId="3" fillId="7" borderId="46" xfId="1" applyFont="1" applyFill="1" applyBorder="1" applyAlignment="1" applyProtection="1">
      <alignment horizontal="center" vertical="center" wrapText="1"/>
      <protection hidden="1"/>
    </xf>
    <xf numFmtId="0" fontId="3" fillId="7" borderId="45" xfId="1" applyFont="1" applyFill="1" applyBorder="1" applyAlignment="1" applyProtection="1">
      <alignment horizontal="center" vertical="center" wrapText="1"/>
      <protection hidden="1"/>
    </xf>
    <xf numFmtId="0" fontId="3" fillId="7" borderId="7" xfId="0" applyFont="1" applyFill="1" applyBorder="1" applyAlignment="1" applyProtection="1">
      <alignment horizontal="center" vertical="center" wrapText="1"/>
      <protection hidden="1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41" xfId="0" applyFill="1" applyBorder="1" applyAlignment="1">
      <alignment horizontal="center" vertical="center"/>
    </xf>
    <xf numFmtId="0" fontId="0" fillId="13" borderId="1" xfId="0" applyFill="1" applyBorder="1"/>
    <xf numFmtId="0" fontId="0" fillId="19" borderId="1" xfId="0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9" borderId="0" xfId="0" applyFill="1" applyBorder="1" applyAlignment="1">
      <alignment horizontal="center"/>
    </xf>
    <xf numFmtId="0" fontId="0" fillId="22" borderId="54" xfId="0" applyFill="1" applyBorder="1" applyAlignment="1">
      <alignment horizontal="left" vertical="center"/>
    </xf>
    <xf numFmtId="0" fontId="0" fillId="22" borderId="54" xfId="0" applyFill="1" applyBorder="1" applyAlignment="1">
      <alignment horizontal="center" vertical="center"/>
    </xf>
    <xf numFmtId="0" fontId="0" fillId="24" borderId="54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5" borderId="5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28" borderId="0" xfId="0" applyFill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/>
    <xf numFmtId="0" fontId="0" fillId="19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21" borderId="5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4" fillId="4" borderId="12" xfId="2" applyFont="1" applyFill="1" applyBorder="1" applyAlignment="1" applyProtection="1">
      <alignment horizontal="center" vertical="center" wrapText="1"/>
      <protection hidden="1"/>
    </xf>
    <xf numFmtId="0" fontId="14" fillId="4" borderId="53" xfId="2" applyFont="1" applyFill="1" applyBorder="1" applyAlignment="1" applyProtection="1">
      <alignment horizontal="center" vertical="center" wrapText="1"/>
      <protection hidden="1"/>
    </xf>
    <xf numFmtId="0" fontId="14" fillId="4" borderId="13" xfId="2" applyFont="1" applyFill="1" applyBorder="1" applyAlignment="1" applyProtection="1">
      <alignment horizontal="center" vertical="center" wrapText="1"/>
      <protection hidden="1"/>
    </xf>
    <xf numFmtId="0" fontId="14" fillId="11" borderId="40" xfId="2" applyFont="1" applyFill="1" applyBorder="1" applyAlignment="1" applyProtection="1">
      <alignment horizontal="center" vertical="center" wrapText="1"/>
      <protection hidden="1"/>
    </xf>
    <xf numFmtId="0" fontId="14" fillId="11" borderId="0" xfId="2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Alignment="1">
      <alignment horizont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4" borderId="20" xfId="1" applyFont="1" applyFill="1" applyBorder="1" applyAlignment="1" applyProtection="1">
      <alignment horizontal="center" vertical="center" wrapText="1"/>
      <protection hidden="1"/>
    </xf>
    <xf numFmtId="0" fontId="3" fillId="4" borderId="47" xfId="1" applyFont="1" applyFill="1" applyBorder="1" applyAlignment="1" applyProtection="1">
      <alignment horizontal="center" vertical="center" wrapText="1"/>
      <protection hidden="1"/>
    </xf>
    <xf numFmtId="0" fontId="14" fillId="7" borderId="2" xfId="2" applyFont="1" applyFill="1" applyBorder="1" applyAlignment="1" applyProtection="1">
      <alignment horizontal="center" vertical="center" wrapText="1"/>
      <protection hidden="1"/>
    </xf>
    <xf numFmtId="0" fontId="14" fillId="7" borderId="3" xfId="2" applyFont="1" applyFill="1" applyBorder="1" applyAlignment="1" applyProtection="1">
      <alignment horizontal="center" vertical="center" wrapText="1"/>
      <protection hidden="1"/>
    </xf>
    <xf numFmtId="0" fontId="14" fillId="4" borderId="2" xfId="2" applyFont="1" applyFill="1" applyBorder="1" applyAlignment="1" applyProtection="1">
      <alignment horizontal="center" vertical="center" wrapText="1"/>
      <protection hidden="1"/>
    </xf>
    <xf numFmtId="0" fontId="14" fillId="4" borderId="3" xfId="2" applyFont="1" applyFill="1" applyBorder="1" applyAlignment="1" applyProtection="1">
      <alignment horizontal="center" vertical="center" wrapText="1"/>
      <protection hidden="1"/>
    </xf>
    <xf numFmtId="0" fontId="14" fillId="4" borderId="4" xfId="2" applyFont="1" applyFill="1" applyBorder="1" applyAlignment="1" applyProtection="1">
      <alignment horizontal="center" vertical="center" wrapText="1"/>
      <protection hidden="1"/>
    </xf>
    <xf numFmtId="0" fontId="3" fillId="4" borderId="35" xfId="1" applyFont="1" applyFill="1" applyBorder="1" applyAlignment="1" applyProtection="1">
      <alignment horizontal="center" vertical="center" wrapText="1"/>
      <protection hidden="1"/>
    </xf>
    <xf numFmtId="0" fontId="3" fillId="4" borderId="48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3" fillId="4" borderId="28" xfId="1" applyFont="1" applyFill="1" applyBorder="1" applyAlignment="1" applyProtection="1">
      <alignment horizontal="center" vertical="center" wrapText="1"/>
      <protection hidden="1"/>
    </xf>
    <xf numFmtId="0" fontId="3" fillId="4" borderId="49" xfId="1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29" borderId="0" xfId="0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9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workbookViewId="0">
      <selection activeCell="B4" sqref="B4:B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21" t="s">
        <v>4</v>
      </c>
      <c r="B3" s="122"/>
      <c r="C3" s="123"/>
      <c r="F3" s="124" t="s">
        <v>19</v>
      </c>
      <c r="G3" s="125"/>
      <c r="H3" s="126"/>
      <c r="K3" s="129" t="s">
        <v>74</v>
      </c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75</v>
      </c>
      <c r="L4" s="43" t="s">
        <v>76</v>
      </c>
      <c r="M4" s="43" t="s">
        <v>77</v>
      </c>
      <c r="N4" s="43" t="s">
        <v>99</v>
      </c>
      <c r="O4" s="43" t="s">
        <v>100</v>
      </c>
      <c r="P4" s="43" t="s">
        <v>101</v>
      </c>
      <c r="Q4" s="43" t="s">
        <v>137</v>
      </c>
      <c r="R4" s="43" t="s">
        <v>148</v>
      </c>
      <c r="S4" s="43" t="s">
        <v>149</v>
      </c>
      <c r="T4" s="43" t="s">
        <v>150</v>
      </c>
      <c r="U4" s="43" t="s">
        <v>78</v>
      </c>
      <c r="V4" s="43" t="s">
        <v>79</v>
      </c>
      <c r="W4" s="43" t="s">
        <v>80</v>
      </c>
      <c r="X4" s="43" t="s">
        <v>107</v>
      </c>
      <c r="Y4" s="43" t="s">
        <v>108</v>
      </c>
      <c r="Z4" s="43" t="s">
        <v>109</v>
      </c>
      <c r="AA4" s="43" t="s">
        <v>138</v>
      </c>
      <c r="AB4" s="43" t="s">
        <v>155</v>
      </c>
      <c r="AC4" s="43" t="s">
        <v>156</v>
      </c>
      <c r="AD4" s="43" t="s">
        <v>157</v>
      </c>
      <c r="AE4" s="43" t="s">
        <v>81</v>
      </c>
      <c r="AF4" s="43" t="s">
        <v>82</v>
      </c>
      <c r="AG4" s="43" t="s">
        <v>83</v>
      </c>
      <c r="AH4" s="43" t="s">
        <v>103</v>
      </c>
      <c r="AI4" s="43" t="s">
        <v>104</v>
      </c>
      <c r="AJ4" s="43" t="s">
        <v>105</v>
      </c>
      <c r="AK4" s="43" t="s">
        <v>139</v>
      </c>
      <c r="AL4" s="43" t="s">
        <v>151</v>
      </c>
      <c r="AM4" s="43" t="s">
        <v>152</v>
      </c>
      <c r="AN4" s="43" t="s">
        <v>153</v>
      </c>
      <c r="AO4" s="43" t="s">
        <v>84</v>
      </c>
      <c r="AP4" s="43" t="s">
        <v>85</v>
      </c>
      <c r="AQ4" s="43" t="s">
        <v>86</v>
      </c>
      <c r="AR4" s="43" t="s">
        <v>110</v>
      </c>
      <c r="AS4" s="43" t="s">
        <v>111</v>
      </c>
      <c r="AT4" s="43" t="s">
        <v>112</v>
      </c>
      <c r="AU4" s="43" t="s">
        <v>140</v>
      </c>
      <c r="AV4" s="43" t="s">
        <v>87</v>
      </c>
      <c r="AW4" s="43" t="s">
        <v>88</v>
      </c>
      <c r="AX4" s="43" t="s">
        <v>89</v>
      </c>
      <c r="AY4" s="43" t="s">
        <v>113</v>
      </c>
      <c r="AZ4" s="43" t="s">
        <v>114</v>
      </c>
      <c r="BA4" s="43" t="s">
        <v>115</v>
      </c>
      <c r="BB4" s="43" t="s">
        <v>141</v>
      </c>
      <c r="BC4" s="43" t="s">
        <v>90</v>
      </c>
      <c r="BD4" s="43" t="s">
        <v>91</v>
      </c>
      <c r="BE4" s="43" t="s">
        <v>92</v>
      </c>
      <c r="BF4" s="43" t="s">
        <v>116</v>
      </c>
      <c r="BG4" s="43" t="s">
        <v>117</v>
      </c>
      <c r="BH4" s="43" t="s">
        <v>118</v>
      </c>
      <c r="BI4" s="43" t="s">
        <v>142</v>
      </c>
      <c r="BJ4" s="43" t="s">
        <v>93</v>
      </c>
      <c r="BK4" s="43" t="s">
        <v>94</v>
      </c>
      <c r="BL4" s="43" t="s">
        <v>95</v>
      </c>
      <c r="BM4" s="43" t="s">
        <v>119</v>
      </c>
      <c r="BN4" s="43" t="s">
        <v>120</v>
      </c>
      <c r="BO4" s="43" t="s">
        <v>121</v>
      </c>
      <c r="BP4" s="43" t="s">
        <v>143</v>
      </c>
      <c r="BQ4" s="43" t="s">
        <v>96</v>
      </c>
      <c r="BR4" s="43" t="s">
        <v>97</v>
      </c>
      <c r="BS4" s="43" t="s">
        <v>98</v>
      </c>
      <c r="BT4" s="43" t="s">
        <v>122</v>
      </c>
      <c r="BU4" s="43" t="s">
        <v>123</v>
      </c>
      <c r="BV4" s="43" t="s">
        <v>124</v>
      </c>
      <c r="BW4" s="43" t="s">
        <v>144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102</v>
      </c>
      <c r="O6" s="2"/>
      <c r="P6" s="2"/>
      <c r="Q6" s="2">
        <v>2</v>
      </c>
      <c r="R6" s="49" t="s">
        <v>147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125</v>
      </c>
      <c r="Y6" s="2" t="s">
        <v>73</v>
      </c>
      <c r="Z6" s="2"/>
      <c r="AA6" s="2">
        <v>1</v>
      </c>
      <c r="AB6" s="50" t="s">
        <v>158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130</v>
      </c>
      <c r="AI6" s="2" t="s">
        <v>106</v>
      </c>
      <c r="AJ6" s="2">
        <v>0</v>
      </c>
      <c r="AK6" s="2">
        <v>3</v>
      </c>
      <c r="AL6" s="50" t="s">
        <v>154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131</v>
      </c>
      <c r="AS6" s="2" t="s">
        <v>129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132</v>
      </c>
      <c r="AZ6" s="2" t="s">
        <v>126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133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134</v>
      </c>
      <c r="BN6" s="2" t="s">
        <v>128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135</v>
      </c>
      <c r="BU6" s="2" t="s">
        <v>136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102</v>
      </c>
      <c r="O7" s="2"/>
      <c r="P7" s="2"/>
      <c r="Q7" s="2">
        <v>2</v>
      </c>
      <c r="R7" s="49" t="s">
        <v>147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125</v>
      </c>
      <c r="Y7" s="2" t="s">
        <v>73</v>
      </c>
      <c r="Z7" s="2"/>
      <c r="AA7" s="2">
        <v>1</v>
      </c>
      <c r="AB7" s="50" t="s">
        <v>158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130</v>
      </c>
      <c r="AI7" s="2" t="s">
        <v>106</v>
      </c>
      <c r="AJ7" s="2">
        <v>0</v>
      </c>
      <c r="AK7" s="2">
        <v>3</v>
      </c>
      <c r="AL7" s="50" t="s">
        <v>154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131</v>
      </c>
      <c r="AS7" s="2" t="s">
        <v>129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132</v>
      </c>
      <c r="AZ7" s="2" t="s">
        <v>126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133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134</v>
      </c>
      <c r="BN7" s="2" t="s">
        <v>127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135</v>
      </c>
      <c r="BU7" s="2" t="s">
        <v>136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102</v>
      </c>
      <c r="O8" s="2"/>
      <c r="P8" s="2"/>
      <c r="Q8" s="2">
        <v>2</v>
      </c>
      <c r="R8" s="49" t="s">
        <v>147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125</v>
      </c>
      <c r="Y8" s="2" t="s">
        <v>73</v>
      </c>
      <c r="Z8" s="2"/>
      <c r="AA8" s="2">
        <v>1</v>
      </c>
      <c r="AB8" s="50" t="s">
        <v>158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130</v>
      </c>
      <c r="AI8" s="2" t="s">
        <v>106</v>
      </c>
      <c r="AJ8" s="2">
        <v>0</v>
      </c>
      <c r="AK8" s="2">
        <v>3</v>
      </c>
      <c r="AL8" s="50" t="s">
        <v>154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131</v>
      </c>
      <c r="AS8" s="2" t="s">
        <v>129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132</v>
      </c>
      <c r="AZ8" s="2" t="s">
        <v>126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133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135</v>
      </c>
      <c r="BU8" s="2" t="s">
        <v>136</v>
      </c>
      <c r="BV8" s="2"/>
      <c r="BW8" s="2">
        <v>8</v>
      </c>
      <c r="BX8" s="2"/>
    </row>
    <row r="9" spans="1:76" ht="15.75" thickBot="1" x14ac:dyDescent="0.3">
      <c r="A9" s="127" t="s">
        <v>3</v>
      </c>
      <c r="B9" s="128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102</v>
      </c>
      <c r="O9" s="2"/>
      <c r="P9" s="2"/>
      <c r="Q9" s="2">
        <v>2</v>
      </c>
      <c r="R9" s="49" t="s">
        <v>147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125</v>
      </c>
      <c r="Y9" s="2" t="s">
        <v>73</v>
      </c>
      <c r="Z9" s="2"/>
      <c r="AA9" s="2">
        <v>1</v>
      </c>
      <c r="AB9" s="50" t="s">
        <v>158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130</v>
      </c>
      <c r="AI9" s="2" t="s">
        <v>106</v>
      </c>
      <c r="AJ9" s="2">
        <v>0</v>
      </c>
      <c r="AK9" s="2">
        <v>3</v>
      </c>
      <c r="AL9" s="50" t="s">
        <v>154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131</v>
      </c>
      <c r="AS9" s="2" t="s">
        <v>129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132</v>
      </c>
      <c r="AZ9" s="2" t="s">
        <v>126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133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135</v>
      </c>
      <c r="BU9" s="2" t="s">
        <v>136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102</v>
      </c>
      <c r="O10" s="2"/>
      <c r="P10" s="2"/>
      <c r="Q10" s="2">
        <v>2</v>
      </c>
      <c r="R10" s="49" t="s">
        <v>147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125</v>
      </c>
      <c r="Y10" s="2" t="s">
        <v>73</v>
      </c>
      <c r="Z10" s="2"/>
      <c r="AA10" s="2">
        <v>1</v>
      </c>
      <c r="AB10" s="50" t="s">
        <v>158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130</v>
      </c>
      <c r="AI10" s="2" t="s">
        <v>106</v>
      </c>
      <c r="AJ10" s="2">
        <v>0</v>
      </c>
      <c r="AK10" s="2">
        <v>3</v>
      </c>
      <c r="AL10" s="50" t="s">
        <v>154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131</v>
      </c>
      <c r="AS10" s="2" t="s">
        <v>129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132</v>
      </c>
      <c r="AZ10" s="2" t="s">
        <v>126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133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135</v>
      </c>
      <c r="BU10" s="2" t="s">
        <v>136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102</v>
      </c>
      <c r="O11" s="2"/>
      <c r="P11" s="2"/>
      <c r="Q11" s="2">
        <v>2</v>
      </c>
      <c r="R11" s="49" t="s">
        <v>147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125</v>
      </c>
      <c r="Y11" s="2" t="s">
        <v>73</v>
      </c>
      <c r="Z11" s="2"/>
      <c r="AA11" s="2">
        <v>1</v>
      </c>
      <c r="AB11" s="50" t="s">
        <v>158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130</v>
      </c>
      <c r="AI11" s="2" t="s">
        <v>106</v>
      </c>
      <c r="AJ11" s="2">
        <v>0</v>
      </c>
      <c r="AK11" s="2">
        <v>3</v>
      </c>
      <c r="AL11" s="50" t="s">
        <v>154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131</v>
      </c>
      <c r="AS11" s="2" t="s">
        <v>129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132</v>
      </c>
      <c r="AZ11" s="48" t="s">
        <v>126</v>
      </c>
      <c r="BA11" s="2"/>
      <c r="BB11" s="2"/>
      <c r="BC11" s="2">
        <v>1500</v>
      </c>
      <c r="BD11" s="2">
        <v>0</v>
      </c>
      <c r="BE11" s="2">
        <v>0</v>
      </c>
      <c r="BF11" s="2" t="s">
        <v>133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135</v>
      </c>
      <c r="BU11" s="2" t="s">
        <v>136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102</v>
      </c>
      <c r="O12" s="2"/>
      <c r="P12" s="2"/>
      <c r="Q12" s="2">
        <v>2</v>
      </c>
      <c r="R12" s="49" t="s">
        <v>147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125</v>
      </c>
      <c r="Y12" s="2" t="s">
        <v>73</v>
      </c>
      <c r="Z12" s="2"/>
      <c r="AA12" s="2">
        <v>1</v>
      </c>
      <c r="AB12" s="50" t="s">
        <v>158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130</v>
      </c>
      <c r="AI12" s="2" t="s">
        <v>106</v>
      </c>
      <c r="AJ12" s="2">
        <v>0</v>
      </c>
      <c r="AK12" s="2">
        <v>3</v>
      </c>
      <c r="AL12" s="50" t="s">
        <v>154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131</v>
      </c>
      <c r="AS12" s="2" t="s">
        <v>129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132</v>
      </c>
      <c r="AZ12" s="48" t="s">
        <v>126</v>
      </c>
      <c r="BA12" s="2"/>
      <c r="BB12" s="2"/>
      <c r="BC12" s="2">
        <v>1250</v>
      </c>
      <c r="BD12" s="2">
        <v>0</v>
      </c>
      <c r="BE12" s="2">
        <v>0</v>
      </c>
      <c r="BF12" s="2" t="s">
        <v>133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135</v>
      </c>
      <c r="BU12" s="2" t="s">
        <v>136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102</v>
      </c>
      <c r="O13" s="2"/>
      <c r="P13" s="2"/>
      <c r="Q13" s="2">
        <v>2</v>
      </c>
      <c r="R13" s="49" t="s">
        <v>147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158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130</v>
      </c>
      <c r="AI13" s="2" t="s">
        <v>106</v>
      </c>
      <c r="AJ13" s="2">
        <v>0</v>
      </c>
      <c r="AK13" s="2">
        <v>3</v>
      </c>
      <c r="AL13" s="50" t="s">
        <v>154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131</v>
      </c>
      <c r="AS13" s="2" t="s">
        <v>129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133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135</v>
      </c>
      <c r="BU13" s="2" t="s">
        <v>136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102</v>
      </c>
      <c r="O14" s="2"/>
      <c r="P14" s="2"/>
      <c r="Q14" s="2">
        <v>2</v>
      </c>
      <c r="R14" s="49" t="s">
        <v>147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158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130</v>
      </c>
      <c r="AI14" s="2" t="s">
        <v>106</v>
      </c>
      <c r="AJ14" s="2">
        <v>0</v>
      </c>
      <c r="AK14" s="2">
        <v>3</v>
      </c>
      <c r="AL14" s="50" t="s">
        <v>154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133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135</v>
      </c>
      <c r="BU14" s="2" t="s">
        <v>136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102</v>
      </c>
      <c r="O15" s="2"/>
      <c r="P15" s="2"/>
      <c r="Q15" s="2">
        <v>2</v>
      </c>
      <c r="R15" s="49" t="s">
        <v>147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158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130</v>
      </c>
      <c r="AI15" s="2" t="s">
        <v>106</v>
      </c>
      <c r="AJ15" s="2">
        <v>0</v>
      </c>
      <c r="AK15" s="2">
        <v>3</v>
      </c>
      <c r="AL15" s="50" t="s">
        <v>154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133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135</v>
      </c>
      <c r="BU15" s="2" t="s">
        <v>136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102</v>
      </c>
      <c r="O16" s="2"/>
      <c r="P16" s="2"/>
      <c r="Q16" s="2">
        <v>2</v>
      </c>
      <c r="R16" s="49" t="s">
        <v>147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158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154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133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135</v>
      </c>
      <c r="BU16" s="2" t="s">
        <v>136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102</v>
      </c>
      <c r="O17" s="2"/>
      <c r="P17" s="2"/>
      <c r="Q17" s="2">
        <v>2</v>
      </c>
      <c r="R17" s="49" t="s">
        <v>147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158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154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133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135</v>
      </c>
      <c r="BU17" s="2" t="s">
        <v>136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102</v>
      </c>
      <c r="O18" s="2"/>
      <c r="P18" s="2"/>
      <c r="Q18" s="2">
        <v>2</v>
      </c>
      <c r="R18" s="49" t="s">
        <v>147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158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154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133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135</v>
      </c>
      <c r="BU18" s="2" t="s">
        <v>136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102</v>
      </c>
      <c r="O19" s="2"/>
      <c r="P19" s="2"/>
      <c r="Q19" s="2">
        <v>2</v>
      </c>
      <c r="R19" s="49" t="s">
        <v>147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158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154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133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135</v>
      </c>
      <c r="BU19" s="2" t="s">
        <v>136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102</v>
      </c>
      <c r="O20" s="2"/>
      <c r="P20" s="2"/>
      <c r="Q20" s="2">
        <v>2</v>
      </c>
      <c r="R20" s="49" t="s">
        <v>147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158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154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133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135</v>
      </c>
      <c r="BU20" s="2" t="s">
        <v>136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102</v>
      </c>
      <c r="O21" s="2"/>
      <c r="P21" s="2"/>
      <c r="Q21" s="2">
        <v>2</v>
      </c>
      <c r="R21" s="49" t="s">
        <v>147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158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154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133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135</v>
      </c>
      <c r="BU21" s="2" t="s">
        <v>136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102</v>
      </c>
      <c r="O22" s="2"/>
      <c r="P22" s="2"/>
      <c r="Q22" s="2">
        <v>2</v>
      </c>
      <c r="R22" s="49" t="s">
        <v>147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158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154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133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102</v>
      </c>
      <c r="O23" s="2"/>
      <c r="P23" s="2"/>
      <c r="Q23" s="2">
        <v>2</v>
      </c>
      <c r="R23" s="49" t="s">
        <v>147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158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154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133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102</v>
      </c>
      <c r="O24" s="2" t="s">
        <v>71</v>
      </c>
      <c r="P24" s="2"/>
      <c r="Q24" s="2">
        <v>2</v>
      </c>
      <c r="R24" s="49" t="s">
        <v>147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158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154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133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102</v>
      </c>
      <c r="O25" s="2" t="s">
        <v>71</v>
      </c>
      <c r="P25" s="2"/>
      <c r="Q25" s="2">
        <v>2</v>
      </c>
      <c r="R25" s="49" t="s">
        <v>147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158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154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133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102</v>
      </c>
      <c r="O26" s="2" t="s">
        <v>71</v>
      </c>
      <c r="P26" s="2"/>
      <c r="Q26" s="2">
        <v>2</v>
      </c>
      <c r="R26" s="49" t="s">
        <v>147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158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154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133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102</v>
      </c>
      <c r="O27" s="2" t="s">
        <v>71</v>
      </c>
      <c r="P27" s="2"/>
      <c r="Q27" s="2">
        <v>2</v>
      </c>
      <c r="R27" s="49" t="s">
        <v>147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158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154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133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102</v>
      </c>
      <c r="O28" s="2" t="s">
        <v>71</v>
      </c>
      <c r="P28" s="2"/>
      <c r="Q28" s="2">
        <v>2</v>
      </c>
      <c r="R28" s="49" t="s">
        <v>147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158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154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133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102</v>
      </c>
      <c r="O29" s="2" t="s">
        <v>71</v>
      </c>
      <c r="P29" s="2"/>
      <c r="Q29" s="2">
        <v>2</v>
      </c>
      <c r="R29" s="49" t="s">
        <v>147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158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154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133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102</v>
      </c>
      <c r="O30" s="2" t="s">
        <v>71</v>
      </c>
      <c r="P30" s="2"/>
      <c r="Q30" s="2">
        <v>2</v>
      </c>
      <c r="R30" s="49" t="s">
        <v>147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158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154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133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102</v>
      </c>
      <c r="O31" s="2" t="s">
        <v>71</v>
      </c>
      <c r="P31" s="2"/>
      <c r="Q31" s="2">
        <v>2</v>
      </c>
      <c r="R31" s="49" t="s">
        <v>147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158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154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133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102</v>
      </c>
      <c r="O32" s="2" t="s">
        <v>71</v>
      </c>
      <c r="P32" s="2"/>
      <c r="Q32" s="2">
        <v>2</v>
      </c>
      <c r="R32" s="49" t="s">
        <v>147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158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154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133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102</v>
      </c>
      <c r="O33" s="2" t="s">
        <v>71</v>
      </c>
      <c r="P33" s="2"/>
      <c r="Q33" s="2">
        <v>2</v>
      </c>
      <c r="R33" s="49" t="s">
        <v>147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158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154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133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102</v>
      </c>
      <c r="O34" s="2" t="s">
        <v>71</v>
      </c>
      <c r="P34" s="2"/>
      <c r="Q34" s="2">
        <v>2</v>
      </c>
      <c r="R34" s="49" t="s">
        <v>147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158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154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133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102</v>
      </c>
      <c r="O35" s="2" t="s">
        <v>71</v>
      </c>
      <c r="P35" s="2"/>
      <c r="Q35" s="2">
        <v>2</v>
      </c>
      <c r="R35" s="49" t="s">
        <v>147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158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154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133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102</v>
      </c>
      <c r="O36" s="2" t="s">
        <v>71</v>
      </c>
      <c r="P36" s="2"/>
      <c r="Q36" s="2">
        <v>2</v>
      </c>
      <c r="R36" s="49" t="s">
        <v>147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158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154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133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102</v>
      </c>
      <c r="O37" s="2" t="s">
        <v>71</v>
      </c>
      <c r="P37" s="2"/>
      <c r="Q37" s="2">
        <v>2</v>
      </c>
      <c r="R37" s="49" t="s">
        <v>147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158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154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133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124" t="s">
        <v>72</v>
      </c>
      <c r="G42" s="125"/>
      <c r="H42" s="126"/>
    </row>
    <row r="43" spans="6:76" ht="31.5" x14ac:dyDescent="0.25">
      <c r="F43" s="36" t="s">
        <v>20</v>
      </c>
      <c r="G43" s="37" t="s">
        <v>21</v>
      </c>
      <c r="H43" s="38" t="s">
        <v>22</v>
      </c>
    </row>
    <row r="44" spans="6:76" x14ac:dyDescent="0.25">
      <c r="F44" s="27">
        <v>125</v>
      </c>
      <c r="G44" s="28"/>
      <c r="H44" s="29"/>
    </row>
    <row r="45" spans="6:76" x14ac:dyDescent="0.25">
      <c r="F45" s="27">
        <v>100</v>
      </c>
      <c r="G45" s="28"/>
      <c r="H45" s="29"/>
    </row>
    <row r="46" spans="6:76" x14ac:dyDescent="0.25">
      <c r="F46" s="27">
        <v>63</v>
      </c>
      <c r="G46" s="28"/>
      <c r="H46" s="29"/>
    </row>
    <row r="47" spans="6:76" x14ac:dyDescent="0.25">
      <c r="F47" s="27">
        <v>40</v>
      </c>
      <c r="G47" s="28"/>
      <c r="H47" s="29"/>
    </row>
    <row r="48" spans="6:76" x14ac:dyDescent="0.25">
      <c r="F48" s="27">
        <v>32</v>
      </c>
      <c r="G48" s="28"/>
      <c r="H48" s="29"/>
    </row>
    <row r="49" spans="6:8" x14ac:dyDescent="0.25">
      <c r="F49" s="27">
        <v>25</v>
      </c>
      <c r="G49" s="28"/>
      <c r="H49" s="29"/>
    </row>
    <row r="50" spans="6:8" x14ac:dyDescent="0.25">
      <c r="F50" s="27">
        <v>20</v>
      </c>
      <c r="G50" s="28"/>
      <c r="H50" s="29"/>
    </row>
    <row r="61" spans="6:8" x14ac:dyDescent="0.25">
      <c r="G61" t="s">
        <v>47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7" type="noConversion"/>
  <conditionalFormatting sqref="K6:M37 U13:Z37 U6:W12 Y6:AA6 Y7:Z12 AA7:AA37 BJ6:BR37 BU6:BX37 AW6:BG6 AO13:BH37 AO6:AU12 AV8:AV12 AW7:BH12 AE6:AG37">
    <cfRule type="cellIs" dxfId="97" priority="25" operator="equal">
      <formula>0</formula>
    </cfRule>
  </conditionalFormatting>
  <conditionalFormatting sqref="K38:M38 U38:AG38 AO38:AP38">
    <cfRule type="cellIs" dxfId="96" priority="24" operator="equal">
      <formula>0</formula>
    </cfRule>
  </conditionalFormatting>
  <conditionalFormatting sqref="AQ38:AW38">
    <cfRule type="cellIs" dxfId="95" priority="23" operator="equal">
      <formula>0</formula>
    </cfRule>
  </conditionalFormatting>
  <conditionalFormatting sqref="AX38:BR38 BU38:BX38">
    <cfRule type="cellIs" dxfId="94" priority="22" operator="equal">
      <formula>0</formula>
    </cfRule>
  </conditionalFormatting>
  <conditionalFormatting sqref="N6:T37">
    <cfRule type="cellIs" dxfId="93" priority="21" operator="equal">
      <formula>0</formula>
    </cfRule>
  </conditionalFormatting>
  <conditionalFormatting sqref="N38:T38">
    <cfRule type="cellIs" dxfId="92" priority="20" operator="equal">
      <formula>0</formula>
    </cfRule>
  </conditionalFormatting>
  <conditionalFormatting sqref="AH6:AI15">
    <cfRule type="cellIs" dxfId="91" priority="19" operator="equal">
      <formula>0</formula>
    </cfRule>
  </conditionalFormatting>
  <conditionalFormatting sqref="AJ38:AN38">
    <cfRule type="cellIs" dxfId="90" priority="18" operator="equal">
      <formula>0</formula>
    </cfRule>
  </conditionalFormatting>
  <conditionalFormatting sqref="AH16:AH37">
    <cfRule type="cellIs" dxfId="89" priority="17" operator="equal">
      <formula>0</formula>
    </cfRule>
  </conditionalFormatting>
  <conditionalFormatting sqref="AH38">
    <cfRule type="cellIs" dxfId="88" priority="16" operator="equal">
      <formula>0</formula>
    </cfRule>
  </conditionalFormatting>
  <conditionalFormatting sqref="AI16:AI37">
    <cfRule type="cellIs" dxfId="87" priority="15" operator="equal">
      <formula>0</formula>
    </cfRule>
  </conditionalFormatting>
  <conditionalFormatting sqref="AI38">
    <cfRule type="cellIs" dxfId="86" priority="14" operator="equal">
      <formula>0</formula>
    </cfRule>
  </conditionalFormatting>
  <conditionalFormatting sqref="AJ6:AK6 AJ7 AK7:AK15">
    <cfRule type="cellIs" dxfId="85" priority="13" operator="equal">
      <formula>0</formula>
    </cfRule>
  </conditionalFormatting>
  <conditionalFormatting sqref="AJ8:AJ11">
    <cfRule type="cellIs" dxfId="84" priority="12" operator="equal">
      <formula>0</formula>
    </cfRule>
  </conditionalFormatting>
  <conditionalFormatting sqref="AJ12:AJ14">
    <cfRule type="cellIs" dxfId="83" priority="11" operator="equal">
      <formula>0</formula>
    </cfRule>
  </conditionalFormatting>
  <conditionalFormatting sqref="AJ16:AK36 AJ15">
    <cfRule type="cellIs" dxfId="82" priority="10" operator="equal">
      <formula>0</formula>
    </cfRule>
  </conditionalFormatting>
  <conditionalFormatting sqref="AJ37:AK37">
    <cfRule type="cellIs" dxfId="81" priority="9" operator="equal">
      <formula>0</formula>
    </cfRule>
  </conditionalFormatting>
  <conditionalFormatting sqref="BS6:BS37">
    <cfRule type="cellIs" dxfId="80" priority="8" operator="equal">
      <formula>0</formula>
    </cfRule>
  </conditionalFormatting>
  <conditionalFormatting sqref="BS38">
    <cfRule type="cellIs" dxfId="79" priority="7" operator="equal">
      <formula>0</formula>
    </cfRule>
  </conditionalFormatting>
  <conditionalFormatting sqref="BT6:BT37">
    <cfRule type="cellIs" dxfId="78" priority="6" operator="equal">
      <formula>0</formula>
    </cfRule>
  </conditionalFormatting>
  <conditionalFormatting sqref="BT38">
    <cfRule type="cellIs" dxfId="77" priority="5" operator="equal">
      <formula>0</formula>
    </cfRule>
  </conditionalFormatting>
  <conditionalFormatting sqref="X6:X12">
    <cfRule type="cellIs" dxfId="76" priority="4" operator="equal">
      <formula>0</formula>
    </cfRule>
  </conditionalFormatting>
  <conditionalFormatting sqref="AV6:AV7">
    <cfRule type="cellIs" dxfId="75" priority="3" operator="equal">
      <formula>0</formula>
    </cfRule>
  </conditionalFormatting>
  <conditionalFormatting sqref="AL6:AN37">
    <cfRule type="cellIs" dxfId="74" priority="2" operator="equal">
      <formula>0</formula>
    </cfRule>
  </conditionalFormatting>
  <conditionalFormatting sqref="AB6:AD37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19">
        <f t="shared" si="0"/>
        <v>17</v>
      </c>
    </row>
    <row r="3" spans="1:19" ht="90" x14ac:dyDescent="0.25">
      <c r="C3" s="96"/>
      <c r="D3" s="137" t="s">
        <v>350</v>
      </c>
      <c r="E3" s="137"/>
      <c r="F3" s="137"/>
      <c r="G3" s="137" t="s">
        <v>351</v>
      </c>
      <c r="H3" s="137"/>
      <c r="I3" s="137"/>
      <c r="J3" s="110" t="s">
        <v>354</v>
      </c>
      <c r="K3" s="110" t="s">
        <v>352</v>
      </c>
      <c r="L3" s="137" t="s">
        <v>353</v>
      </c>
      <c r="M3" s="137"/>
      <c r="N3" s="137"/>
      <c r="O3" s="138" t="s">
        <v>362</v>
      </c>
      <c r="P3" s="138"/>
      <c r="Q3" s="138"/>
      <c r="R3" s="120" t="s">
        <v>363</v>
      </c>
    </row>
    <row r="4" spans="1:19" x14ac:dyDescent="0.25">
      <c r="C4" s="96"/>
      <c r="D4" s="51" t="s">
        <v>167</v>
      </c>
      <c r="E4" s="52" t="s">
        <v>165</v>
      </c>
      <c r="F4" s="53" t="s">
        <v>166</v>
      </c>
      <c r="G4" s="51" t="s">
        <v>167</v>
      </c>
      <c r="H4" s="52" t="s">
        <v>165</v>
      </c>
      <c r="I4" s="53" t="s">
        <v>166</v>
      </c>
      <c r="J4" s="52" t="s">
        <v>165</v>
      </c>
      <c r="K4" s="52" t="s">
        <v>165</v>
      </c>
      <c r="L4" s="51" t="s">
        <v>167</v>
      </c>
      <c r="M4" s="52" t="s">
        <v>165</v>
      </c>
      <c r="N4" s="53" t="s">
        <v>166</v>
      </c>
      <c r="O4" s="113" t="s">
        <v>167</v>
      </c>
      <c r="P4" s="114" t="s">
        <v>165</v>
      </c>
      <c r="Q4" s="115" t="s">
        <v>166</v>
      </c>
      <c r="R4" s="120"/>
    </row>
    <row r="5" spans="1:19" ht="45" x14ac:dyDescent="0.25">
      <c r="C5" s="109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113"/>
      <c r="P5" s="114"/>
      <c r="Q5" s="115"/>
      <c r="R5" s="120"/>
    </row>
    <row r="6" spans="1:19" x14ac:dyDescent="0.25">
      <c r="C6" s="93" t="s">
        <v>145</v>
      </c>
      <c r="D6" s="54" t="s">
        <v>357</v>
      </c>
      <c r="E6" s="52"/>
      <c r="F6" s="53"/>
      <c r="G6" s="54" t="s">
        <v>358</v>
      </c>
      <c r="H6" s="52"/>
      <c r="I6" s="53"/>
      <c r="J6" s="52" t="s">
        <v>355</v>
      </c>
      <c r="K6" s="52" t="s">
        <v>356</v>
      </c>
      <c r="L6" s="54" t="s">
        <v>359</v>
      </c>
      <c r="M6" s="52"/>
      <c r="N6" s="53"/>
      <c r="O6" s="54" t="s">
        <v>364</v>
      </c>
      <c r="P6" s="52"/>
      <c r="Q6" s="53"/>
      <c r="R6" s="120">
        <v>1</v>
      </c>
      <c r="S6" t="s">
        <v>146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Y7"/>
  <sheetViews>
    <sheetView workbookViewId="0">
      <selection activeCell="X7" sqref="X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5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119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</row>
    <row r="5" spans="1:25" ht="150" x14ac:dyDescent="0.25">
      <c r="D5" s="112" t="s">
        <v>350</v>
      </c>
      <c r="E5" s="112" t="s">
        <v>351</v>
      </c>
      <c r="F5" s="112" t="s">
        <v>352</v>
      </c>
      <c r="G5" s="112" t="s">
        <v>362</v>
      </c>
      <c r="H5" s="112" t="s">
        <v>353</v>
      </c>
      <c r="I5" s="112" t="s">
        <v>367</v>
      </c>
      <c r="J5" s="112" t="s">
        <v>368</v>
      </c>
      <c r="K5" s="112" t="s">
        <v>369</v>
      </c>
      <c r="L5" s="112" t="s">
        <v>370</v>
      </c>
      <c r="M5" s="112" t="s">
        <v>371</v>
      </c>
      <c r="N5" s="112" t="s">
        <v>372</v>
      </c>
      <c r="O5" s="112" t="s">
        <v>373</v>
      </c>
      <c r="P5" s="112" t="s">
        <v>374</v>
      </c>
      <c r="Q5" s="118" t="s">
        <v>375</v>
      </c>
      <c r="R5" s="112" t="s">
        <v>376</v>
      </c>
      <c r="S5" s="112" t="s">
        <v>377</v>
      </c>
      <c r="T5" s="112" t="s">
        <v>378</v>
      </c>
      <c r="U5" s="112" t="s">
        <v>379</v>
      </c>
      <c r="V5" s="112" t="s">
        <v>362</v>
      </c>
      <c r="W5" s="112" t="s">
        <v>380</v>
      </c>
      <c r="X5" s="172" t="s">
        <v>399</v>
      </c>
    </row>
    <row r="6" spans="1:25" ht="60" x14ac:dyDescent="0.25">
      <c r="B6" s="116" t="s">
        <v>2</v>
      </c>
      <c r="C6" s="116"/>
      <c r="Q6" s="117"/>
      <c r="X6" s="173"/>
    </row>
    <row r="7" spans="1:25" x14ac:dyDescent="0.25">
      <c r="B7" t="s">
        <v>398</v>
      </c>
      <c r="C7" t="str">
        <f>IF(COUNTIF($B$7:B7,B7)=1,"&lt;zzzimport&gt;",1)</f>
        <v>&lt;zzzimport&gt;</v>
      </c>
      <c r="D7" s="1">
        <f>'&lt;zallcab&gt;EXPORT'!E6</f>
        <v>0</v>
      </c>
      <c r="E7" s="1">
        <f>'&lt;zallcab&gt;EXPORT'!H6</f>
        <v>0</v>
      </c>
      <c r="F7" s="1" t="str">
        <f>'&lt;zallcab&gt;EXPORT'!K6</f>
        <v>&lt;zcabdevfinish&gt;</v>
      </c>
      <c r="G7" s="1">
        <f>'&lt;zallcab&gt;EXPORT'!P6</f>
        <v>0</v>
      </c>
      <c r="H7" s="1">
        <f>'&lt;zallcab&gt;EXPORT'!M6</f>
        <v>0</v>
      </c>
      <c r="I7" s="1">
        <v>1</v>
      </c>
      <c r="J7" s="1" t="e">
        <f>INDEX(BDzallcab!$C$4:$C$9,MATCH(G7,BDzallcab!$B$4:$B$9))</f>
        <v>#N/A</v>
      </c>
      <c r="K7" s="1">
        <f>SUMIFS(I7:$I$700000,D7:$D$700000,D7,G7:$G$700000,G7)</f>
        <v>1</v>
      </c>
      <c r="L7" s="1">
        <f>MATCH(D7,$D$7:D7,0)</f>
        <v>1</v>
      </c>
      <c r="M7" s="1">
        <f>SUMIFS(I7:$I$700000,D7:$D$700000,D7)</f>
        <v>1</v>
      </c>
      <c r="N7" s="1" t="str">
        <f>INDEX($F$7:$F$700000,L7+M7-1)</f>
        <v>&lt;zcabdevfinish&gt;</v>
      </c>
      <c r="O7" s="1" t="str">
        <f>INDEX($N$7:$N$700000,MATCH(D7,$D$7:D7,0))</f>
        <v>&lt;zcabdevfinish&gt;</v>
      </c>
      <c r="P7" s="1">
        <f>SUMIFS($H$7:H7,$D$7:D7,D7,$G$7:G7,G7)</f>
        <v>0</v>
      </c>
      <c r="Q7" s="119">
        <f t="shared" ref="Q7" si="1">IF(K7=1,1,0)</f>
        <v>1</v>
      </c>
      <c r="R7" s="1">
        <f>IF(SUMIFS($Q$7:Q7,$D$7:D7,D7)=1,1,0)</f>
        <v>1</v>
      </c>
      <c r="S7" s="1">
        <f t="shared" ref="S7" si="2">IF(R7=1,D7," ")</f>
        <v>0</v>
      </c>
      <c r="T7" s="1">
        <f t="shared" ref="T7" si="3">IF(R7=1,E7," ")</f>
        <v>0</v>
      </c>
      <c r="U7" s="1" t="str">
        <f t="shared" ref="U7" si="4">IF(R7=1,O7," ")</f>
        <v>&lt;zcabdevfinish&gt;</v>
      </c>
      <c r="V7" s="1">
        <f>IF(Q7=1,G7," ")</f>
        <v>0</v>
      </c>
      <c r="W7" s="1">
        <f t="shared" ref="W7" si="5">IF(Q7=1,P7," ")</f>
        <v>0</v>
      </c>
      <c r="X7" s="174">
        <f>SUMIFS($H$7:$H$700000,$D$7:$D$700000,D7)</f>
        <v>0</v>
      </c>
      <c r="Y7" t="s">
        <v>194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4:S5"/>
  <sheetViews>
    <sheetView workbookViewId="0">
      <selection activeCell="G5" sqref="G5"/>
    </sheetView>
  </sheetViews>
  <sheetFormatPr defaultRowHeight="15" x14ac:dyDescent="0.25"/>
  <cols>
    <col min="7" max="7" width="20.28515625" customWidth="1"/>
  </cols>
  <sheetData>
    <row r="4" spans="2:19" x14ac:dyDescent="0.25">
      <c r="C4" s="1" t="s">
        <v>393</v>
      </c>
      <c r="D4" s="1" t="s">
        <v>168</v>
      </c>
      <c r="E4" s="1" t="s">
        <v>394</v>
      </c>
      <c r="F4" s="1" t="s">
        <v>362</v>
      </c>
      <c r="G4" s="1"/>
      <c r="H4" s="1" t="s">
        <v>353</v>
      </c>
    </row>
    <row r="5" spans="2:19" x14ac:dyDescent="0.25">
      <c r="B5" t="s">
        <v>397</v>
      </c>
      <c r="C5" s="1">
        <f>'&lt;zallcab&gt;CALC'!S7</f>
        <v>0</v>
      </c>
      <c r="D5" s="1">
        <f>'&lt;zallcab&gt;CALC'!T7</f>
        <v>0</v>
      </c>
      <c r="E5" s="1" t="str">
        <f>'&lt;zallcab&gt;CALC'!U7</f>
        <v>&lt;zcabdevfinish&gt;</v>
      </c>
      <c r="F5" s="1" t="e">
        <f>'&lt;zallcab&gt;CALC'!J7</f>
        <v>#N/A</v>
      </c>
      <c r="G5" s="1" t="s">
        <v>395</v>
      </c>
      <c r="H5" s="1">
        <f>'&lt;zallcab&gt;CALC'!W7</f>
        <v>0</v>
      </c>
      <c r="I5" t="s">
        <v>194</v>
      </c>
      <c r="K5" t="s">
        <v>214</v>
      </c>
      <c r="L5" s="1" t="s">
        <v>213</v>
      </c>
      <c r="M5" s="1">
        <v>60</v>
      </c>
      <c r="N5" s="1">
        <v>0</v>
      </c>
      <c r="O5" s="1">
        <v>1</v>
      </c>
      <c r="P5" s="1">
        <v>1</v>
      </c>
      <c r="S5" t="s">
        <v>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4"/>
  <sheetViews>
    <sheetView workbookViewId="0">
      <selection sqref="A1:B1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174</v>
      </c>
      <c r="B1" t="str">
        <f>"&lt;zsetvaluetocell toSheet=[zalldevEXPORT]  toCell=[F4] value=[&lt;zlight&gt;] calc=[after]"</f>
        <v>&lt;zsetvaluetocell toSheet=[zalldevEXPORT]  toCell=[F4] value=[&lt;zlight&gt;] calc=[after]</v>
      </c>
    </row>
    <row r="2" spans="1:2" x14ac:dyDescent="0.25">
      <c r="A2" t="s">
        <v>173</v>
      </c>
      <c r="B2" t="s">
        <v>333</v>
      </c>
    </row>
    <row r="3" spans="1:2" x14ac:dyDescent="0.25">
      <c r="A3" t="s">
        <v>173</v>
      </c>
      <c r="B3" t="s">
        <v>0</v>
      </c>
    </row>
    <row r="4" spans="1:2" x14ac:dyDescent="0.25">
      <c r="A4" t="s">
        <v>175</v>
      </c>
      <c r="B4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174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173</v>
      </c>
      <c r="B2" t="s">
        <v>0</v>
      </c>
    </row>
    <row r="3" spans="1:2" x14ac:dyDescent="0.25">
      <c r="A3" t="s">
        <v>175</v>
      </c>
      <c r="B3" t="s">
        <v>329</v>
      </c>
    </row>
    <row r="4" spans="1:2" x14ac:dyDescent="0.25">
      <c r="A4" t="s">
        <v>174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173</v>
      </c>
      <c r="B5" t="s">
        <v>0</v>
      </c>
    </row>
    <row r="6" spans="1:2" x14ac:dyDescent="0.25">
      <c r="A6" t="s">
        <v>175</v>
      </c>
      <c r="B6" t="s">
        <v>329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B1:M1"/>
  <sheetViews>
    <sheetView workbookViewId="0">
      <selection activeCell="B2" sqref="B2"/>
    </sheetView>
  </sheetViews>
  <sheetFormatPr defaultRowHeight="15" x14ac:dyDescent="0.25"/>
  <sheetData>
    <row r="1" spans="2:13" x14ac:dyDescent="0.25">
      <c r="B1" t="s">
        <v>345</v>
      </c>
      <c r="C1" t="s">
        <v>334</v>
      </c>
      <c r="D1">
        <f>'&lt;zalldev&gt;EXPORT'!D11</f>
        <v>0</v>
      </c>
      <c r="E1">
        <f>'&lt;zalldev&gt;EXPORT'!G11</f>
        <v>0</v>
      </c>
      <c r="F1">
        <f>'&lt;zalldev&gt;EXPORT'!M11</f>
        <v>0</v>
      </c>
      <c r="G1">
        <f>'&lt;zalldev&gt;EXPORT'!P11</f>
        <v>0</v>
      </c>
      <c r="H1">
        <v>1</v>
      </c>
      <c r="I1">
        <v>1</v>
      </c>
      <c r="J1">
        <v>1</v>
      </c>
      <c r="L1" t="s">
        <v>335</v>
      </c>
      <c r="M1" t="s">
        <v>194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FH24"/>
  <sheetViews>
    <sheetView tabSelected="1" topLeftCell="S1" workbookViewId="0">
      <selection activeCell="AH28" sqref="AH28"/>
    </sheetView>
  </sheetViews>
  <sheetFormatPr defaultRowHeight="15" x14ac:dyDescent="0.25"/>
  <cols>
    <col min="1" max="2" width="2.7109375" customWidth="1"/>
    <col min="3" max="3" width="4.85546875" customWidth="1"/>
    <col min="8" max="8" width="28.7109375" customWidth="1"/>
    <col min="9" max="9" width="29.42578125" customWidth="1"/>
    <col min="10" max="12" width="4.7109375" customWidth="1"/>
    <col min="13" max="13" width="8.7109375" customWidth="1"/>
    <col min="17" max="18" width="10.28515625" bestFit="1" customWidth="1"/>
    <col min="40" max="42" width="5.7109375" customWidth="1"/>
    <col min="62" max="65" width="6.7109375" customWidth="1"/>
    <col min="66" max="66" width="12.7109375" customWidth="1"/>
    <col min="67" max="67" width="11.7109375" customWidth="1"/>
    <col min="76" max="76" width="10.28515625" bestFit="1" customWidth="1"/>
  </cols>
  <sheetData>
    <row r="1" spans="4:40" x14ac:dyDescent="0.25">
      <c r="D1" s="1">
        <f>'&lt;zlight&gt;'!F18</f>
        <v>0</v>
      </c>
      <c r="E1" s="1">
        <f ca="1">U6</f>
        <v>0</v>
      </c>
      <c r="F1" s="1">
        <f>U8</f>
        <v>0.92</v>
      </c>
      <c r="G1" s="1">
        <f>H11</f>
        <v>380</v>
      </c>
      <c r="H1" s="1" t="str">
        <f>H12</f>
        <v>АВС</v>
      </c>
    </row>
    <row r="4" spans="4:40" x14ac:dyDescent="0.25">
      <c r="D4" s="171" t="s">
        <v>328</v>
      </c>
      <c r="E4" s="171"/>
      <c r="F4" s="171"/>
      <c r="G4" s="171"/>
      <c r="H4" s="171"/>
      <c r="I4" s="98" t="s">
        <v>327</v>
      </c>
      <c r="P4" s="98"/>
      <c r="Q4" s="171" t="s">
        <v>326</v>
      </c>
      <c r="R4" s="171"/>
      <c r="S4" s="171"/>
      <c r="T4" s="171"/>
      <c r="U4" s="171"/>
      <c r="V4" s="171"/>
    </row>
    <row r="5" spans="4:40" x14ac:dyDescent="0.25">
      <c r="D5" s="155" t="s">
        <v>325</v>
      </c>
      <c r="E5" s="155"/>
      <c r="F5" s="155"/>
      <c r="G5" s="155"/>
      <c r="H5" s="97">
        <f>'&lt;zlight&gt;'!F18</f>
        <v>0</v>
      </c>
      <c r="I5" s="96" t="s">
        <v>324</v>
      </c>
      <c r="P5" s="96" t="s">
        <v>323</v>
      </c>
      <c r="Q5" s="167" t="s">
        <v>322</v>
      </c>
      <c r="R5" s="167"/>
      <c r="S5" s="167"/>
      <c r="T5" s="167"/>
      <c r="U5" s="167">
        <f ca="1">SUM($AD$22:$AD$11997)</f>
        <v>0</v>
      </c>
      <c r="V5" s="167"/>
    </row>
    <row r="6" spans="4:40" x14ac:dyDescent="0.25">
      <c r="D6" s="155" t="s">
        <v>321</v>
      </c>
      <c r="E6" s="155"/>
      <c r="F6" s="155"/>
      <c r="G6" s="155"/>
      <c r="H6" s="93" t="s">
        <v>320</v>
      </c>
      <c r="I6" s="96" t="s">
        <v>319</v>
      </c>
      <c r="P6" s="96">
        <v>63</v>
      </c>
      <c r="Q6" s="167" t="s">
        <v>318</v>
      </c>
      <c r="R6" s="167"/>
      <c r="S6" s="167"/>
      <c r="T6" s="167"/>
      <c r="U6" s="167">
        <f ca="1">U5*U11</f>
        <v>0</v>
      </c>
      <c r="V6" s="167"/>
    </row>
    <row r="7" spans="4:40" x14ac:dyDescent="0.25">
      <c r="D7" s="155" t="s">
        <v>317</v>
      </c>
      <c r="E7" s="155"/>
      <c r="F7" s="155"/>
      <c r="G7" s="155"/>
      <c r="H7" s="93">
        <v>45399</v>
      </c>
      <c r="I7" s="96" t="s">
        <v>316</v>
      </c>
      <c r="P7" s="96">
        <v>32</v>
      </c>
      <c r="Q7" s="167" t="s">
        <v>315</v>
      </c>
      <c r="R7" s="167"/>
      <c r="S7" s="167"/>
      <c r="T7" s="167"/>
      <c r="U7" s="167">
        <f ca="1">ROUNDUP((U6*1000)/(VLOOKUP(H11,BD!$B$4:$C$5,2,FALSE)*U8),2)</f>
        <v>0</v>
      </c>
      <c r="V7" s="167"/>
      <c r="AN7">
        <f>780/2</f>
        <v>390</v>
      </c>
    </row>
    <row r="8" spans="4:40" x14ac:dyDescent="0.25">
      <c r="D8" s="155" t="s">
        <v>314</v>
      </c>
      <c r="E8" s="155"/>
      <c r="F8" s="155"/>
      <c r="G8" s="155"/>
      <c r="H8" s="93" t="s">
        <v>313</v>
      </c>
      <c r="I8" s="96" t="s">
        <v>312</v>
      </c>
      <c r="P8" s="96">
        <v>6</v>
      </c>
      <c r="Q8" s="168" t="s">
        <v>311</v>
      </c>
      <c r="R8" s="169"/>
      <c r="S8" s="169"/>
      <c r="T8" s="170"/>
      <c r="U8" s="163">
        <v>0.92</v>
      </c>
      <c r="V8" s="163"/>
      <c r="AN8">
        <f>290/2</f>
        <v>145</v>
      </c>
    </row>
    <row r="9" spans="4:40" x14ac:dyDescent="0.25">
      <c r="D9" s="155" t="s">
        <v>310</v>
      </c>
      <c r="E9" s="155"/>
      <c r="F9" s="155"/>
      <c r="G9" s="155"/>
      <c r="H9" s="93" t="s">
        <v>309</v>
      </c>
      <c r="I9" s="96" t="s">
        <v>308</v>
      </c>
      <c r="P9" s="96" t="s">
        <v>307</v>
      </c>
      <c r="Q9" s="162" t="s">
        <v>306</v>
      </c>
      <c r="R9" s="162"/>
      <c r="S9" s="162"/>
      <c r="T9" s="162"/>
      <c r="U9" s="163"/>
      <c r="V9" s="163"/>
      <c r="AN9">
        <v>80</v>
      </c>
    </row>
    <row r="10" spans="4:40" x14ac:dyDescent="0.25">
      <c r="D10" s="155" t="s">
        <v>305</v>
      </c>
      <c r="E10" s="155"/>
      <c r="F10" s="155"/>
      <c r="G10" s="155"/>
      <c r="I10" s="96" t="s">
        <v>304</v>
      </c>
      <c r="P10" s="96">
        <v>4</v>
      </c>
      <c r="Q10" s="162"/>
      <c r="R10" s="162"/>
      <c r="S10" s="162"/>
      <c r="T10" s="162"/>
      <c r="U10" s="163"/>
      <c r="V10" s="163"/>
    </row>
    <row r="11" spans="4:40" x14ac:dyDescent="0.25">
      <c r="D11" s="155" t="s">
        <v>303</v>
      </c>
      <c r="E11" s="155"/>
      <c r="F11" s="155"/>
      <c r="G11" s="155"/>
      <c r="H11" s="93">
        <v>380</v>
      </c>
      <c r="I11" s="96" t="s">
        <v>302</v>
      </c>
      <c r="P11" s="96" t="s">
        <v>301</v>
      </c>
      <c r="Q11" s="164" t="s">
        <v>300</v>
      </c>
      <c r="R11" s="165"/>
      <c r="S11" s="165"/>
      <c r="T11" s="166"/>
      <c r="U11" s="164">
        <v>0.65</v>
      </c>
      <c r="V11" s="166"/>
    </row>
    <row r="12" spans="4:40" x14ac:dyDescent="0.25">
      <c r="D12" s="155" t="s">
        <v>299</v>
      </c>
      <c r="E12" s="155"/>
      <c r="F12" s="155"/>
      <c r="G12" s="155"/>
      <c r="H12" s="93" t="s">
        <v>298</v>
      </c>
      <c r="I12" s="96" t="s">
        <v>219</v>
      </c>
      <c r="P12" s="96" t="s">
        <v>297</v>
      </c>
      <c r="Q12" s="156" t="s">
        <v>296</v>
      </c>
      <c r="R12" s="156"/>
      <c r="S12" s="156"/>
      <c r="T12" s="156"/>
      <c r="U12" s="156">
        <v>44.5</v>
      </c>
      <c r="V12" s="156"/>
    </row>
    <row r="13" spans="4:40" x14ac:dyDescent="0.25">
      <c r="D13" s="155" t="s">
        <v>295</v>
      </c>
      <c r="E13" s="155"/>
      <c r="F13" s="155"/>
      <c r="G13" s="155"/>
      <c r="H13" s="93" t="s">
        <v>294</v>
      </c>
      <c r="I13" s="94"/>
      <c r="P13" s="94"/>
      <c r="Q13" s="156" t="s">
        <v>293</v>
      </c>
      <c r="R13" s="156"/>
      <c r="S13" s="156"/>
      <c r="T13" s="156"/>
      <c r="U13" s="156">
        <v>44.5</v>
      </c>
      <c r="V13" s="156"/>
    </row>
    <row r="14" spans="4:40" x14ac:dyDescent="0.25">
      <c r="D14" s="155" t="s">
        <v>292</v>
      </c>
      <c r="E14" s="155"/>
      <c r="F14" s="155"/>
      <c r="G14" s="155"/>
      <c r="H14" s="95" t="str">
        <f>'&lt;zlight&gt;'!G18&amp;"."&amp;'&lt;zlight&gt;'!H18</f>
        <v>.</v>
      </c>
      <c r="I14" s="94"/>
      <c r="P14" s="94"/>
      <c r="Q14" s="156" t="s">
        <v>291</v>
      </c>
      <c r="R14" s="156"/>
      <c r="S14" s="156"/>
      <c r="T14" s="156"/>
      <c r="U14" s="156">
        <v>44.5</v>
      </c>
      <c r="V14" s="156"/>
    </row>
    <row r="15" spans="4:40" x14ac:dyDescent="0.25">
      <c r="D15" s="155" t="s">
        <v>290</v>
      </c>
      <c r="E15" s="155"/>
      <c r="F15" s="155"/>
      <c r="G15" s="155"/>
      <c r="H15" s="93">
        <v>77</v>
      </c>
      <c r="P15" s="94"/>
      <c r="Q15" s="157" t="s">
        <v>289</v>
      </c>
      <c r="R15" s="157"/>
      <c r="S15" s="157"/>
      <c r="T15" s="157"/>
      <c r="U15" s="157">
        <f ca="1">ROUNDUP((U6*1000)/(VLOOKUP(H11,BD!$B$4:$C$5,2,FALSE)*U8),2)</f>
        <v>0</v>
      </c>
      <c r="V15" s="157"/>
    </row>
    <row r="17" spans="1:164" x14ac:dyDescent="0.25">
      <c r="C17" t="s">
        <v>346</v>
      </c>
      <c r="D17">
        <f>'&lt;zlight&gt;TEMPGU'!D1</f>
        <v>0</v>
      </c>
      <c r="E17">
        <f>'&lt;zlight&gt;TEMPGU'!E1</f>
        <v>0</v>
      </c>
      <c r="F17">
        <f>'&lt;zlight&gt;TEMPGU'!H1</f>
        <v>1</v>
      </c>
      <c r="J17" t="s">
        <v>194</v>
      </c>
      <c r="AM17" t="s">
        <v>400</v>
      </c>
    </row>
    <row r="20" spans="1:164" x14ac:dyDescent="0.25">
      <c r="A20">
        <f>COLUMN(A20)</f>
        <v>1</v>
      </c>
      <c r="B20">
        <f t="shared" ref="B20:BN20" si="0">COLUMN(B20)</f>
        <v>2</v>
      </c>
      <c r="C20">
        <f t="shared" si="0"/>
        <v>3</v>
      </c>
      <c r="D20">
        <f t="shared" si="0"/>
        <v>4</v>
      </c>
      <c r="E20">
        <f t="shared" si="0"/>
        <v>5</v>
      </c>
      <c r="F20">
        <f t="shared" si="0"/>
        <v>6</v>
      </c>
      <c r="G20">
        <f t="shared" si="0"/>
        <v>7</v>
      </c>
      <c r="H20">
        <f t="shared" si="0"/>
        <v>8</v>
      </c>
      <c r="I20">
        <f t="shared" si="0"/>
        <v>9</v>
      </c>
      <c r="J20">
        <f t="shared" si="0"/>
        <v>10</v>
      </c>
      <c r="K20">
        <f t="shared" si="0"/>
        <v>11</v>
      </c>
      <c r="L20">
        <f t="shared" si="0"/>
        <v>12</v>
      </c>
      <c r="M20">
        <f t="shared" si="0"/>
        <v>13</v>
      </c>
      <c r="N20">
        <f t="shared" si="0"/>
        <v>14</v>
      </c>
      <c r="P20">
        <f t="shared" si="0"/>
        <v>16</v>
      </c>
      <c r="Q20">
        <f t="shared" si="0"/>
        <v>17</v>
      </c>
      <c r="R20">
        <f t="shared" si="0"/>
        <v>18</v>
      </c>
      <c r="S20">
        <f t="shared" si="0"/>
        <v>19</v>
      </c>
      <c r="T20">
        <f t="shared" si="0"/>
        <v>20</v>
      </c>
      <c r="U20">
        <f t="shared" si="0"/>
        <v>21</v>
      </c>
      <c r="V20">
        <f t="shared" si="0"/>
        <v>22</v>
      </c>
      <c r="W20">
        <f t="shared" si="0"/>
        <v>23</v>
      </c>
      <c r="X20">
        <f t="shared" si="0"/>
        <v>24</v>
      </c>
      <c r="Y20">
        <f t="shared" si="0"/>
        <v>25</v>
      </c>
      <c r="Z20">
        <f t="shared" si="0"/>
        <v>26</v>
      </c>
      <c r="AA20">
        <f t="shared" si="0"/>
        <v>27</v>
      </c>
      <c r="AB20">
        <f t="shared" si="0"/>
        <v>28</v>
      </c>
      <c r="AC20">
        <f t="shared" si="0"/>
        <v>29</v>
      </c>
      <c r="AD20">
        <f t="shared" si="0"/>
        <v>30</v>
      </c>
      <c r="AE20">
        <f t="shared" si="0"/>
        <v>31</v>
      </c>
      <c r="AF20">
        <f t="shared" si="0"/>
        <v>32</v>
      </c>
      <c r="AG20">
        <f t="shared" si="0"/>
        <v>33</v>
      </c>
      <c r="AH20">
        <f t="shared" si="0"/>
        <v>34</v>
      </c>
      <c r="AI20">
        <f t="shared" si="0"/>
        <v>35</v>
      </c>
      <c r="AJ20">
        <f t="shared" si="0"/>
        <v>36</v>
      </c>
      <c r="AK20">
        <f t="shared" si="0"/>
        <v>37</v>
      </c>
      <c r="AL20">
        <f t="shared" si="0"/>
        <v>38</v>
      </c>
      <c r="AM20">
        <f t="shared" si="0"/>
        <v>39</v>
      </c>
      <c r="AN20">
        <f t="shared" si="0"/>
        <v>40</v>
      </c>
      <c r="AO20">
        <f t="shared" si="0"/>
        <v>41</v>
      </c>
      <c r="AP20">
        <f t="shared" si="0"/>
        <v>42</v>
      </c>
      <c r="AQ20">
        <f t="shared" si="0"/>
        <v>43</v>
      </c>
      <c r="AR20">
        <f t="shared" si="0"/>
        <v>44</v>
      </c>
      <c r="AS20">
        <f t="shared" si="0"/>
        <v>45</v>
      </c>
      <c r="AT20">
        <f t="shared" si="0"/>
        <v>46</v>
      </c>
      <c r="AU20">
        <f t="shared" si="0"/>
        <v>47</v>
      </c>
      <c r="AV20">
        <f t="shared" si="0"/>
        <v>48</v>
      </c>
      <c r="AW20">
        <f t="shared" si="0"/>
        <v>49</v>
      </c>
      <c r="AX20">
        <f t="shared" si="0"/>
        <v>50</v>
      </c>
      <c r="AY20">
        <f t="shared" si="0"/>
        <v>51</v>
      </c>
      <c r="AZ20">
        <f t="shared" si="0"/>
        <v>52</v>
      </c>
      <c r="BA20">
        <f t="shared" si="0"/>
        <v>53</v>
      </c>
      <c r="BB20">
        <f t="shared" si="0"/>
        <v>54</v>
      </c>
      <c r="BC20">
        <f t="shared" si="0"/>
        <v>55</v>
      </c>
      <c r="BD20">
        <f t="shared" si="0"/>
        <v>56</v>
      </c>
      <c r="BE20">
        <f t="shared" si="0"/>
        <v>57</v>
      </c>
      <c r="BF20">
        <f t="shared" si="0"/>
        <v>58</v>
      </c>
      <c r="BG20">
        <f t="shared" si="0"/>
        <v>59</v>
      </c>
      <c r="BH20">
        <f t="shared" si="0"/>
        <v>60</v>
      </c>
      <c r="BI20">
        <f t="shared" si="0"/>
        <v>61</v>
      </c>
      <c r="BJ20">
        <f t="shared" si="0"/>
        <v>62</v>
      </c>
      <c r="BK20">
        <f t="shared" si="0"/>
        <v>63</v>
      </c>
      <c r="BL20">
        <f t="shared" si="0"/>
        <v>64</v>
      </c>
      <c r="BM20">
        <f t="shared" si="0"/>
        <v>65</v>
      </c>
      <c r="BN20">
        <f t="shared" si="0"/>
        <v>66</v>
      </c>
      <c r="BO20">
        <f t="shared" ref="BO20:DZ20" si="1">COLUMN(BO20)</f>
        <v>67</v>
      </c>
      <c r="BP20">
        <f t="shared" si="1"/>
        <v>68</v>
      </c>
      <c r="BQ20">
        <f t="shared" si="1"/>
        <v>69</v>
      </c>
      <c r="BR20">
        <f t="shared" si="1"/>
        <v>70</v>
      </c>
      <c r="BS20">
        <f t="shared" si="1"/>
        <v>71</v>
      </c>
      <c r="BT20">
        <f t="shared" si="1"/>
        <v>72</v>
      </c>
      <c r="BU20">
        <f t="shared" si="1"/>
        <v>73</v>
      </c>
      <c r="BV20">
        <f t="shared" si="1"/>
        <v>74</v>
      </c>
      <c r="BW20">
        <f t="shared" si="1"/>
        <v>75</v>
      </c>
      <c r="BX20">
        <f t="shared" si="1"/>
        <v>76</v>
      </c>
      <c r="BY20">
        <f t="shared" si="1"/>
        <v>77</v>
      </c>
      <c r="BZ20">
        <f t="shared" si="1"/>
        <v>78</v>
      </c>
      <c r="CA20">
        <f t="shared" si="1"/>
        <v>79</v>
      </c>
      <c r="CB20">
        <f t="shared" si="1"/>
        <v>80</v>
      </c>
      <c r="CC20">
        <f t="shared" si="1"/>
        <v>81</v>
      </c>
      <c r="CD20">
        <f t="shared" si="1"/>
        <v>82</v>
      </c>
      <c r="CE20">
        <f t="shared" si="1"/>
        <v>83</v>
      </c>
      <c r="CF20">
        <f t="shared" si="1"/>
        <v>84</v>
      </c>
      <c r="CG20">
        <f t="shared" si="1"/>
        <v>85</v>
      </c>
      <c r="CH20">
        <f t="shared" si="1"/>
        <v>86</v>
      </c>
      <c r="CI20">
        <f t="shared" si="1"/>
        <v>87</v>
      </c>
      <c r="CJ20">
        <f t="shared" si="1"/>
        <v>88</v>
      </c>
      <c r="CK20">
        <f t="shared" si="1"/>
        <v>89</v>
      </c>
      <c r="CL20">
        <f t="shared" si="1"/>
        <v>90</v>
      </c>
      <c r="CM20">
        <f t="shared" si="1"/>
        <v>91</v>
      </c>
      <c r="CN20">
        <f t="shared" si="1"/>
        <v>92</v>
      </c>
      <c r="CO20">
        <f t="shared" si="1"/>
        <v>93</v>
      </c>
      <c r="CP20">
        <f t="shared" si="1"/>
        <v>94</v>
      </c>
      <c r="CQ20">
        <f t="shared" si="1"/>
        <v>95</v>
      </c>
      <c r="CR20">
        <f t="shared" si="1"/>
        <v>96</v>
      </c>
      <c r="CS20">
        <f t="shared" si="1"/>
        <v>97</v>
      </c>
      <c r="CT20">
        <f t="shared" si="1"/>
        <v>98</v>
      </c>
      <c r="CU20">
        <f t="shared" si="1"/>
        <v>99</v>
      </c>
      <c r="CV20">
        <f t="shared" si="1"/>
        <v>100</v>
      </c>
      <c r="CW20">
        <f t="shared" si="1"/>
        <v>101</v>
      </c>
      <c r="CX20">
        <f t="shared" si="1"/>
        <v>102</v>
      </c>
      <c r="CY20">
        <f t="shared" si="1"/>
        <v>103</v>
      </c>
      <c r="CZ20">
        <f t="shared" si="1"/>
        <v>104</v>
      </c>
      <c r="DA20">
        <f t="shared" si="1"/>
        <v>105</v>
      </c>
      <c r="DB20">
        <f t="shared" si="1"/>
        <v>106</v>
      </c>
      <c r="DC20">
        <f t="shared" si="1"/>
        <v>107</v>
      </c>
      <c r="DD20">
        <f t="shared" si="1"/>
        <v>108</v>
      </c>
      <c r="DE20">
        <f t="shared" si="1"/>
        <v>109</v>
      </c>
      <c r="DF20">
        <f t="shared" si="1"/>
        <v>110</v>
      </c>
      <c r="DG20">
        <f t="shared" si="1"/>
        <v>111</v>
      </c>
      <c r="DH20">
        <f t="shared" si="1"/>
        <v>112</v>
      </c>
      <c r="DI20">
        <f t="shared" si="1"/>
        <v>113</v>
      </c>
      <c r="DJ20">
        <f t="shared" si="1"/>
        <v>114</v>
      </c>
      <c r="DK20">
        <f t="shared" si="1"/>
        <v>115</v>
      </c>
      <c r="DL20">
        <f t="shared" si="1"/>
        <v>116</v>
      </c>
      <c r="DM20">
        <f t="shared" si="1"/>
        <v>117</v>
      </c>
      <c r="DN20">
        <f t="shared" si="1"/>
        <v>118</v>
      </c>
      <c r="DO20">
        <f t="shared" si="1"/>
        <v>119</v>
      </c>
      <c r="DP20">
        <f t="shared" si="1"/>
        <v>120</v>
      </c>
      <c r="DQ20">
        <f t="shared" si="1"/>
        <v>121</v>
      </c>
      <c r="DR20">
        <f t="shared" si="1"/>
        <v>122</v>
      </c>
      <c r="DS20">
        <f t="shared" si="1"/>
        <v>123</v>
      </c>
      <c r="DT20">
        <f t="shared" si="1"/>
        <v>124</v>
      </c>
      <c r="DU20">
        <f t="shared" si="1"/>
        <v>125</v>
      </c>
      <c r="DV20">
        <f t="shared" si="1"/>
        <v>126</v>
      </c>
      <c r="DW20">
        <f t="shared" si="1"/>
        <v>127</v>
      </c>
      <c r="DX20">
        <f t="shared" si="1"/>
        <v>128</v>
      </c>
      <c r="DY20">
        <f t="shared" si="1"/>
        <v>129</v>
      </c>
      <c r="DZ20">
        <f t="shared" si="1"/>
        <v>130</v>
      </c>
      <c r="EA20">
        <f t="shared" ref="EA20:EK20" si="2">COLUMN(EA20)</f>
        <v>131</v>
      </c>
      <c r="EB20">
        <f t="shared" si="2"/>
        <v>132</v>
      </c>
      <c r="EC20">
        <f t="shared" si="2"/>
        <v>133</v>
      </c>
      <c r="ED20">
        <f t="shared" si="2"/>
        <v>134</v>
      </c>
      <c r="EE20">
        <f t="shared" si="2"/>
        <v>135</v>
      </c>
      <c r="EF20">
        <f t="shared" si="2"/>
        <v>136</v>
      </c>
      <c r="EG20">
        <f t="shared" si="2"/>
        <v>137</v>
      </c>
      <c r="EH20">
        <f t="shared" si="2"/>
        <v>138</v>
      </c>
      <c r="EI20">
        <f t="shared" si="2"/>
        <v>139</v>
      </c>
      <c r="EJ20">
        <f t="shared" si="2"/>
        <v>140</v>
      </c>
      <c r="EK20">
        <f t="shared" si="2"/>
        <v>141</v>
      </c>
      <c r="EL20">
        <f>COLUMN(EL20)</f>
        <v>142</v>
      </c>
      <c r="EM20">
        <f t="shared" ref="EM20:FH20" si="3">COLUMN(EM20)</f>
        <v>143</v>
      </c>
      <c r="EN20">
        <f t="shared" si="3"/>
        <v>144</v>
      </c>
      <c r="EO20">
        <f t="shared" si="3"/>
        <v>145</v>
      </c>
      <c r="EP20">
        <f t="shared" si="3"/>
        <v>146</v>
      </c>
      <c r="EQ20">
        <f t="shared" si="3"/>
        <v>147</v>
      </c>
      <c r="ER20">
        <f t="shared" si="3"/>
        <v>148</v>
      </c>
      <c r="ES20">
        <f t="shared" si="3"/>
        <v>149</v>
      </c>
      <c r="ET20">
        <f t="shared" si="3"/>
        <v>150</v>
      </c>
      <c r="EU20">
        <f t="shared" si="3"/>
        <v>151</v>
      </c>
      <c r="EV20">
        <f t="shared" si="3"/>
        <v>152</v>
      </c>
      <c r="EW20">
        <f t="shared" si="3"/>
        <v>153</v>
      </c>
      <c r="EX20">
        <f t="shared" si="3"/>
        <v>154</v>
      </c>
      <c r="EY20">
        <f t="shared" si="3"/>
        <v>155</v>
      </c>
      <c r="EZ20">
        <f t="shared" si="3"/>
        <v>156</v>
      </c>
      <c r="FA20">
        <f t="shared" si="3"/>
        <v>157</v>
      </c>
      <c r="FB20">
        <f t="shared" si="3"/>
        <v>158</v>
      </c>
      <c r="FC20">
        <f t="shared" si="3"/>
        <v>159</v>
      </c>
      <c r="FD20">
        <f t="shared" si="3"/>
        <v>160</v>
      </c>
      <c r="FE20">
        <f t="shared" si="3"/>
        <v>161</v>
      </c>
      <c r="FF20">
        <f t="shared" si="3"/>
        <v>162</v>
      </c>
      <c r="FG20">
        <f t="shared" si="3"/>
        <v>163</v>
      </c>
      <c r="FH20">
        <f t="shared" si="3"/>
        <v>164</v>
      </c>
    </row>
    <row r="21" spans="1:164" ht="15.75" thickBot="1" x14ac:dyDescent="0.3">
      <c r="AM21" t="s">
        <v>361</v>
      </c>
    </row>
    <row r="22" spans="1:164" ht="15.75" thickBot="1" x14ac:dyDescent="0.3">
      <c r="D22" s="158" t="s">
        <v>288</v>
      </c>
      <c r="E22" s="160" t="s">
        <v>234</v>
      </c>
      <c r="F22" s="153" t="s">
        <v>233</v>
      </c>
      <c r="G22" s="160" t="s">
        <v>287</v>
      </c>
      <c r="H22" s="153" t="s">
        <v>286</v>
      </c>
      <c r="I22" s="153" t="s">
        <v>285</v>
      </c>
      <c r="J22" s="145" t="s">
        <v>284</v>
      </c>
      <c r="K22" s="145"/>
      <c r="L22" s="145"/>
      <c r="M22" s="146" t="s">
        <v>283</v>
      </c>
      <c r="P22" s="148" t="s">
        <v>282</v>
      </c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50" t="s">
        <v>281</v>
      </c>
      <c r="AC22" s="151"/>
      <c r="AD22" s="151"/>
      <c r="AE22" s="151"/>
      <c r="AF22" s="151"/>
      <c r="AG22" s="151"/>
      <c r="AH22" s="151"/>
      <c r="AI22" s="151"/>
      <c r="AJ22" s="152"/>
      <c r="AK22" s="150" t="s">
        <v>280</v>
      </c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2"/>
      <c r="AY22" s="150" t="s">
        <v>279</v>
      </c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2"/>
      <c r="BP22" s="139" t="s">
        <v>278</v>
      </c>
      <c r="BQ22" s="140"/>
      <c r="BR22" s="140"/>
      <c r="BS22" s="140"/>
      <c r="BT22" s="140"/>
      <c r="BU22" s="140"/>
      <c r="BV22" s="141"/>
      <c r="BW22" s="142" t="s">
        <v>277</v>
      </c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76"/>
      <c r="CJ22" s="76"/>
      <c r="CK22" s="76"/>
      <c r="CL22" s="76"/>
      <c r="CM22" s="76"/>
      <c r="CN22" t="s">
        <v>214</v>
      </c>
      <c r="CO22" s="1" t="s">
        <v>276</v>
      </c>
      <c r="CP22" s="1">
        <v>60</v>
      </c>
      <c r="CQ22" s="1">
        <v>0</v>
      </c>
      <c r="CR22" s="1">
        <v>1</v>
      </c>
      <c r="CS22" s="1">
        <v>1</v>
      </c>
      <c r="CT22" t="s">
        <v>275</v>
      </c>
      <c r="CU22">
        <f>H5</f>
        <v>0</v>
      </c>
      <c r="CV22" t="s">
        <v>274</v>
      </c>
      <c r="CW22" t="str">
        <f>H6</f>
        <v>ЩРН-12</v>
      </c>
      <c r="CX22" t="s">
        <v>273</v>
      </c>
      <c r="CY22" t="str">
        <f ca="1">"Установленная полная мощность, Ру = "&amp;U5&amp;"кВт"</f>
        <v>Установленная полная мощность, Ру = 0кВт</v>
      </c>
      <c r="CZ22" t="s">
        <v>272</v>
      </c>
      <c r="DA22" t="str">
        <f>"Коэффициент спроса, Кс = "&amp;U11</f>
        <v>Коэффициент спроса, Кс = 0,65</v>
      </c>
      <c r="DB22" t="s">
        <v>271</v>
      </c>
      <c r="DC22" t="str">
        <f ca="1">"Расчетная мощность, Рр = "&amp;U6</f>
        <v>Расчетная мощность, Рр = 0</v>
      </c>
      <c r="DD22" t="s">
        <v>270</v>
      </c>
      <c r="DE22" t="str">
        <f>"Коэффициент мощности, cosf = "&amp;U8</f>
        <v>Коэффициент мощности, cosf = 0,92</v>
      </c>
      <c r="DF22" t="s">
        <v>269</v>
      </c>
      <c r="DG22" t="str">
        <f ca="1">"Расчетный ток, Iр = "&amp;U15&amp;"А"</f>
        <v>Расчетный ток, Iр = 0А</v>
      </c>
      <c r="EB22" t="s">
        <v>196</v>
      </c>
    </row>
    <row r="23" spans="1:164" ht="45.75" thickBot="1" x14ac:dyDescent="0.3">
      <c r="D23" s="159"/>
      <c r="E23" s="161"/>
      <c r="F23" s="154"/>
      <c r="G23" s="161"/>
      <c r="H23" s="154"/>
      <c r="I23" s="154"/>
      <c r="J23" s="92" t="s">
        <v>268</v>
      </c>
      <c r="K23" s="92" t="s">
        <v>267</v>
      </c>
      <c r="L23" s="92" t="s">
        <v>266</v>
      </c>
      <c r="M23" s="147"/>
      <c r="P23" s="91" t="s">
        <v>348</v>
      </c>
      <c r="Q23" s="91" t="s">
        <v>265</v>
      </c>
      <c r="R23" s="91" t="s">
        <v>3</v>
      </c>
      <c r="S23" s="90" t="s">
        <v>264</v>
      </c>
      <c r="T23" s="88" t="s">
        <v>263</v>
      </c>
      <c r="U23" s="90" t="s">
        <v>262</v>
      </c>
      <c r="V23" s="89" t="s">
        <v>261</v>
      </c>
      <c r="W23" s="89" t="s">
        <v>260</v>
      </c>
      <c r="X23" s="88" t="s">
        <v>259</v>
      </c>
      <c r="Y23" s="87" t="s">
        <v>258</v>
      </c>
      <c r="Z23" s="86" t="s">
        <v>257</v>
      </c>
      <c r="AA23" s="85" t="s">
        <v>256</v>
      </c>
      <c r="AB23" s="80" t="s">
        <v>255</v>
      </c>
      <c r="AC23" s="84" t="s">
        <v>254</v>
      </c>
      <c r="AD23" s="80" t="s">
        <v>253</v>
      </c>
      <c r="AE23" s="80" t="s">
        <v>252</v>
      </c>
      <c r="AF23" s="80" t="s">
        <v>251</v>
      </c>
      <c r="AG23" s="80" t="s">
        <v>250</v>
      </c>
      <c r="AH23" s="80" t="s">
        <v>249</v>
      </c>
      <c r="AI23" s="79" t="s">
        <v>229</v>
      </c>
      <c r="AJ23" s="78" t="s">
        <v>248</v>
      </c>
      <c r="AK23" s="80" t="s">
        <v>247</v>
      </c>
      <c r="AL23" s="80" t="s">
        <v>246</v>
      </c>
      <c r="AM23" s="80" t="s">
        <v>245</v>
      </c>
      <c r="AN23" s="80" t="s">
        <v>244</v>
      </c>
      <c r="AO23" s="80" t="s">
        <v>243</v>
      </c>
      <c r="AP23" s="80" t="s">
        <v>242</v>
      </c>
      <c r="AQ23" s="80" t="s">
        <v>241</v>
      </c>
      <c r="AR23" s="80" t="s">
        <v>35</v>
      </c>
      <c r="AS23" s="80" t="s">
        <v>240</v>
      </c>
      <c r="AT23" s="80" t="s">
        <v>239</v>
      </c>
      <c r="AU23" s="80" t="s">
        <v>238</v>
      </c>
      <c r="AV23" s="80" t="s">
        <v>237</v>
      </c>
      <c r="AW23" s="80" t="s">
        <v>236</v>
      </c>
      <c r="AX23" s="80" t="s">
        <v>235</v>
      </c>
      <c r="AY23" s="83" t="s">
        <v>234</v>
      </c>
      <c r="AZ23" s="83" t="s">
        <v>233</v>
      </c>
      <c r="BA23" s="82" t="s">
        <v>232</v>
      </c>
      <c r="BB23" s="80" t="s">
        <v>231</v>
      </c>
      <c r="BC23" s="82" t="s">
        <v>230</v>
      </c>
      <c r="BD23" s="81" t="s">
        <v>229</v>
      </c>
      <c r="BE23" s="79" t="s">
        <v>228</v>
      </c>
      <c r="BF23" s="79" t="s">
        <v>227</v>
      </c>
      <c r="BG23" s="79" t="s">
        <v>226</v>
      </c>
      <c r="BH23" s="79" t="s">
        <v>225</v>
      </c>
      <c r="BI23" s="80" t="s">
        <v>224</v>
      </c>
      <c r="BJ23" s="79" t="s">
        <v>222</v>
      </c>
      <c r="BK23" s="79" t="s">
        <v>221</v>
      </c>
      <c r="BL23" s="79" t="s">
        <v>220</v>
      </c>
      <c r="BM23" s="80" t="s">
        <v>219</v>
      </c>
      <c r="BN23" s="79" t="s">
        <v>218</v>
      </c>
      <c r="BO23" s="78" t="s">
        <v>217</v>
      </c>
      <c r="BP23" s="77" t="s">
        <v>223</v>
      </c>
      <c r="BQ23" s="77" t="s">
        <v>222</v>
      </c>
      <c r="BR23" s="77" t="s">
        <v>221</v>
      </c>
      <c r="BS23" s="77" t="s">
        <v>220</v>
      </c>
      <c r="BT23" s="77" t="s">
        <v>219</v>
      </c>
      <c r="BU23" s="77" t="s">
        <v>218</v>
      </c>
      <c r="BV23" s="77" t="s">
        <v>217</v>
      </c>
      <c r="BW23" s="142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76"/>
      <c r="CJ23" s="76"/>
      <c r="CK23" s="76"/>
      <c r="CL23" s="76"/>
      <c r="CM23" s="76"/>
      <c r="CP23" s="1">
        <v>35</v>
      </c>
      <c r="EC23" s="144" t="s">
        <v>216</v>
      </c>
      <c r="ED23" s="144"/>
      <c r="EE23" s="144"/>
      <c r="EF23" s="144"/>
      <c r="EG23" s="144"/>
      <c r="EH23" s="144"/>
      <c r="EI23" s="144"/>
      <c r="EJ23" s="144"/>
      <c r="EK23" s="144"/>
      <c r="EL23" s="144" t="s">
        <v>215</v>
      </c>
      <c r="EM23" s="144"/>
      <c r="EN23" s="144"/>
      <c r="EO23" s="144"/>
      <c r="EP23" s="144"/>
      <c r="EQ23" s="144"/>
      <c r="ER23" s="144"/>
      <c r="ES23" s="144"/>
      <c r="ET23" s="144"/>
    </row>
    <row r="24" spans="1:164" x14ac:dyDescent="0.25">
      <c r="C24" t="s">
        <v>344</v>
      </c>
      <c r="D24" s="75">
        <f>'&lt;zalldev&gt;EXPORT'!M11</f>
        <v>0</v>
      </c>
      <c r="E24" s="70" t="str">
        <f>IF(D24="","","АВ")</f>
        <v>АВ</v>
      </c>
      <c r="F24" s="70">
        <f>IF(D24="","",1)</f>
        <v>1</v>
      </c>
      <c r="G24" s="70" t="str">
        <f>IF(D24="","","АВ")</f>
        <v>АВ</v>
      </c>
      <c r="H24" s="75" t="e">
        <f ca="1">IF(E24="","",IF(F24="",BM24&amp;", "&amp;BN24&amp;", "&amp;BO24,IF(MATCH(F24,$F$24:F24,0)=MATCH(F24,$F$24:F24,1),BM24&amp;", "&amp;BN24&amp;", "&amp;BO24,"")))</f>
        <v>#N/A</v>
      </c>
      <c r="I24" s="75" t="e">
        <f ca="1">IF(G24="","",BT24&amp;", "&amp;BU24&amp;", "&amp;BV24)</f>
        <v>#N/A</v>
      </c>
      <c r="J24" s="103" t="str">
        <f>IF(CA24=0,"*","")</f>
        <v>*</v>
      </c>
      <c r="K24" s="103">
        <f>IF(CA24=0,0,IF(L24=0,IF(MATCH(CA24,$P$24:P24,0)=0,0,"*"),0))</f>
        <v>0</v>
      </c>
      <c r="L24" s="103">
        <f>IF(CA24=0,0,IF(INDEX($CA$24:CA24,MATCH(CA24,$P$24:P24,0))=0,0,"*"))</f>
        <v>0</v>
      </c>
      <c r="M24" s="74"/>
      <c r="N24" t="str">
        <f>"&lt;zsetformulatocell toSheet=[zalldevEXPORT]  toCell=["&amp;ADDRESS(ROW('&lt;zalldev&gt;EXPORT'!W11),COLUMN('&lt;zalldev&gt;EXPORT'!W11))&amp;"] formula=[fromSheet!"&amp;ADDRESS(ROW(W24),COLUMN(W24))&amp;"]"</f>
        <v>&lt;zsetformulatocell toSheet=[zalldevEXPORT]  toCell=[$W$11] formula=[fromSheet!$W$24]</v>
      </c>
      <c r="P24" s="53">
        <f>'&lt;zalldev&gt;EXPORT'!D11</f>
        <v>0</v>
      </c>
      <c r="Q24" s="73" t="e">
        <f ca="1">IF(IFERROR(BX24,1)=1,INDEX(BD!$B$4:$B$5,MATCH('&lt;zalldev&gt;EXPORT'!AB11,BD!$A$4:$A$5,0)),INDIRECT("'"&amp;P24&amp;"'!"&amp;"G1"))</f>
        <v>#N/A</v>
      </c>
      <c r="R24" s="73" t="e">
        <f ca="1">IF(IFERROR(BX24,1)=1,INDEX(BD!$B$10:$B$13,MATCH('&lt;zalldev&gt;EXPORT'!AE11,BD!$A$10:$A$13,0)),INDIRECT("'"&amp;P24&amp;"'!"&amp;"H1"))</f>
        <v>#N/A</v>
      </c>
      <c r="S24" s="73">
        <f ca="1">IF(IFERROR(BX24,1)=1,X24*W24,INDIRECT("'"&amp;P24&amp;"'!"&amp;"E1"))</f>
        <v>0</v>
      </c>
      <c r="T24" s="73">
        <f ca="1">IF(IFERROR(BX24,1)=1,'&lt;zalldev&gt;EXPORT'!Y11,INDIRECT("'"&amp;P24&amp;"'!"&amp;"F1"))</f>
        <v>0</v>
      </c>
      <c r="U24" s="52" t="e">
        <f ca="1">ROUNDUP((S24*1000)/(INDEX(BD!$C$4:$C$5,MATCH(Q24,BD!$B$4:$B$5,0))*T24),2)</f>
        <v>#N/A</v>
      </c>
      <c r="V24" s="53">
        <f ca="1">ROUNDUP(S24*ROUNDUP(TAN(ACOS(T24)),2),2)</f>
        <v>0</v>
      </c>
      <c r="W24" s="53">
        <f>'&lt;zalldev&gt;EXPORT'!V11</f>
        <v>0</v>
      </c>
      <c r="X24" s="53">
        <f>'&lt;zalldev&gt;EXPORT'!AI11</f>
        <v>1</v>
      </c>
      <c r="Y24" s="53">
        <v>1</v>
      </c>
      <c r="Z24" t="s">
        <v>330</v>
      </c>
      <c r="AA24" s="53">
        <f>'&lt;zalldev&gt;EXPORT'!P11</f>
        <v>0</v>
      </c>
      <c r="AB24" s="67">
        <v>1</v>
      </c>
      <c r="AC24" s="67" t="e">
        <f ca="1">IF(D24="","",ROUNDUP(COS(ATAN(ROUNDUP(AG24/AD24,2))),2))</f>
        <v>#DIV/0!</v>
      </c>
      <c r="AD24" s="67">
        <f ca="1">IF(D24="","",AB24*SUMIFS($S$24:$S$12000,$BW$24:$BW$12000,BW24))</f>
        <v>0</v>
      </c>
      <c r="AE24" s="67" t="e">
        <f ca="1">IF(D24="","",ROUNDUP((1/1000)*(100/Q24)*IF(Q24&lt;380,2,SQRT(3))*AF24*AM24*(INDEX(INDIRECT("BDКаб!"&amp;INDEX(BDКаб!$C$4:$AH$4,1,MATCH(AN24&amp;AO24&amp;AP24&amp;"R",BDКаб!$C$3:$AH$3,0))),MATCH(AR24,BDКаб!$B$5:$B$12,0))*AC24 + INDEX(INDIRECT("BDКаб!"&amp;INDEX(BDКаб!$C$4:$AH$4,1,MATCH(AN24&amp;AO24&amp;AP24&amp;"X",BDКаб!$C$3:$AH$3,0))),MATCH(AR24,BDКаб!$B$5:$B$12,0))*SQRT(1-AC24*AC24)),2))</f>
        <v>#N/A</v>
      </c>
      <c r="AF24" s="67" t="e">
        <f ca="1">IF(D24="","",ROUNDUP((AD24*1000)/(INDEX(BD!$C$4:$C$5,MATCH(Q24,BD!$B$4:$B$5,0))*AC24),2))</f>
        <v>#N/A</v>
      </c>
      <c r="AG24" s="67">
        <f ca="1">IF(D24="","",AB24*SUMIFS($V$24:$V$12000,$BW$24:$BW$12000,BW24))</f>
        <v>0</v>
      </c>
      <c r="AH24" s="67">
        <f ca="1">IF(D24="","",ROUNDUP(SQRT(AD24*AD24+AG24*AG24),2))</f>
        <v>0</v>
      </c>
      <c r="AI24" s="66">
        <f>IF(D24="","",1.3)</f>
        <v>1.3</v>
      </c>
      <c r="AJ24" s="66">
        <f>IF(AK24="","",3)</f>
        <v>3</v>
      </c>
      <c r="AK24" s="67" t="str">
        <f>IF(D24="",IF(CA24=0,"",IF(CA24=P24,"",CA24&amp;"."&amp;CB24)),'&lt;zalldev&gt;EXPORT'!J11&amp;"."&amp;'&lt;zalldev&gt;EXPORT'!M11)</f>
        <v>.</v>
      </c>
      <c r="AL24" s="67" t="e">
        <f ca="1">IF(AK24="","",AS24&amp;"-"&amp;AQ24&amp;"х"&amp;AR24&amp;"мм²")</f>
        <v>#N/A</v>
      </c>
      <c r="AM24" s="1" t="e">
        <f>IF(AK24="","",INDEX('&lt;zallcab&gt;CALC'!$X$7:$X$700000,MATCH(AK24,'&lt;zallcab&gt;CALC'!$D$7:$D$700000,0)))</f>
        <v>#N/A</v>
      </c>
      <c r="AN24" s="66" t="str">
        <f>IF(AK24="","","М")</f>
        <v>М</v>
      </c>
      <c r="AO24" s="66" t="str">
        <f>IF(AK24="","","М")</f>
        <v>М</v>
      </c>
      <c r="AP24" s="66" t="str">
        <f>IF(AK24="","","В")</f>
        <v>В</v>
      </c>
      <c r="AQ24" s="72" t="e">
        <f ca="1">IF(AK24="","",IF(Q24=380,5,3))</f>
        <v>#N/A</v>
      </c>
      <c r="AR24" s="72" t="e">
        <f ca="1">IF(AK24="","",IF(AU24&gt;IF(AW24&gt;AX24,AW24,AX24),AU24,IF(AW24&gt;AX24,AW24,AX24)))</f>
        <v>#N/A</v>
      </c>
      <c r="AS24" s="72" t="str">
        <f>IF(AK24="","","ВВГнг(А)-LS")</f>
        <v>ВВГнг(А)-LS</v>
      </c>
      <c r="AT24" s="72" t="e">
        <f ca="1">IF(AK24="","",(AJ24*380*1000)/(SQRT(3)*IF(AK24="","",IF(D24="",U24,AF24))*AM24*100))</f>
        <v>#N/A</v>
      </c>
      <c r="AU24" s="66"/>
      <c r="AV24" s="66"/>
      <c r="AW24" t="e">
        <f ca="1">IF(AK24="","",INDEX(BDКаб!$B$5:$B$12,MATCH(AT24,INDIRECT("BDКаб!"&amp;INDEX(BDКаб!$B$4:$AH$4,MATCH(AN24&amp;AO24&amp;AP24&amp;"Z",BDКаб!$B$3:$AH$3,0))),-1)+1))</f>
        <v>#N/A</v>
      </c>
      <c r="AX24" t="e">
        <f ca="1">IF(AK24="","",INDEX(BDКаб!$B$5:$B$12,MATCH(IF(AK24="","",IF(E24="",U24,AF24)),INDIRECT("BDКаб!"&amp;INDEX(BDКаб!$B$4:$AH$4,MATCH(AN24&amp;AO24&amp;AP24&amp;"I",BDКаб!$B$3:$AH$3,0))),1)+1))</f>
        <v>#N/A</v>
      </c>
      <c r="AY24" s="71" t="str">
        <f>IF(E24="","",E24)</f>
        <v>АВ</v>
      </c>
      <c r="AZ24" s="71">
        <f>IF(F24="","",F24)</f>
        <v>1</v>
      </c>
      <c r="BA24" s="71" t="e">
        <f ca="1">IF(AF24="","",AF24)</f>
        <v>#N/A</v>
      </c>
      <c r="BB24" s="68" t="e">
        <f ca="1">IF(AY24="","",IF(AZ24="",BA24,SUMIFS($BA$24:$BA$500000,$AZ$24:$AZ$500000,AZ24)))</f>
        <v>#N/A</v>
      </c>
      <c r="BC24" s="71" t="e">
        <f ca="1">IF(AY24="","",IF(Q24&lt;380,1,3))</f>
        <v>#N/A</v>
      </c>
      <c r="BD24" s="69">
        <f>IF(AY24="","",1.3)</f>
        <v>1.3</v>
      </c>
      <c r="BE24" s="68" t="e">
        <f ca="1">IF(AY24="","",IF(BD24="",BB24*1.3,BD24*BB24))</f>
        <v>#N/A</v>
      </c>
      <c r="BF24" s="68" t="e">
        <f ca="1">IF(AY24="","",INDEX(INDIRECT("BD!"&amp;INDEX(BD!$K$5:$BX$5,1,MATCH(AY24&amp;"I",BD!$K$4:$BY$4,0))),MATCH(BE24,INDIRECT("BD!"&amp;INDEX(BD!$K$5:$BX$5,1,MATCH(AY24&amp;"I",BD!$K$4:$BY$4,0))),-1)))</f>
        <v>#N/A</v>
      </c>
      <c r="BG24" s="70">
        <f>IF(AY24="","",10)</f>
        <v>10</v>
      </c>
      <c r="BH24" t="s">
        <v>330</v>
      </c>
      <c r="BI24" s="68" t="str">
        <f>IF(AY24="","",IF(BH24="",IF(BF24&gt;=BG24,BF24,BG24),BH24))</f>
        <v>пусто</v>
      </c>
      <c r="BJ24" s="66" t="str">
        <f>IF(E24="","","C")</f>
        <v>C</v>
      </c>
      <c r="BK24" s="65" t="e">
        <f ca="1">IF(E24="","",IF(Q24=380,3,1))</f>
        <v>#N/A</v>
      </c>
      <c r="BL24" s="65" t="str">
        <f>IF(E24="","","30")</f>
        <v>30</v>
      </c>
      <c r="BM24" s="65" t="e">
        <f ca="1">IF(E24="","",INDEX(INDIRECT("BD!"&amp;INDEX(BD!$K$5:$BX$5,1,MATCH(E24&amp;"О",BD!$K$4:$BY$4,0))),MATCH(BF24,INDIRECT("BD!"&amp;INDEX(BD!$K$5:$BX$5,1,MATCH(E24&amp;"I",BD!$K$4:$BY$4,0))),0))&amp;D24)</f>
        <v>#N/A</v>
      </c>
      <c r="BN24" s="64" t="e">
        <f ca="1">IF(E24="","",INDEX(INDIRECT("BD!"&amp;INDEX(BD!$K$5:$BX$5,1,MATCH(E24&amp;"М",BD!$K$4:$BY$4,0))),MATCH(BF24,INDIRECT("BD!"&amp;INDEX(BD!$K$5:$BX$5,1,MATCH(E24&amp;"I",BD!$K$4:$BY$4,0))),0)))</f>
        <v>#N/A</v>
      </c>
      <c r="BO24" t="e">
        <f ca="1">IF(E24="","",BK24&amp;"P,"&amp;BF24&amp;"А,"&amp;BJ24&amp;IF(BL24="","",","&amp;BL24&amp;"мА"))</f>
        <v>#N/A</v>
      </c>
      <c r="BP24" s="67" t="e">
        <f ca="1">IF(G24="","",INDEX(INDIRECT("BD!"&amp;INDEX(BD!$K$5:$CA$5,1,MATCH(G24&amp;"I",BD!$K$4:$CB$4,0))),MATCH(AI24*AF24,INDIRECT("BD!"&amp;INDEX(BD!$K$5:$CA$5,1,MATCH(G24&amp;"I",BD!$K$4:$CB$4,0))),-1)))</f>
        <v>#N/A</v>
      </c>
      <c r="BQ24" s="66" t="str">
        <f>IF(G24="","","C")</f>
        <v>C</v>
      </c>
      <c r="BR24" s="65" t="str">
        <f>IF(G24="","","3")</f>
        <v>3</v>
      </c>
      <c r="BS24" s="65" t="str">
        <f>IF(G24="","","30")</f>
        <v>30</v>
      </c>
      <c r="BT24" s="65" t="e">
        <f ca="1">IF(G24="","",INDEX(INDIRECT("BD!"&amp;INDEX(BD!$K$5:$CA$5,1,MATCH(G24&amp;"О",BD!$K$4:$CB$4,0))),MATCH(BP24,INDIRECT("BD!"&amp;INDEX(BD!$K$5:$CA$5,1,MATCH(G24&amp;"I",BD!$K$4:$CB$4,0))),0))&amp;D24)</f>
        <v>#N/A</v>
      </c>
      <c r="BU24" s="64" t="e">
        <f ca="1">IF(G24="","",INDEX(INDIRECT("BD!"&amp;INDEX(BD!$K$5:$CA$5,1,MATCH(G24&amp;"М",BD!$K$4:$CB$4,0))),MATCH(BP24,INDIRECT("BD!"&amp;INDEX(BD!$K$5:$CA$5,1,MATCH(G24&amp;"I",BD!$K$4:$CB$4,0))),0)))</f>
        <v>#N/A</v>
      </c>
      <c r="BV24" t="e">
        <f ca="1">IF(G24="","",BR24&amp;"P,"&amp;BP24&amp;"А,"&amp;BQ24&amp;IF(BS24="","",","&amp;BS24&amp;"мА"))</f>
        <v>#N/A</v>
      </c>
      <c r="BW24" s="62">
        <f>'&lt;zalldev&gt;EXPORT'!Y11</f>
        <v>0</v>
      </c>
      <c r="BX24" s="62" t="e">
        <f ca="1">INDIRECT("'"&amp;P24&amp;"'!"&amp;"X14")</f>
        <v>#REF!</v>
      </c>
      <c r="BY24" s="63">
        <f>COUNT($BW$24:BW24)</f>
        <v>1</v>
      </c>
      <c r="BZ24" s="63">
        <f>IF('&lt;zalldev&gt;EXPORT'!W11=0,'&lt;zalldev&gt;EXPORT'!W11,1)</f>
        <v>0</v>
      </c>
      <c r="CA24" s="63"/>
      <c r="CB24" s="63"/>
      <c r="CC24" s="60">
        <f>IF(MATCH(BW24,$BW$24:BW24,0)=COUNT($BW$24:BW24),COUNTIFS(F24:$F$120000,F24),0)</f>
        <v>1</v>
      </c>
      <c r="CD24" s="62">
        <f>IF(INDEX($CC$24:CC24,MATCH(BW24,$BW$24:BW24,0))&gt;1,IF(CC24=0,2,1),IF(CC24=1,1,0))</f>
        <v>1</v>
      </c>
      <c r="CE24" s="60">
        <f>INDEX($BZ$24:BZ24,COUNT($BW$24:BW24)-1)</f>
        <v>0</v>
      </c>
      <c r="CF24" s="60">
        <f>IF(INDEX($BZ$24:$BZ$120000,COUNT($BW$24:BW24))=1,IF(INDEX($BZ$24:$BZ$120000,COUNT($BW$24:BW24)+1)=1,1,0),0)</f>
        <v>0</v>
      </c>
      <c r="CG24" s="61">
        <f>IF(COUNT($BW$24:BW24)=1,1,IF(INDEX($BW$24:BW24,COUNT($BW$24:BW24)-1)=INDEX($BW$24:BW24,COUNT($BW$24:BW24)),0,COUNT($BW$24:BW24)))</f>
        <v>1</v>
      </c>
      <c r="CH24" s="61">
        <f>IF(CG24&gt;0,ROW(CH24),"-")</f>
        <v>24</v>
      </c>
      <c r="CI24" s="61">
        <f>IF(CA24=0,0,SUMIFS(BZ24:$BZ$120000,CA24:$CA$120000,CA24))</f>
        <v>0</v>
      </c>
      <c r="CJ24" s="61">
        <f ca="1">IF(COUNTIF(INDIRECT(ADDRESS(ROW(CJ24),COLUMN(CA24))&amp;":"&amp;ADDRESS(MIN(CH24:$CH$120000),COLUMN(CA24))),0)&gt;1,1,0)</f>
        <v>0</v>
      </c>
      <c r="CK24" s="60">
        <f>IF(BY24=1,0,IF(INDEX($BW$24:BW24,BY24-1)=BW24,IF(INDEX($CA$24:CA24,BY24-1)=CA24,IF(INDEX($CB$24:CB24,BY24-1)=CB24,1,0),0),0))</f>
        <v>0</v>
      </c>
      <c r="CL24" s="59" t="e">
        <f>MATCH(1,J24:L24,0)</f>
        <v>#N/A</v>
      </c>
      <c r="CM24" s="58">
        <f>IF(BY24&lt;&gt;1,INDEX($CM$24:CM24,BY24-1)+25 - IF(BZ24=0,IF(CE24=1,IF(CI24&lt;2,25,0),0),0),60)</f>
        <v>60</v>
      </c>
      <c r="CN24" t="s">
        <v>214</v>
      </c>
      <c r="CO24" s="1" t="s">
        <v>213</v>
      </c>
      <c r="CP24" s="1">
        <f>CM24</f>
        <v>60</v>
      </c>
      <c r="CQ24" s="1">
        <v>0</v>
      </c>
      <c r="CR24" s="1">
        <v>1</v>
      </c>
      <c r="CS24" s="1">
        <v>1</v>
      </c>
      <c r="CT24" s="1" t="s">
        <v>212</v>
      </c>
      <c r="CU24" s="1" t="e">
        <f ca="1">IF(R24="ABC","BOOLEAN_1","BOOLEAN_0")</f>
        <v>#N/A</v>
      </c>
      <c r="CV24" s="1" t="s">
        <v>211</v>
      </c>
      <c r="CW24" s="1" t="e">
        <f ca="1">IF(H24&lt;&gt;"","INTEGER_0",IF(CC24=0,IF(CD24=0,"INTEGER_3","INTEGER_"&amp;CD24),"INTEGER_"&amp;CD24))</f>
        <v>#N/A</v>
      </c>
      <c r="CX24" s="57" t="s">
        <v>210</v>
      </c>
      <c r="CY24" t="s">
        <v>330</v>
      </c>
      <c r="CZ24" s="57" t="s">
        <v>209</v>
      </c>
      <c r="DA24" s="1" t="str">
        <f t="shared" ref="DA24" si="4">"INTEGER_0"</f>
        <v>INTEGER_0</v>
      </c>
      <c r="DB24" s="57" t="s">
        <v>208</v>
      </c>
      <c r="DC24" t="s">
        <v>330</v>
      </c>
      <c r="DD24" s="57" t="s">
        <v>207</v>
      </c>
      <c r="DE24" t="s">
        <v>330</v>
      </c>
      <c r="DF24" s="57" t="s">
        <v>206</v>
      </c>
      <c r="DG24" s="1" t="str">
        <f t="shared" ref="DG24" si="5">IF(CF24=0,"INTEGER_0","INTEGER_0")</f>
        <v>INTEGER_0</v>
      </c>
      <c r="DH24" s="57" t="s">
        <v>205</v>
      </c>
      <c r="DI24" t="s">
        <v>330</v>
      </c>
      <c r="DJ24" s="1" t="s">
        <v>204</v>
      </c>
      <c r="DK24" s="1">
        <f>IF(X24&gt;1,P24&amp;"("&amp;X24&amp;"шт.)",P24)</f>
        <v>0</v>
      </c>
      <c r="DL24" s="1" t="s">
        <v>203</v>
      </c>
      <c r="DM24" s="1">
        <f ca="1">S24</f>
        <v>0</v>
      </c>
      <c r="DN24" s="1" t="s">
        <v>202</v>
      </c>
      <c r="DO24" s="1" t="e">
        <f ca="1">U24</f>
        <v>#N/A</v>
      </c>
      <c r="DP24" s="1" t="s">
        <v>201</v>
      </c>
      <c r="DQ24" s="1" t="e">
        <f ca="1">AA24&amp;"\P~"&amp;Q24&amp;"V"</f>
        <v>#N/A</v>
      </c>
      <c r="DR24" s="56" t="s">
        <v>200</v>
      </c>
      <c r="DS24" s="56" t="str">
        <f>AK24</f>
        <v>.</v>
      </c>
      <c r="DT24" s="56" t="s">
        <v>199</v>
      </c>
      <c r="DU24" t="s">
        <v>330</v>
      </c>
      <c r="DV24" s="56" t="s">
        <v>198</v>
      </c>
      <c r="DW24" t="s">
        <v>330</v>
      </c>
      <c r="DX24" s="56" t="s">
        <v>197</v>
      </c>
      <c r="DY24" s="56" t="e">
        <f ca="1">AL24</f>
        <v>#N/A</v>
      </c>
      <c r="DZ24" s="56" t="str">
        <f>"VSCHEMACable22"</f>
        <v>VSCHEMACable22</v>
      </c>
      <c r="EA24" s="56" t="e">
        <f>IF(AM24&lt;&gt;"","L="&amp;AM24&amp;"м"," ")</f>
        <v>#N/A</v>
      </c>
      <c r="EB24" t="s">
        <v>196</v>
      </c>
      <c r="EC24" t="e">
        <f ca="1">IF(H24&lt;&gt;"","&lt;zinsertblock&gt;","")</f>
        <v>#N/A</v>
      </c>
      <c r="ED24" s="1" t="e">
        <f ca="1">IF(EC24="","",INDEX(INDIRECT("BD!"&amp;INDEX(BD!$K$5:$BX$5,1,MATCH(E24&amp;"UGO",BD!$K$4:$BY$4,0))),MATCH(BF24,INDIRECT("BD!"&amp;INDEX(BD!$K$5:$BX$5,1,MATCH(E24&amp;"I",BD!$K$4:$BY$4,0))),0)))</f>
        <v>#N/A</v>
      </c>
      <c r="EE24" s="1" t="e">
        <f ca="1">IF(EC24="","",CP24+INDEX(INDIRECT("BD!"&amp;INDEX(BD!$K$5:$BX$5,1,MATCH(E24&amp;"MOVEX",BD!$K$4:$BY$4,0))),MATCH(BF24,INDIRECT("BD!"&amp;INDEX(BD!$K$5:$BX$5,1,MATCH(E24&amp;"I",BD!$K$4:$BY$4,0))),0)))</f>
        <v>#N/A</v>
      </c>
      <c r="EF24" s="1" t="e">
        <f ca="1">IF(EC24="","",CQ24+INDEX(INDIRECT("BD!"&amp;INDEX(BD!$K$5:$BX$5,1,MATCH(E24&amp;"MOVEY",BD!$K$4:$BY$4,0))),MATCH(BF24,INDIRECT("BD!"&amp;INDEX(BD!$K$5:$BX$5,1,MATCH(E24&amp;"I",BD!$K$4:$BY$4,0))),0)))</f>
        <v>#N/A</v>
      </c>
      <c r="EG24" s="1">
        <v>1</v>
      </c>
      <c r="EH24" s="1">
        <v>1</v>
      </c>
      <c r="EI24" s="1" t="s">
        <v>195</v>
      </c>
      <c r="EJ24" s="1" t="e">
        <f ca="1">BM24&amp;"\P"&amp;BN24&amp;"\P"&amp;BO24</f>
        <v>#N/A</v>
      </c>
      <c r="EK24" t="e">
        <f ca="1">IF(EC24="","","&lt;/zinsertblock&gt;")</f>
        <v>#N/A</v>
      </c>
      <c r="EL24" t="e">
        <f ca="1">IF(I24&lt;&gt;"","&lt;zinsertblock&gt;","")</f>
        <v>#N/A</v>
      </c>
      <c r="EM24" s="1" t="e">
        <f ca="1">IF(EL24="","",INDEX(INDIRECT("BD!"&amp;INDEX(BD!$K$5:$CA$5,1,MATCH(G24&amp;"UGO",BD!$K$4:$CB$4,0))),MATCH(BP24,INDIRECT("BD!"&amp;INDEX(BD!$K$5:$CA$5,1,MATCH(G24&amp;"I",BD!$K$4:$CB$4,0))),0)))</f>
        <v>#N/A</v>
      </c>
      <c r="EN24" s="1" t="e">
        <f ca="1">IF(EL24="","",CP24+INDEX(INDIRECT("BD!"&amp;INDEX(BD!$K$5:$CA$5,1,MATCH(G24&amp;"MOVEX",BD!$K$4:$CB$4,0))),MATCH(BP24,INDIRECT("BD!"&amp;INDEX(BD!$K$5:$CA$5,1,MATCH(G24&amp;"I",BD!$K$4:$CB$4,0))),0)))</f>
        <v>#N/A</v>
      </c>
      <c r="EO24" s="1" t="e">
        <f ca="1">IF(EL24="","",CQ24-20+INDEX(INDIRECT("BD!"&amp;INDEX(BD!$K$5:$CA$5,1,MATCH(G24&amp;"MOVEY",BD!$K$4:$CB$4,0))),MATCH(BP24,INDIRECT("BD!"&amp;INDEX(BD!$K$5:$CA$5,1,MATCH(G24&amp;"I",BD!$K$4:$CB$4,0))),0)))</f>
        <v>#N/A</v>
      </c>
      <c r="EP24" s="1">
        <v>1</v>
      </c>
      <c r="EQ24" s="1">
        <v>1</v>
      </c>
      <c r="ER24" s="1" t="s">
        <v>195</v>
      </c>
      <c r="ES24" s="1" t="e">
        <f ca="1">BT24&amp;"\P"&amp;BU24&amp;"\P"&amp;BV24</f>
        <v>#N/A</v>
      </c>
      <c r="ET24" t="e">
        <f ca="1">IF(EL24="","","&lt;/zinsertblock&gt;")</f>
        <v>#N/A</v>
      </c>
      <c r="EU24" t="s">
        <v>194</v>
      </c>
    </row>
  </sheetData>
  <mergeCells count="49">
    <mergeCell ref="D6:G6"/>
    <mergeCell ref="Q6:T6"/>
    <mergeCell ref="U6:V6"/>
    <mergeCell ref="D4:H4"/>
    <mergeCell ref="Q4:V4"/>
    <mergeCell ref="D5:G5"/>
    <mergeCell ref="Q5:T5"/>
    <mergeCell ref="U5:V5"/>
    <mergeCell ref="D7:G7"/>
    <mergeCell ref="Q7:T7"/>
    <mergeCell ref="U7:V7"/>
    <mergeCell ref="D8:G8"/>
    <mergeCell ref="Q8:T8"/>
    <mergeCell ref="U8:V8"/>
    <mergeCell ref="D9:G9"/>
    <mergeCell ref="Q9:T10"/>
    <mergeCell ref="U9:V10"/>
    <mergeCell ref="D10:G10"/>
    <mergeCell ref="D11:G11"/>
    <mergeCell ref="Q11:T11"/>
    <mergeCell ref="U11:V11"/>
    <mergeCell ref="D12:G12"/>
    <mergeCell ref="Q12:T12"/>
    <mergeCell ref="U12:V12"/>
    <mergeCell ref="D13:G13"/>
    <mergeCell ref="Q13:T13"/>
    <mergeCell ref="U13:V13"/>
    <mergeCell ref="I22:I23"/>
    <mergeCell ref="D14:G14"/>
    <mergeCell ref="Q14:T14"/>
    <mergeCell ref="U14:V14"/>
    <mergeCell ref="D15:G15"/>
    <mergeCell ref="Q15:T15"/>
    <mergeCell ref="U15:V15"/>
    <mergeCell ref="D22:D23"/>
    <mergeCell ref="E22:E23"/>
    <mergeCell ref="F22:F23"/>
    <mergeCell ref="G22:G23"/>
    <mergeCell ref="H22:H23"/>
    <mergeCell ref="BP22:BV22"/>
    <mergeCell ref="BW22:CH23"/>
    <mergeCell ref="EC23:EK23"/>
    <mergeCell ref="EL23:ET23"/>
    <mergeCell ref="J22:L22"/>
    <mergeCell ref="M22:M23"/>
    <mergeCell ref="P22:AA22"/>
    <mergeCell ref="AB22:AJ22"/>
    <mergeCell ref="AK22:AX22"/>
    <mergeCell ref="AY22:BO22"/>
  </mergeCells>
  <conditionalFormatting sqref="Q24">
    <cfRule type="expression" dxfId="72" priority="103">
      <formula>NOT(_xlfn.ISFORMULA(Q24))</formula>
    </cfRule>
  </conditionalFormatting>
  <conditionalFormatting sqref="R24">
    <cfRule type="expression" dxfId="71" priority="102">
      <formula>NOT(_xlfn.ISFORMULA(R24))</formula>
    </cfRule>
  </conditionalFormatting>
  <conditionalFormatting sqref="S24">
    <cfRule type="expression" dxfId="70" priority="101">
      <formula>NOT(_xlfn.ISFORMULA(S24))</formula>
    </cfRule>
  </conditionalFormatting>
  <conditionalFormatting sqref="T24">
    <cfRule type="expression" dxfId="69" priority="100">
      <formula>NOT(_xlfn.ISFORMULA(T24))</formula>
    </cfRule>
  </conditionalFormatting>
  <conditionalFormatting sqref="AQ24">
    <cfRule type="expression" dxfId="68" priority="98">
      <formula>NOT(_xlfn.ISFORMULA(AQ24))</formula>
    </cfRule>
  </conditionalFormatting>
  <conditionalFormatting sqref="AT24">
    <cfRule type="expression" dxfId="67" priority="97">
      <formula>NOT(_xlfn.ISFORMULA(AT24))</formula>
    </cfRule>
  </conditionalFormatting>
  <conditionalFormatting sqref="AR24">
    <cfRule type="expression" dxfId="66" priority="95">
      <formula>NOT(_xlfn.ISFORMULA(AR24))</formula>
    </cfRule>
  </conditionalFormatting>
  <conditionalFormatting sqref="CW24">
    <cfRule type="cellIs" dxfId="65" priority="90" operator="equal">
      <formula>"INTEGER_0"</formula>
    </cfRule>
  </conditionalFormatting>
  <conditionalFormatting sqref="CW24">
    <cfRule type="cellIs" dxfId="64" priority="85" operator="equal">
      <formula>"INTEGER_5"</formula>
    </cfRule>
    <cfRule type="cellIs" dxfId="63" priority="86" operator="equal">
      <formula>"INTEGER_4"</formula>
    </cfRule>
    <cfRule type="cellIs" dxfId="62" priority="87" operator="equal">
      <formula>"INTEGER_3"</formula>
    </cfRule>
    <cfRule type="cellIs" dxfId="61" priority="88" operator="equal">
      <formula>"INTEGER_2"</formula>
    </cfRule>
    <cfRule type="cellIs" dxfId="60" priority="89" operator="equal">
      <formula>"INTEGER_1"</formula>
    </cfRule>
  </conditionalFormatting>
  <conditionalFormatting sqref="CX24">
    <cfRule type="cellIs" dxfId="59" priority="84" operator="equal">
      <formula>"INTEGER_0"</formula>
    </cfRule>
  </conditionalFormatting>
  <conditionalFormatting sqref="CX24">
    <cfRule type="cellIs" dxfId="58" priority="79" operator="equal">
      <formula>"INTEGER_5"</formula>
    </cfRule>
    <cfRule type="cellIs" dxfId="57" priority="80" operator="equal">
      <formula>"INTEGER_4"</formula>
    </cfRule>
    <cfRule type="cellIs" dxfId="56" priority="81" operator="equal">
      <formula>"INTEGER_3"</formula>
    </cfRule>
    <cfRule type="cellIs" dxfId="55" priority="82" operator="equal">
      <formula>"INTEGER_2"</formula>
    </cfRule>
    <cfRule type="cellIs" dxfId="54" priority="83" operator="equal">
      <formula>"INTEGER_1"</formula>
    </cfRule>
  </conditionalFormatting>
  <conditionalFormatting sqref="CZ24">
    <cfRule type="cellIs" dxfId="53" priority="72" operator="equal">
      <formula>"INTEGER_0"</formula>
    </cfRule>
  </conditionalFormatting>
  <conditionalFormatting sqref="CZ24">
    <cfRule type="cellIs" dxfId="52" priority="67" operator="equal">
      <formula>"INTEGER_5"</formula>
    </cfRule>
    <cfRule type="cellIs" dxfId="51" priority="68" operator="equal">
      <formula>"INTEGER_4"</formula>
    </cfRule>
    <cfRule type="cellIs" dxfId="50" priority="69" operator="equal">
      <formula>"INTEGER_3"</formula>
    </cfRule>
    <cfRule type="cellIs" dxfId="49" priority="70" operator="equal">
      <formula>"INTEGER_2"</formula>
    </cfRule>
    <cfRule type="cellIs" dxfId="48" priority="71" operator="equal">
      <formula>"INTEGER_1"</formula>
    </cfRule>
  </conditionalFormatting>
  <conditionalFormatting sqref="DA24">
    <cfRule type="cellIs" dxfId="47" priority="66" operator="equal">
      <formula>"INTEGER_0"</formula>
    </cfRule>
  </conditionalFormatting>
  <conditionalFormatting sqref="DA24">
    <cfRule type="cellIs" dxfId="46" priority="61" operator="equal">
      <formula>"INTEGER_5"</formula>
    </cfRule>
    <cfRule type="cellIs" dxfId="45" priority="62" operator="equal">
      <formula>"INTEGER_4"</formula>
    </cfRule>
    <cfRule type="cellIs" dxfId="44" priority="63" operator="equal">
      <formula>"INTEGER_3"</formula>
    </cfRule>
    <cfRule type="cellIs" dxfId="43" priority="64" operator="equal">
      <formula>"INTEGER_2"</formula>
    </cfRule>
    <cfRule type="cellIs" dxfId="42" priority="65" operator="equal">
      <formula>"INTEGER_1"</formula>
    </cfRule>
  </conditionalFormatting>
  <conditionalFormatting sqref="DB24">
    <cfRule type="cellIs" dxfId="41" priority="60" operator="equal">
      <formula>"INTEGER_0"</formula>
    </cfRule>
  </conditionalFormatting>
  <conditionalFormatting sqref="DB24">
    <cfRule type="cellIs" dxfId="40" priority="55" operator="equal">
      <formula>"INTEGER_5"</formula>
    </cfRule>
    <cfRule type="cellIs" dxfId="39" priority="56" operator="equal">
      <formula>"INTEGER_4"</formula>
    </cfRule>
    <cfRule type="cellIs" dxfId="38" priority="57" operator="equal">
      <formula>"INTEGER_3"</formula>
    </cfRule>
    <cfRule type="cellIs" dxfId="37" priority="58" operator="equal">
      <formula>"INTEGER_2"</formula>
    </cfRule>
    <cfRule type="cellIs" dxfId="36" priority="59" operator="equal">
      <formula>"INTEGER_1"</formula>
    </cfRule>
  </conditionalFormatting>
  <conditionalFormatting sqref="DD24">
    <cfRule type="cellIs" dxfId="35" priority="48" operator="equal">
      <formula>"INTEGER_0"</formula>
    </cfRule>
  </conditionalFormatting>
  <conditionalFormatting sqref="DD24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DF24">
    <cfRule type="cellIs" dxfId="29" priority="42" operator="equal">
      <formula>"INTEGER_0"</formula>
    </cfRule>
  </conditionalFormatting>
  <conditionalFormatting sqref="DF24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DG24">
    <cfRule type="cellIs" dxfId="23" priority="36" operator="equal">
      <formula>"INTEGER_0"</formula>
    </cfRule>
  </conditionalFormatting>
  <conditionalFormatting sqref="DG24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DH24">
    <cfRule type="cellIs" dxfId="17" priority="24" operator="equal">
      <formula>"INTEGER_0"</formula>
    </cfRule>
  </conditionalFormatting>
  <conditionalFormatting sqref="DH24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DJ24">
    <cfRule type="cellIs" dxfId="11" priority="12" operator="equal">
      <formula>"INTEGER_0"</formula>
    </cfRule>
  </conditionalFormatting>
  <conditionalFormatting sqref="DJ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K24:DT24 DV24 DX24:EA24">
    <cfRule type="cellIs" dxfId="5" priority="6" operator="equal">
      <formula>"INTEGER_0"</formula>
    </cfRule>
  </conditionalFormatting>
  <conditionalFormatting sqref="DK24:DT24 DV24 DX24:EA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29" t="s">
        <v>36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1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32" t="s">
        <v>12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18" ht="35.25" customHeight="1" thickBot="1" x14ac:dyDescent="0.3">
      <c r="A2" s="24"/>
      <c r="B2" s="3" t="s">
        <v>13</v>
      </c>
      <c r="C2" s="133" t="s">
        <v>14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4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7"/>
  <sheetViews>
    <sheetView workbookViewId="0">
      <selection activeCell="I16" sqref="I1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178</v>
      </c>
      <c r="B1" t="s">
        <v>188</v>
      </c>
    </row>
    <row r="2" spans="1:11" x14ac:dyDescent="0.25">
      <c r="A2" t="s">
        <v>179</v>
      </c>
      <c r="B2" t="s">
        <v>0</v>
      </c>
      <c r="I2" t="s">
        <v>159</v>
      </c>
    </row>
    <row r="3" spans="1:11" x14ac:dyDescent="0.25">
      <c r="A3" t="s">
        <v>179</v>
      </c>
      <c r="B3" t="s">
        <v>180</v>
      </c>
      <c r="I3" t="s">
        <v>160</v>
      </c>
    </row>
    <row r="4" spans="1:11" ht="15.75" customHeight="1" x14ac:dyDescent="0.25">
      <c r="A4" t="s">
        <v>179</v>
      </c>
      <c r="B4" t="s">
        <v>10</v>
      </c>
      <c r="J4" t="s">
        <v>8</v>
      </c>
      <c r="K4" t="s">
        <v>161</v>
      </c>
    </row>
    <row r="5" spans="1:11" ht="15.75" customHeight="1" x14ac:dyDescent="0.25">
      <c r="A5" t="s">
        <v>179</v>
      </c>
      <c r="B5" t="s">
        <v>11</v>
      </c>
      <c r="J5" t="s">
        <v>9</v>
      </c>
      <c r="K5" t="s">
        <v>162</v>
      </c>
    </row>
    <row r="6" spans="1:11" x14ac:dyDescent="0.25">
      <c r="A6" t="s">
        <v>179</v>
      </c>
      <c r="B6" t="s">
        <v>360</v>
      </c>
    </row>
    <row r="7" spans="1:11" x14ac:dyDescent="0.25">
      <c r="A7" t="s">
        <v>179</v>
      </c>
      <c r="B7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2" sqref="B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AU11"/>
  <sheetViews>
    <sheetView workbookViewId="0">
      <selection activeCell="AL11" sqref="AL11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14.140625" customWidth="1"/>
    <col min="34" max="35" width="16" customWidth="1"/>
    <col min="36" max="46" width="12.7109375" customWidth="1"/>
  </cols>
  <sheetData>
    <row r="3" spans="1:47" x14ac:dyDescent="0.25">
      <c r="D3" s="135" t="s">
        <v>331</v>
      </c>
      <c r="E3" s="135"/>
      <c r="F3" s="135"/>
    </row>
    <row r="4" spans="1:47" x14ac:dyDescent="0.25">
      <c r="D4" s="100" t="s">
        <v>332</v>
      </c>
      <c r="E4" s="101"/>
      <c r="F4" s="105" t="s">
        <v>37</v>
      </c>
    </row>
    <row r="7" spans="1:47" x14ac:dyDescent="0.25">
      <c r="A7">
        <f>COLUMN(A7)-1</f>
        <v>0</v>
      </c>
      <c r="B7">
        <f t="shared" ref="B7:AU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J7">
        <f t="shared" si="0"/>
        <v>35</v>
      </c>
      <c r="AK7">
        <f t="shared" si="0"/>
        <v>36</v>
      </c>
      <c r="AL7">
        <f t="shared" si="0"/>
        <v>37</v>
      </c>
      <c r="AM7">
        <f t="shared" si="0"/>
        <v>38</v>
      </c>
      <c r="AN7">
        <f t="shared" si="0"/>
        <v>39</v>
      </c>
      <c r="AO7">
        <f t="shared" si="0"/>
        <v>40</v>
      </c>
      <c r="AP7">
        <f t="shared" si="0"/>
        <v>41</v>
      </c>
      <c r="AQ7">
        <f t="shared" si="0"/>
        <v>42</v>
      </c>
      <c r="AU7">
        <f t="shared" si="0"/>
        <v>46</v>
      </c>
    </row>
    <row r="8" spans="1:47" x14ac:dyDescent="0.25">
      <c r="B8" s="111"/>
      <c r="C8" s="136" t="s">
        <v>1</v>
      </c>
      <c r="D8" s="136"/>
      <c r="E8" s="136"/>
      <c r="F8" s="135" t="s">
        <v>339</v>
      </c>
      <c r="G8" s="135"/>
      <c r="H8" s="135"/>
      <c r="I8" s="136" t="s">
        <v>168</v>
      </c>
      <c r="J8" s="136"/>
      <c r="K8" s="136"/>
      <c r="L8" s="136" t="s">
        <v>181</v>
      </c>
      <c r="M8" s="136"/>
      <c r="N8" s="136"/>
      <c r="O8" s="136" t="s">
        <v>7</v>
      </c>
      <c r="P8" s="136"/>
      <c r="Q8" s="136"/>
      <c r="R8" s="136" t="s">
        <v>182</v>
      </c>
      <c r="S8" s="136"/>
      <c r="T8" s="136"/>
      <c r="U8" s="136" t="s">
        <v>169</v>
      </c>
      <c r="V8" s="136"/>
      <c r="W8" s="136"/>
      <c r="X8" s="136" t="s">
        <v>184</v>
      </c>
      <c r="Y8" s="136"/>
      <c r="Z8" s="136"/>
      <c r="AA8" s="136" t="s">
        <v>185</v>
      </c>
      <c r="AB8" s="136"/>
      <c r="AC8" s="136"/>
      <c r="AD8" s="136" t="s">
        <v>3</v>
      </c>
      <c r="AE8" s="136"/>
      <c r="AF8" s="136"/>
      <c r="AG8" s="108" t="s">
        <v>341</v>
      </c>
      <c r="AH8" s="108" t="s">
        <v>342</v>
      </c>
      <c r="AI8" s="108" t="s">
        <v>343</v>
      </c>
      <c r="AJ8" s="55" t="s">
        <v>189</v>
      </c>
      <c r="AK8" s="102" t="s">
        <v>332</v>
      </c>
      <c r="AL8" s="55" t="s">
        <v>190</v>
      </c>
      <c r="AM8" s="55" t="s">
        <v>191</v>
      </c>
      <c r="AN8" s="55" t="s">
        <v>192</v>
      </c>
      <c r="AO8" s="55" t="s">
        <v>193</v>
      </c>
      <c r="AP8" s="99"/>
      <c r="AQ8" s="104"/>
      <c r="AR8" s="104"/>
      <c r="AS8" s="104"/>
      <c r="AT8" s="104"/>
    </row>
    <row r="9" spans="1:47" x14ac:dyDescent="0.25">
      <c r="B9" s="51"/>
      <c r="C9" s="51" t="s">
        <v>167</v>
      </c>
      <c r="D9" s="52" t="s">
        <v>165</v>
      </c>
      <c r="E9" s="53" t="s">
        <v>166</v>
      </c>
      <c r="F9" s="51" t="s">
        <v>167</v>
      </c>
      <c r="G9" s="52" t="s">
        <v>165</v>
      </c>
      <c r="H9" s="53" t="s">
        <v>166</v>
      </c>
      <c r="I9" s="51" t="s">
        <v>167</v>
      </c>
      <c r="J9" s="52" t="s">
        <v>165</v>
      </c>
      <c r="K9" s="53" t="s">
        <v>166</v>
      </c>
      <c r="L9" s="51" t="s">
        <v>167</v>
      </c>
      <c r="M9" s="52" t="s">
        <v>165</v>
      </c>
      <c r="N9" s="53" t="s">
        <v>166</v>
      </c>
      <c r="O9" s="51" t="s">
        <v>167</v>
      </c>
      <c r="P9" s="52" t="s">
        <v>165</v>
      </c>
      <c r="Q9" s="53" t="s">
        <v>166</v>
      </c>
      <c r="R9" s="51" t="s">
        <v>167</v>
      </c>
      <c r="S9" s="52" t="s">
        <v>165</v>
      </c>
      <c r="T9" s="53" t="s">
        <v>166</v>
      </c>
      <c r="U9" s="51" t="s">
        <v>167</v>
      </c>
      <c r="V9" s="52" t="s">
        <v>165</v>
      </c>
      <c r="W9" s="53" t="s">
        <v>166</v>
      </c>
      <c r="X9" s="51" t="s">
        <v>167</v>
      </c>
      <c r="Y9" s="52" t="s">
        <v>165</v>
      </c>
      <c r="Z9" s="53" t="s">
        <v>166</v>
      </c>
      <c r="AA9" s="51" t="s">
        <v>167</v>
      </c>
      <c r="AB9" s="52" t="s">
        <v>165</v>
      </c>
      <c r="AC9" s="53" t="s">
        <v>166</v>
      </c>
      <c r="AD9" s="51" t="s">
        <v>167</v>
      </c>
      <c r="AE9" s="52" t="s">
        <v>165</v>
      </c>
      <c r="AF9" s="53" t="s">
        <v>166</v>
      </c>
      <c r="AG9" s="106"/>
      <c r="AH9" s="106"/>
      <c r="AI9" s="106"/>
      <c r="AJ9" s="55"/>
      <c r="AK9" s="102"/>
      <c r="AL9" s="55"/>
      <c r="AM9" s="55"/>
      <c r="AN9" s="55"/>
      <c r="AO9" s="55"/>
      <c r="AP9" s="99"/>
      <c r="AQ9" s="104"/>
      <c r="AR9" s="104"/>
      <c r="AS9" s="104"/>
      <c r="AT9" s="104"/>
    </row>
    <row r="10" spans="1:47" x14ac:dyDescent="0.25">
      <c r="B10" s="51" t="s">
        <v>2</v>
      </c>
      <c r="C10" s="51"/>
      <c r="D10" s="52"/>
      <c r="E10" s="53"/>
      <c r="F10" s="51"/>
      <c r="G10" s="52"/>
      <c r="H10" s="53"/>
      <c r="I10" s="51"/>
      <c r="J10" s="52"/>
      <c r="K10" s="53"/>
      <c r="L10" s="51"/>
      <c r="M10" s="52"/>
      <c r="N10" s="53"/>
      <c r="O10" s="51"/>
      <c r="P10" s="52"/>
      <c r="Q10" s="53"/>
      <c r="R10" s="51"/>
      <c r="S10" s="52"/>
      <c r="T10" s="53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107"/>
      <c r="AH10" s="107"/>
      <c r="AI10" s="107"/>
      <c r="AJ10" s="55"/>
      <c r="AK10" s="102"/>
      <c r="AL10" s="55"/>
      <c r="AM10" s="55"/>
      <c r="AN10" s="55"/>
      <c r="AO10" s="55"/>
      <c r="AP10" s="99"/>
      <c r="AQ10" s="104"/>
      <c r="AR10" s="104"/>
      <c r="AS10" s="104"/>
      <c r="AT10" s="104"/>
    </row>
    <row r="11" spans="1:47" x14ac:dyDescent="0.25">
      <c r="B11" s="51" t="s">
        <v>163</v>
      </c>
      <c r="C11" s="54" t="s">
        <v>171</v>
      </c>
      <c r="D11" s="52"/>
      <c r="E11" s="53"/>
      <c r="F11" s="54" t="s">
        <v>336</v>
      </c>
      <c r="G11" s="52"/>
      <c r="H11" s="53"/>
      <c r="I11" s="54" t="s">
        <v>337</v>
      </c>
      <c r="J11" s="52"/>
      <c r="K11" s="53"/>
      <c r="L11" s="54" t="s">
        <v>338</v>
      </c>
      <c r="M11" s="52"/>
      <c r="N11" s="53"/>
      <c r="O11" s="54" t="s">
        <v>170</v>
      </c>
      <c r="P11" s="52"/>
      <c r="Q11" s="53"/>
      <c r="R11" s="54" t="s">
        <v>340</v>
      </c>
      <c r="S11" s="52"/>
      <c r="T11" s="53"/>
      <c r="U11" s="54" t="s">
        <v>172</v>
      </c>
      <c r="V11" s="52"/>
      <c r="W11" s="53"/>
      <c r="X11" s="54" t="s">
        <v>183</v>
      </c>
      <c r="Y11" s="52"/>
      <c r="Z11" s="53"/>
      <c r="AA11" s="54" t="s">
        <v>186</v>
      </c>
      <c r="AB11" s="52"/>
      <c r="AC11" s="53"/>
      <c r="AD11" s="54" t="s">
        <v>187</v>
      </c>
      <c r="AE11" s="52"/>
      <c r="AF11" s="53"/>
      <c r="AG11" s="106" t="str">
        <f>J11&amp;"-"&amp;M11&amp;"-"&amp;S11</f>
        <v>--</v>
      </c>
      <c r="AH11" s="106">
        <f>IF(COUNT($AJ$11:AJ11)=MATCH(AG11,$AG$11:AG11,0),1,0)</f>
        <v>1</v>
      </c>
      <c r="AI11" s="106">
        <f>SUMIFS($AJ$11:$AJ$700000,$AG$11:$AG$700000,AG11)</f>
        <v>1</v>
      </c>
      <c r="AJ11" s="55">
        <v>1</v>
      </c>
      <c r="AK11" s="102" t="str">
        <f>$F$4</f>
        <v>-</v>
      </c>
      <c r="AL11" s="55">
        <f>IF(AK11=J11,IF(AH11=1,1,0),0)</f>
        <v>0</v>
      </c>
      <c r="AM11" s="55">
        <f>SUMIFS($AJ$11:$AJ$700000,$S$11:$S$700000,S11,$M$11:$M$700000,M11)</f>
        <v>0</v>
      </c>
      <c r="AN11" s="55">
        <f>IF(SUMIFS($AJ$11:AJ11,$S$11:S11,S11,$M$11:M11,M11)=1,1,0)</f>
        <v>0</v>
      </c>
      <c r="AO11" s="55">
        <f>IF(AN11=1,1,0)</f>
        <v>0</v>
      </c>
      <c r="AP11" s="99">
        <v>1</v>
      </c>
      <c r="AQ11" s="104">
        <f>IF(AK11=D11,1,0)</f>
        <v>0</v>
      </c>
      <c r="AR11" s="104">
        <f>COUNT($AJ$11:AJ11)</f>
        <v>1</v>
      </c>
      <c r="AS11" s="104">
        <f>MATCH(AG11,$AG$11:AG11,0)</f>
        <v>1</v>
      </c>
      <c r="AT11" s="104"/>
      <c r="AU11" t="s">
        <v>164</v>
      </c>
    </row>
  </sheetData>
  <mergeCells count="11"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H5" sqref="H5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381</v>
      </c>
      <c r="C4" s="1" t="s">
        <v>382</v>
      </c>
    </row>
    <row r="5" spans="2:3" x14ac:dyDescent="0.25">
      <c r="B5" s="1" t="s">
        <v>383</v>
      </c>
      <c r="C5" s="1" t="s">
        <v>384</v>
      </c>
    </row>
    <row r="6" spans="2:3" x14ac:dyDescent="0.25">
      <c r="B6" s="1" t="s">
        <v>385</v>
      </c>
      <c r="C6" s="1" t="s">
        <v>386</v>
      </c>
    </row>
    <row r="7" spans="2:3" x14ac:dyDescent="0.25">
      <c r="B7" s="1" t="s">
        <v>387</v>
      </c>
      <c r="C7" s="1" t="s">
        <v>388</v>
      </c>
    </row>
    <row r="8" spans="2:3" x14ac:dyDescent="0.25">
      <c r="B8" s="1" t="s">
        <v>389</v>
      </c>
      <c r="C8" s="1" t="s">
        <v>390</v>
      </c>
    </row>
    <row r="9" spans="2:3" x14ac:dyDescent="0.25">
      <c r="B9" s="1" t="s">
        <v>391</v>
      </c>
      <c r="C9" s="1" t="s">
        <v>392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F35" sqref="F35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349</v>
      </c>
    </row>
    <row r="2" spans="1:2" x14ac:dyDescent="0.25">
      <c r="A2" t="s">
        <v>174</v>
      </c>
      <c r="B2" t="s">
        <v>396</v>
      </c>
    </row>
    <row r="3" spans="1:2" x14ac:dyDescent="0.25">
      <c r="A3" t="s">
        <v>173</v>
      </c>
      <c r="B3" t="s">
        <v>365</v>
      </c>
    </row>
    <row r="4" spans="1:2" x14ac:dyDescent="0.25">
      <c r="A4" t="s">
        <v>174</v>
      </c>
      <c r="B4" t="s">
        <v>396</v>
      </c>
    </row>
    <row r="5" spans="1:2" x14ac:dyDescent="0.25">
      <c r="A5" t="s">
        <v>173</v>
      </c>
      <c r="B5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BD</vt:lpstr>
      <vt:lpstr>BDКаб</vt:lpstr>
      <vt:lpstr>BDKc</vt:lpstr>
      <vt:lpstr>&lt;workbook&gt;SET</vt:lpstr>
      <vt:lpstr>&lt;zalldev&gt;SET</vt:lpstr>
      <vt:lpstr>&lt;zalldev&gt;TEMPLATEKZ</vt:lpstr>
      <vt:lpstr>&lt;zalldev&gt;EXPORT</vt:lpstr>
      <vt:lpstr>BDzallcab</vt:lpstr>
      <vt:lpstr>&lt;zallcab&gt;SET</vt:lpstr>
      <vt:lpstr>&lt;zallcab&gt;EXPORT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2024-07-17T13:49:54Z</dcterms:modified>
</cp:coreProperties>
</file>