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E4A71B34-5B61-4E74-8177-2D385D551430}" xr6:coauthVersionLast="45" xr6:coauthVersionMax="45" xr10:uidLastSave="{00000000-0000-0000-0000-000000000000}"/>
  <bookViews>
    <workbookView xWindow="17055" yWindow="1665" windowWidth="29655" windowHeight="15735" firstSheet="9" activeTab="16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EXPORT" sheetId="14" r:id="rId11"/>
    <sheet name="&lt;zallcab&gt;CALC" sheetId="24" r:id="rId12"/>
    <sheet name="&lt;zallcab&gt;CabZhurnal" sheetId="25" r:id="rId13"/>
    <sheet name="&lt;zlight&gt;SET" sheetId="18" r:id="rId14"/>
    <sheet name="&lt;zlight&gt;TEMP" sheetId="21" r:id="rId15"/>
    <sheet name="&lt;zlight&gt;TEMPGU" sheetId="22" r:id="rId16"/>
    <sheet name="&lt;zlight&gt;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0" l="1"/>
  <c r="FJ28" i="20"/>
  <c r="FI28" i="20"/>
  <c r="EZ28" i="20"/>
  <c r="EY28" i="20"/>
  <c r="ER28" i="20"/>
  <c r="EQ28" i="20"/>
  <c r="EP28" i="20"/>
  <c r="EO28" i="20"/>
  <c r="CY28" i="20"/>
  <c r="CZ27" i="20"/>
  <c r="CY27" i="20"/>
  <c r="CZ26" i="20"/>
  <c r="CY26" i="20"/>
  <c r="DB26" i="20"/>
  <c r="DA26" i="20"/>
  <c r="DB28" i="20"/>
  <c r="DA28" i="20"/>
  <c r="ES28" i="20"/>
  <c r="EN28" i="20"/>
  <c r="DU28" i="20"/>
  <c r="CV28" i="20"/>
  <c r="EK28" i="20"/>
  <c r="EG28" i="20"/>
  <c r="EE28" i="20"/>
  <c r="DO28" i="20"/>
  <c r="CH28" i="20" l="1"/>
  <c r="CJ28" i="20" s="1"/>
  <c r="CG28" i="20"/>
  <c r="CF28" i="20"/>
  <c r="DC24" i="20" l="1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X5" i="20"/>
  <c r="BB5" i="20"/>
  <c r="BC5" i="20" s="1"/>
  <c r="J6" i="22"/>
  <c r="G6" i="22"/>
  <c r="AY5" i="20" s="1"/>
  <c r="H6" i="22"/>
  <c r="AZ5" i="20" s="1"/>
  <c r="F6" i="22"/>
  <c r="AV11" i="11"/>
  <c r="AU11" i="11"/>
  <c r="AU7" i="11"/>
  <c r="AV7" i="11"/>
  <c r="AW7" i="11"/>
  <c r="V16" i="20" l="1"/>
  <c r="CE28" i="20" s="1"/>
  <c r="CB24" i="20" l="1"/>
  <c r="CC24" i="20"/>
  <c r="CD24" i="20"/>
  <c r="AO7" i="11"/>
  <c r="AL11" i="11"/>
  <c r="AL7" i="11"/>
  <c r="AM7" i="11"/>
  <c r="AN7" i="11"/>
  <c r="BA11" i="11"/>
  <c r="AG7" i="11"/>
  <c r="AH7" i="11"/>
  <c r="AI7" i="11"/>
  <c r="AN11" i="11" l="1"/>
  <c r="CA28" i="20" s="1"/>
  <c r="AW11" i="11"/>
  <c r="AM11" i="11"/>
  <c r="CI28" i="20" l="1"/>
  <c r="I6" i="22"/>
  <c r="BA5" i="20" s="1"/>
  <c r="CB28" i="20"/>
  <c r="AT11" i="11"/>
  <c r="AO11" i="11"/>
  <c r="CD28" i="20" s="1"/>
  <c r="AO28" i="20" s="1"/>
  <c r="X7" i="24"/>
  <c r="F5" i="25"/>
  <c r="D28" i="20" l="1"/>
  <c r="AK28" i="20"/>
  <c r="AJ28" i="20"/>
  <c r="AL28" i="20"/>
  <c r="M28" i="20"/>
  <c r="K28" i="20"/>
  <c r="L28" i="20"/>
  <c r="N7" i="24"/>
  <c r="K7" i="24"/>
  <c r="C2" i="14" l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B4" i="24" l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Q7" i="24" l="1"/>
  <c r="H7" i="24"/>
  <c r="G7" i="24"/>
  <c r="J7" i="24" s="1"/>
  <c r="F7" i="24"/>
  <c r="E7" i="24"/>
  <c r="D7" i="24"/>
  <c r="M7" i="24" s="1"/>
  <c r="C7" i="24"/>
  <c r="V7" i="24" l="1"/>
  <c r="P7" i="24"/>
  <c r="W7" i="24" s="1"/>
  <c r="H5" i="25" s="1"/>
  <c r="R7" i="24"/>
  <c r="L7" i="24"/>
  <c r="O7" i="24" s="1"/>
  <c r="U7" i="24" l="1"/>
  <c r="E5" i="25" s="1"/>
  <c r="S7" i="24"/>
  <c r="C5" i="25" s="1"/>
  <c r="T7" i="24"/>
  <c r="D5" i="25" s="1"/>
  <c r="AB28" i="20" l="1"/>
  <c r="Q28" i="20" l="1"/>
  <c r="X28" i="20"/>
  <c r="B7" i="11" l="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K7" i="11"/>
  <c r="AP7" i="11"/>
  <c r="AQ7" i="11"/>
  <c r="AR7" i="11"/>
  <c r="AS7" i="11"/>
  <c r="AT7" i="11"/>
  <c r="AX7" i="11"/>
  <c r="AY7" i="11"/>
  <c r="AZ7" i="11"/>
  <c r="BF7" i="11"/>
  <c r="A7" i="11"/>
  <c r="AK11" i="11"/>
  <c r="AP11" i="11" l="1"/>
  <c r="AQ11" i="11"/>
  <c r="Y28" i="20" s="1"/>
  <c r="D1" i="20"/>
  <c r="E6" i="22"/>
  <c r="AW5" i="20" s="1"/>
  <c r="D6" i="22"/>
  <c r="AV5" i="20" s="1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O28" i="20" l="1"/>
  <c r="FE24" i="20"/>
  <c r="FF24" i="20"/>
  <c r="FG24" i="20"/>
  <c r="FH24" i="20"/>
  <c r="FI24" i="20"/>
  <c r="FJ24" i="20"/>
  <c r="FL24" i="20"/>
  <c r="FM24" i="20"/>
  <c r="B24" i="20"/>
  <c r="C24" i="20"/>
  <c r="D24" i="20"/>
  <c r="E24" i="20"/>
  <c r="F24" i="20"/>
  <c r="G24" i="20"/>
  <c r="H24" i="20"/>
  <c r="I24" i="20"/>
  <c r="K24" i="20"/>
  <c r="L24" i="20"/>
  <c r="M24" i="20"/>
  <c r="N24" i="20"/>
  <c r="O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E24" i="20"/>
  <c r="AH24" i="20"/>
  <c r="AI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I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U24" i="20"/>
  <c r="EV24" i="20"/>
  <c r="EW24" i="20"/>
  <c r="EX24" i="20"/>
  <c r="EY24" i="20"/>
  <c r="EZ24" i="20"/>
  <c r="FB24" i="20"/>
  <c r="FC24" i="20"/>
  <c r="FD24" i="20"/>
  <c r="A24" i="20"/>
  <c r="B1" i="18" l="1"/>
  <c r="AS11" i="11" l="1"/>
  <c r="AQ28" i="20" l="1"/>
  <c r="AW28" i="20"/>
  <c r="DG26" i="20"/>
  <c r="DK26" i="20"/>
  <c r="DO26" i="20"/>
  <c r="CK28" i="20"/>
  <c r="CR28" i="20"/>
  <c r="DK28" i="20"/>
  <c r="EJ28" i="20"/>
  <c r="H14" i="20" l="1"/>
  <c r="DE26" i="20"/>
  <c r="H1" i="20"/>
  <c r="G1" i="20"/>
  <c r="F1" i="20"/>
  <c r="CC28" i="20"/>
  <c r="U28" i="20" l="1"/>
  <c r="S28" i="20"/>
  <c r="DE28" i="20" s="1"/>
  <c r="R28" i="20"/>
  <c r="EA28" i="20" s="1"/>
  <c r="CU28" i="20"/>
  <c r="AM28" i="20"/>
  <c r="E28" i="20"/>
  <c r="G28" i="20"/>
  <c r="T28" i="20"/>
  <c r="F28" i="20"/>
  <c r="CL28" i="20" s="1"/>
  <c r="CM28" i="20" s="1"/>
  <c r="AD28" i="20" l="1"/>
  <c r="DW28" i="20"/>
  <c r="V28" i="20"/>
  <c r="DY28" i="20" s="1"/>
  <c r="W28" i="20"/>
  <c r="AN28" i="20"/>
  <c r="AR28" i="20"/>
  <c r="AS28" i="20"/>
  <c r="AT28" i="20"/>
  <c r="AU28" i="20"/>
  <c r="EC28" i="20"/>
  <c r="BU28" i="20"/>
  <c r="BW28" i="20"/>
  <c r="BV28" i="20"/>
  <c r="BC28" i="20"/>
  <c r="BP28" i="20" s="1"/>
  <c r="BN28" i="20"/>
  <c r="BO28" i="20"/>
  <c r="BD28" i="20"/>
  <c r="BK28" i="20" l="1"/>
  <c r="BG28" i="20"/>
  <c r="BH28" i="20"/>
  <c r="B4" i="21" l="1"/>
  <c r="B1" i="21"/>
  <c r="AY11" i="11" l="1"/>
  <c r="AZ11" i="11" s="1"/>
  <c r="AX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CO28" i="20"/>
  <c r="DQ28" i="20" s="1"/>
  <c r="CP28" i="20"/>
  <c r="CQ28" i="20" s="1"/>
  <c r="CS28" i="20"/>
  <c r="CT28" i="20" l="1"/>
  <c r="CN28" i="20"/>
  <c r="AG28" i="20"/>
  <c r="AH28" i="20" l="1"/>
  <c r="AF28" i="20"/>
  <c r="AE28" i="20" s="1"/>
  <c r="BT28" i="20"/>
  <c r="BY28" i="20"/>
  <c r="J28" i="20" l="1"/>
  <c r="AX28" i="20"/>
  <c r="V5" i="20"/>
  <c r="DI26" i="20" s="1"/>
  <c r="BZ28" i="20"/>
  <c r="BE28" i="20"/>
  <c r="BF28" i="20" s="1"/>
  <c r="BI28" i="20" s="1"/>
  <c r="BX28" i="20"/>
  <c r="BB28" i="20"/>
  <c r="BJ28" i="20"/>
  <c r="BA28" i="20"/>
  <c r="BQ28" i="20"/>
  <c r="BR28" i="20"/>
  <c r="FM28" i="20" l="1"/>
  <c r="BM28" i="20"/>
  <c r="BS28" i="20" s="1"/>
  <c r="FC28" i="20" s="1"/>
  <c r="V6" i="20"/>
  <c r="V15" i="20" s="1"/>
  <c r="AV28" i="20"/>
  <c r="I28" i="20"/>
  <c r="FE28" i="20" s="1"/>
  <c r="FH28" i="20" s="1"/>
  <c r="AI28" i="20"/>
  <c r="FG28" i="20" l="1"/>
  <c r="DM26" i="20"/>
  <c r="DQ26" i="20"/>
  <c r="V7" i="20"/>
  <c r="E1" i="20"/>
  <c r="AP28" i="20"/>
  <c r="H28" i="20"/>
  <c r="EU28" i="20" s="1"/>
  <c r="FF28" i="20"/>
  <c r="FN28" i="20"/>
  <c r="EI28" i="20" l="1"/>
  <c r="N28" i="20"/>
  <c r="EW28" i="20"/>
  <c r="EX28" i="20"/>
  <c r="DG28" i="20"/>
  <c r="DI28" i="20" s="1"/>
  <c r="DM28" i="20" l="1"/>
  <c r="DS28" i="20"/>
  <c r="FD28" i="20"/>
  <c r="EV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charset val="1"/>
          </rPr>
          <t>Имя или позиция устройства</t>
        </r>
      </text>
    </comment>
    <comment ref="Q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T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X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Y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Z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AA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B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C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M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R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S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T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V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C27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D27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F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H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A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B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C27" authorId="0" shapeId="0" xr:uid="{3863E70B-D5F9-455C-B6C9-2E603AF06E69}">
      <text>
        <r>
          <rPr>
            <b/>
            <sz val="9"/>
            <color indexed="81"/>
            <rFont val="Tahoma"/>
            <charset val="1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D27" authorId="0" shapeId="0" xr:uid="{D9BF2E25-38AA-4177-B50C-259BC4C29CCB}">
      <text>
        <r>
          <rPr>
            <b/>
            <sz val="9"/>
            <color indexed="81"/>
            <rFont val="Tahoma"/>
            <charset val="1"/>
          </rPr>
          <t>Данная группа относится к щитам управления входящим в ГУ. 1 относится, 0 нет</t>
        </r>
      </text>
    </comment>
    <comment ref="CI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CJ27" authorId="0" shapeId="0" xr:uid="{0D8FF019-79EE-4433-A2EA-B3FDE0D496AE}">
      <text>
        <r>
          <rPr>
            <b/>
            <sz val="9"/>
            <color indexed="81"/>
            <rFont val="Tahoma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CV27" authorId="0" shapeId="0" xr:uid="{283AE732-E604-4415-8076-F2A8F5499270}">
      <text>
        <r>
          <rPr>
            <b/>
            <sz val="9"/>
            <color indexed="81"/>
            <rFont val="Tahoma"/>
            <charset val="1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<sst xmlns="http://schemas.openxmlformats.org/spreadsheetml/2006/main" count="881" uniqueCount="463">
  <si>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</si>
  <si>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</si>
  <si>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</si>
  <si>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</si>
  <si>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</si>
  <si>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</si>
  <si>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</si>
  <si>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</si>
  <si>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</si>
  <si>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</si>
  <si>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</si>
  <si>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</si>
  <si>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</si>
  <si>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</si>
  <si>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</si>
  <si>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</si>
  <si>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</si>
  <si>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</si>
  <si>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</si>
  <si>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</si>
  <si>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</si>
  <si>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</si>
  <si>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</si>
  <si>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</si>
  <si>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</si>
  <si>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</si>
  <si>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</si>
  <si>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</si>
  <si>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</si>
  <si>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</si>
  <si>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</si>
  <si>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</si>
  <si>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</si>
  <si>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</si>
  <si>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</si>
  <si>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</si>
  <si>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</si>
  <si>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</si>
  <si>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</si>
  <si>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</si>
  <si>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</si>
  <si>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</si>
  <si>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</si>
  <si>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</si>
  <si>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</si>
  <si>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</si>
  <si>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</si>
  <si>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</si>
  <si>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</si>
  <si>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</si>
  <si>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</si>
  <si>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</si>
  <si>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</si>
  <si>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</si>
  <si>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</si>
  <si>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</si>
  <si>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</si>
  <si>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</si>
  <si>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</si>
  <si>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</si>
  <si>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</si>
  <si>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</si>
  <si>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</si>
  <si>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</si>
  <si>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</si>
  <si>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</si>
  <si>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</si>
  <si>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</si>
  <si>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</si>
  <si>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</si>
  <si>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</si>
  <si>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</si>
  <si>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</si>
  <si>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</si>
  <si>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</si>
  <si>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</si>
  <si>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</si>
  <si>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</si>
  <si>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</si>
  <si>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</si>
  <si>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</si>
  <si>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</si>
  <si>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</si>
  <si>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</si>
  <si>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</si>
  <si>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</si>
  <si>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</si>
  <si>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</si>
  <si>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</si>
  <si>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</si>
  <si>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</si>
  <si>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</si>
  <si>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</si>
  <si>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</si>
  <si>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</si>
  <si>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</si>
  <si>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</si>
  <si>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</si>
  <si>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</si>
  <si>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</si>
  <si>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</si>
  <si>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</si>
  <si>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</si>
  <si>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</si>
  <si>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</si>
  <si>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</si>
  <si>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</si>
  <si>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</si>
  <si>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</si>
  <si>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</si>
  <si>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</si>
  <si>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</si>
  <si>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</si>
  <si>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</si>
  <si>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</si>
  <si>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</si>
  <si>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</si>
  <si>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</si>
  <si>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</si>
  <si>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</si>
  <si>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</si>
  <si>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</si>
  <si>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</si>
  <si>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</si>
  <si>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</si>
  <si>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</si>
  <si>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</si>
  <si>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</si>
  <si>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</si>
  <si>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</si>
  <si>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</si>
  <si>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</si>
  <si>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</si>
  <si>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</si>
  <si>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</si>
  <si>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</si>
  <si>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</si>
  <si>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</si>
  <si>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</si>
  <si>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</si>
  <si>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</si>
  <si>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</si>
  <si>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</si>
  <si>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</si>
  <si>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</si>
  <si>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</si>
  <si>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</si>
  <si>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</si>
  <si>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</si>
  <si>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</si>
  <si>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</si>
  <si>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</si>
  <si>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</si>
  <si>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</si>
  <si>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</si>
  <si>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</si>
  <si>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</si>
  <si>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</si>
  <si>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</si>
  <si>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</si>
  <si>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</si>
  <si>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</si>
  <si>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</si>
  <si>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</si>
  <si>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</si>
  <si>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</si>
  <si>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</si>
  <si>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</si>
  <si>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</si>
  <si>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</si>
  <si>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</si>
  <si>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</si>
  <si>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</si>
  <si>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</si>
  <si>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</si>
  <si>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</si>
  <si>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</si>
  <si>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</si>
  <si>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</si>
  <si>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</si>
  <si>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</si>
  <si>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</si>
  <si>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</si>
  <si>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</si>
  <si>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</si>
  <si>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</si>
  <si>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</si>
  <si>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</si>
  <si>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</si>
  <si>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</si>
  <si>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</si>
  <si>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</si>
  <si>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</si>
  <si>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</si>
  <si>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</si>
  <si>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</si>
  <si>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</si>
  <si>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</si>
  <si>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</si>
  <si>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</si>
  <si>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</si>
  <si>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</si>
  <si>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</si>
  <si>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</si>
  <si>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</si>
  <si>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</si>
  <si>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</si>
  <si>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</si>
  <si>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</si>
  <si>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</si>
  <si>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</si>
  <si>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</si>
  <si>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</si>
  <si>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</si>
  <si>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</si>
  <si>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</si>
  <si>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</si>
  <si>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</si>
  <si>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</si>
  <si>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</si>
  <si>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</si>
  <si>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</si>
  <si>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</si>
  <si>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</si>
  <si>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</si>
  <si>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</si>
  <si>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</si>
  <si>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</si>
  <si>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</si>
  <si>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</si>
  <si>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</si>
  <si>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</si>
  <si>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</si>
  <si>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</si>
  <si>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</si>
  <si>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</si>
  <si>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</si>
  <si>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</si>
  <si>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</si>
  <si>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</si>
  <si>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</si>
  <si>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</si>
  <si>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</si>
  <si>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</si>
  <si>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</si>
  <si>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</si>
  <si>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</si>
  <si>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</si>
  <si>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</si>
  <si>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</si>
  <si>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</si>
  <si>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</si>
  <si>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</si>
  <si>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</si>
  <si>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</si>
  <si>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</si>
  <si>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</si>
  <si>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</si>
  <si>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</si>
  <si>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</si>
  <si>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</si>
  <si>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</si>
  <si>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</si>
  <si>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</si>
  <si>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</si>
  <si>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</si>
  <si>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</si>
  <si>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</si>
  <si>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</si>
  <si>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</si>
  <si>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</si>
  <si>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</si>
  <si>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</si>
  <si>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</si>
  <si>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</si>
  <si>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</si>
  <si>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</si>
  <si>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</si>
  <si>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</si>
  <si>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</si>
  <si>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</si>
  <si>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</si>
  <si>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</si>
  <si>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</si>
  <si>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</si>
  <si>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</si>
  <si>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</si>
  <si>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</si>
  <si>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</si>
  <si>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</si>
  <si>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</si>
  <si>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</si>
  <si>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</si>
  <si>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</si>
  <si>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</si>
  <si>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</si>
  <si>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</si>
  <si>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</si>
  <si>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</si>
  <si>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</si>
  <si>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</si>
  <si>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</si>
  <si>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</si>
  <si>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</si>
  <si>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</si>
  <si>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</si>
  <si>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</si>
  <si>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</si>
  <si>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</si>
  <si>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</si>
  <si>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</si>
  <si>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</si>
  <si>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</si>
  <si>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</si>
  <si>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</si>
  <si>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</si>
  <si>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</si>
  <si>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</si>
  <si>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</si>
  <si>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</si>
  <si>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</si>
  <si>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</si>
  <si>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</si>
  <si>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</si>
  <si>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</si>
  <si>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</si>
  <si>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</si>
  <si>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</si>
  <si>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</si>
  <si>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</si>
  <si>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</si>
  <si>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</si>
  <si>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</si>
  <si>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</si>
  <si>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</si>
  <si>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</si>
  <si>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</si>
  <si>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</si>
  <si>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</si>
  <si>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</si>
  <si>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</si>
  <si>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</si>
  <si>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</si>
  <si>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</si>
  <si>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</si>
  <si>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</si>
  <si>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</si>
  <si>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</si>
  <si>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</si>
  <si>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</si>
  <si>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</si>
  <si>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</si>
  <si>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ЕСЛИ(AK24="";"";СУММЕСЛИМН('&lt;zallcab&gt;EXPORT'!$M$6:$M$700000;'&lt;zallcab&gt;EXPORT'!$E$6:$E$700000;AK24))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</si>
  <si>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</si>
  <si>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</si>
  <si>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</si>
  <si>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</si>
  <si>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</si>
  <si>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</si>
  <si>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</si>
  <si>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</si>
  <si>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</si>
  <si>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</si>
  <si>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</si>
  <si>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</si>
  <si>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</si>
  <si>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</si>
  <si>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</si>
  <si>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</si>
  <si>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</si>
  <si>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</si>
  <si>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</si>
  <si>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</si>
  <si>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</si>
  <si>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</si>
  <si>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</si>
  <si>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</si>
  <si>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</si>
  <si>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</si>
  <si>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</si>
  <si>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</si>
  <si>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</si>
  <si>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</si>
  <si>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</si>
  <si>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</si>
  <si>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</si>
  <si>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2 х ВВГнг(А)-LS-5х120мм²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</si>
  <si>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</si>
  <si>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</si>
  <si>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</si>
  <si>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</si>
  <si>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ЕСЛИ(AK24="";"";ИНДЕКС('&lt;zallcab&gt;CALC'!$X$7:$X$700000;ПОИСКПОЗ(AK24;'&lt;zallcab&gt;CALC'!$D$7:$D$700000;0)))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</si>
  <si>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</si>
  <si>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</si>
  <si>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</si>
  <si>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</si>
  <si>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</si>
  <si>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</si>
  <si>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</si>
  <si>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</si>
  <si>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</si>
  <si>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</si>
  <si>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</si>
  <si>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</si>
  <si>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</si>
  <si>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</si>
  <si>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</si>
  <si>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</si>
  <si>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</si>
  <si>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&lt;zcopyrow targetsheet=[&lt;zalldev&gt;EXPORT] targetcodename=[zalldevimport] keynumcol=[45]&gt;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</si>
  <si>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</si>
  <si>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</si>
  <si>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</si>
  <si>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</si>
  <si>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</si>
  <si>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</si>
  <si>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</si>
  <si>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</si>
  <si>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</si>
  <si>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</si>
  <si>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</si>
  <si>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</si>
  <si>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</si>
  <si>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</si>
  <si>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</si>
  <si>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</si>
  <si>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</si>
  <si>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</si>
  <si>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</si>
  <si>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</si>
  <si>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</si>
  <si>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</si>
  <si>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</si>
  <si>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</si>
  <si>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</si>
  <si>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&lt;zcopyrow targetsheet=[&lt;zalldev&gt;EXPORT] targetcodename=[zalldevimport] keynumcol=[46]&gt;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</si>
  <si>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</si>
  <si>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</si>
  <si>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</si>
  <si>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</si>
  <si>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</si>
  <si>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</si>
  <si>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</si>
  <si>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</si>
  <si>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</si>
  <si>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</si>
  <si>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</si>
  <si>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</si>
  <si>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Я УУ 0ур подомной есть УУ 1ур</t>
  </si>
  <si>
    <t>Сколько групп объеден. автомат. 1-го уровня</t>
  </si>
  <si>
    <t>Указание для схемы какое значение принять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</si>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</sst>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i/>
      <sz val="8"/>
      <name val="Arial"/>
    </font>
    <font>
      <b/>
      <sz val="11"/>
      <name val="Calibri"/>
      <family val="2"/>
      <charset val="204"/>
      <scheme val="minor"/>
    </font>
    <font>
      <b/>
      <sz val="8"/>
      <name val="Arial"/>
    </font>
    <font>
      <sz val="9"/>
      <color rgb="FF000000"/>
      <name val="Arial"/>
      <charset val="1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0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2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3" xfId="2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/>
      <protection hidden="1"/>
    </xf>
    <xf numFmtId="0" fontId="3" fillId="7" borderId="44" xfId="1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44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0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53" xfId="0" applyFill="1" applyBorder="1" applyAlignment="1">
      <alignment horizontal="left" vertical="center"/>
    </xf>
    <xf numFmtId="0" fontId="0" fillId="22" borderId="53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8" borderId="0" xfId="0" applyFill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/>
    <xf numFmtId="0" fontId="0" fillId="19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53" xfId="0" applyFill="1" applyBorder="1" applyAlignment="1">
      <alignment horizontal="center" vertical="center" wrapText="1"/>
    </xf>
    <xf numFmtId="0" fontId="0" fillId="25" borderId="53" xfId="0" applyFill="1" applyBorder="1" applyAlignment="1">
      <alignment horizontal="center" vertical="center" wrapText="1"/>
    </xf>
    <xf numFmtId="0" fontId="3" fillId="4" borderId="50" xfId="1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19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0" fillId="30" borderId="53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53" xfId="0" applyFill="1" applyBorder="1" applyAlignment="1">
      <alignment horizontal="center" vertical="center" wrapText="1"/>
    </xf>
    <xf numFmtId="0" fontId="22" fillId="33" borderId="53" xfId="0" applyFont="1" applyFill="1" applyBorder="1" applyAlignment="1" applyProtection="1">
      <alignment horizontal="center" vertical="center" wrapText="1"/>
      <protection hidden="1"/>
    </xf>
    <xf numFmtId="0" fontId="23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0" fillId="4" borderId="0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53" xfId="0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14" fillId="33" borderId="53" xfId="0" applyFont="1" applyFill="1" applyBorder="1" applyAlignment="1" applyProtection="1">
      <alignment horizontal="center" vertical="center" wrapText="1"/>
      <protection hidden="1"/>
    </xf>
    <xf numFmtId="0" fontId="19" fillId="36" borderId="39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3" fillId="7" borderId="27" xfId="0" applyFont="1" applyFill="1" applyBorder="1" applyAlignment="1" applyProtection="1">
      <alignment horizontal="center" vertical="center" textRotation="90" wrapText="1"/>
      <protection hidden="1"/>
    </xf>
    <xf numFmtId="0" fontId="27" fillId="37" borderId="5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0" fillId="38" borderId="0" xfId="0" applyFill="1"/>
    <xf numFmtId="0" fontId="0" fillId="39" borderId="1" xfId="0" applyFill="1" applyBorder="1" applyAlignment="1">
      <alignment horizontal="center" vertical="center"/>
    </xf>
    <xf numFmtId="0" fontId="0" fillId="39" borderId="0" xfId="0" applyFill="1"/>
    <xf numFmtId="0" fontId="14" fillId="40" borderId="53" xfId="0" applyFont="1" applyFill="1" applyBorder="1" applyAlignment="1" applyProtection="1">
      <alignment horizontal="center" vertical="center" wrapText="1"/>
      <protection hidden="1"/>
    </xf>
    <xf numFmtId="0" fontId="20" fillId="39" borderId="39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/>
    <xf numFmtId="0" fontId="0" fillId="41" borderId="0" xfId="0" applyFill="1" applyAlignment="1">
      <alignment horizontal="right" vertical="center"/>
    </xf>
    <xf numFmtId="0" fontId="9" fillId="39" borderId="0" xfId="0" applyFont="1" applyFill="1"/>
    <xf numFmtId="0" fontId="0" fillId="42" borderId="0" xfId="0" applyFill="1"/>
    <xf numFmtId="0" fontId="0" fillId="42" borderId="0" xfId="0" applyFill="1" applyAlignment="1">
      <alignment horizontal="right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0" xfId="0" applyFill="1"/>
    <xf numFmtId="0" fontId="30" fillId="22" borderId="58" xfId="0" applyFont="1" applyFill="1" applyBorder="1" applyAlignment="1">
      <alignment horizontal="center" vertical="center" wrapText="1"/>
    </xf>
    <xf numFmtId="0" fontId="0" fillId="43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5" borderId="0" xfId="0" applyFill="1" applyAlignment="1">
      <alignment horizontal="center" vertical="center"/>
    </xf>
    <xf numFmtId="0" fontId="0" fillId="45" borderId="0" xfId="0" applyFill="1"/>
    <xf numFmtId="0" fontId="14" fillId="40" borderId="53" xfId="0" applyFont="1" applyFill="1" applyBorder="1" applyAlignment="1" applyProtection="1">
      <alignment horizontal="center" wrapText="1"/>
      <protection hidden="1"/>
    </xf>
    <xf numFmtId="0" fontId="20" fillId="39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9" fillId="44" borderId="7" xfId="0" applyFont="1" applyFill="1" applyBorder="1" applyAlignment="1">
      <alignment horizontal="center" vertical="center"/>
    </xf>
    <xf numFmtId="0" fontId="29" fillId="44" borderId="44" xfId="0" applyFont="1" applyFill="1" applyBorder="1" applyAlignment="1">
      <alignment horizontal="center" vertical="center"/>
    </xf>
    <xf numFmtId="0" fontId="29" fillId="44" borderId="5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5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39" borderId="38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24" fillId="34" borderId="54" xfId="0" applyFont="1" applyFill="1" applyBorder="1" applyAlignment="1" applyProtection="1">
      <alignment horizontal="center" vertical="center" wrapText="1"/>
      <protection hidden="1"/>
    </xf>
    <xf numFmtId="0" fontId="24" fillId="34" borderId="55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2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4" fillId="27" borderId="53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6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0" fillId="43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22" fillId="40" borderId="53" xfId="0" applyFont="1" applyFill="1" applyBorder="1" applyAlignment="1" applyProtection="1">
      <alignment horizontal="center" vertical="center" wrapText="1"/>
      <protection hidden="1"/>
    </xf>
    <xf numFmtId="0" fontId="15" fillId="39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A34" workbookViewId="0">
      <selection activeCell="G56" sqref="G5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77" t="s">
        <v>4</v>
      </c>
      <c r="B3" s="178"/>
      <c r="C3" s="179"/>
      <c r="F3" s="174" t="s">
        <v>19</v>
      </c>
      <c r="G3" s="175"/>
      <c r="H3" s="176"/>
      <c r="K3" s="182" t="s">
        <v>74</v>
      </c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183"/>
      <c r="BW3" s="183"/>
      <c r="BX3" s="183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180" t="s">
        <v>3</v>
      </c>
      <c r="B9" s="181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174" t="s">
        <v>72</v>
      </c>
      <c r="G42" s="175"/>
      <c r="H42" s="176"/>
    </row>
    <row r="43" spans="6:76" ht="31.5" x14ac:dyDescent="0.25">
      <c r="F43" s="36" t="s">
        <v>20</v>
      </c>
      <c r="G43" s="37" t="s">
        <v>21</v>
      </c>
      <c r="H43" s="38" t="s">
        <v>22</v>
      </c>
    </row>
    <row r="44" spans="6:76" x14ac:dyDescent="0.25">
      <c r="F44" s="27">
        <v>125</v>
      </c>
      <c r="G44" s="28"/>
      <c r="H44" s="29"/>
    </row>
    <row r="45" spans="6:76" x14ac:dyDescent="0.25">
      <c r="F45" s="27">
        <v>100</v>
      </c>
      <c r="G45" s="28"/>
      <c r="H45" s="29"/>
    </row>
    <row r="46" spans="6:76" x14ac:dyDescent="0.25">
      <c r="F46" s="27">
        <v>63</v>
      </c>
      <c r="G46" s="28"/>
      <c r="H46" s="29"/>
    </row>
    <row r="47" spans="6:76" x14ac:dyDescent="0.25">
      <c r="F47" s="27">
        <v>40</v>
      </c>
      <c r="G47" s="28"/>
      <c r="H47" s="29"/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174" t="s">
        <v>437</v>
      </c>
      <c r="D56" s="175"/>
      <c r="E56" s="176"/>
    </row>
  </sheetData>
  <mergeCells count="6">
    <mergeCell ref="K3:BX3"/>
    <mergeCell ref="C56:E56"/>
    <mergeCell ref="A3:C3"/>
    <mergeCell ref="F3:H3"/>
    <mergeCell ref="A9:B9"/>
    <mergeCell ref="F42:H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F35" sqref="F35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340</v>
      </c>
    </row>
    <row r="2" spans="1:2" x14ac:dyDescent="0.25">
      <c r="A2" t="s">
        <v>174</v>
      </c>
      <c r="B2" t="s">
        <v>387</v>
      </c>
    </row>
    <row r="3" spans="1:2" x14ac:dyDescent="0.25">
      <c r="A3" t="s">
        <v>173</v>
      </c>
      <c r="B3" t="s">
        <v>356</v>
      </c>
    </row>
    <row r="4" spans="1:2" x14ac:dyDescent="0.25">
      <c r="A4" t="s">
        <v>174</v>
      </c>
      <c r="B4" t="s">
        <v>387</v>
      </c>
    </row>
    <row r="5" spans="1:2" x14ac:dyDescent="0.25">
      <c r="A5" t="s">
        <v>173</v>
      </c>
      <c r="B5" t="s">
        <v>357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04">
        <f t="shared" si="0"/>
        <v>17</v>
      </c>
    </row>
    <row r="3" spans="1:19" ht="90" x14ac:dyDescent="0.25">
      <c r="C3" s="85"/>
      <c r="D3" s="193" t="s">
        <v>341</v>
      </c>
      <c r="E3" s="193"/>
      <c r="F3" s="193"/>
      <c r="G3" s="193" t="s">
        <v>342</v>
      </c>
      <c r="H3" s="193"/>
      <c r="I3" s="193"/>
      <c r="J3" s="95" t="s">
        <v>345</v>
      </c>
      <c r="K3" s="95" t="s">
        <v>343</v>
      </c>
      <c r="L3" s="193" t="s">
        <v>344</v>
      </c>
      <c r="M3" s="193"/>
      <c r="N3" s="193"/>
      <c r="O3" s="194" t="s">
        <v>353</v>
      </c>
      <c r="P3" s="194"/>
      <c r="Q3" s="194"/>
      <c r="R3" s="105" t="s">
        <v>354</v>
      </c>
    </row>
    <row r="4" spans="1:19" x14ac:dyDescent="0.25">
      <c r="C4" s="85"/>
      <c r="D4" s="51" t="s">
        <v>167</v>
      </c>
      <c r="E4" s="52" t="s">
        <v>165</v>
      </c>
      <c r="F4" s="53" t="s">
        <v>166</v>
      </c>
      <c r="G4" s="51" t="s">
        <v>167</v>
      </c>
      <c r="H4" s="52" t="s">
        <v>165</v>
      </c>
      <c r="I4" s="53" t="s">
        <v>166</v>
      </c>
      <c r="J4" s="52" t="s">
        <v>165</v>
      </c>
      <c r="K4" s="52" t="s">
        <v>165</v>
      </c>
      <c r="L4" s="51" t="s">
        <v>167</v>
      </c>
      <c r="M4" s="52" t="s">
        <v>165</v>
      </c>
      <c r="N4" s="53" t="s">
        <v>166</v>
      </c>
      <c r="O4" s="98" t="s">
        <v>167</v>
      </c>
      <c r="P4" s="99" t="s">
        <v>165</v>
      </c>
      <c r="Q4" s="100" t="s">
        <v>166</v>
      </c>
      <c r="R4" s="105"/>
    </row>
    <row r="5" spans="1:19" ht="45" x14ac:dyDescent="0.25">
      <c r="C5" s="9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98"/>
      <c r="P5" s="99"/>
      <c r="Q5" s="100"/>
      <c r="R5" s="105"/>
    </row>
    <row r="6" spans="1:19" x14ac:dyDescent="0.25">
      <c r="C6" s="82" t="s">
        <v>145</v>
      </c>
      <c r="D6" s="54" t="s">
        <v>348</v>
      </c>
      <c r="E6" s="52"/>
      <c r="F6" s="53"/>
      <c r="G6" s="54" t="s">
        <v>349</v>
      </c>
      <c r="H6" s="52"/>
      <c r="I6" s="53"/>
      <c r="J6" s="52" t="s">
        <v>346</v>
      </c>
      <c r="K6" s="52" t="s">
        <v>347</v>
      </c>
      <c r="L6" s="54" t="s">
        <v>350</v>
      </c>
      <c r="M6" s="52"/>
      <c r="N6" s="53"/>
      <c r="O6" s="54" t="s">
        <v>355</v>
      </c>
      <c r="P6" s="52"/>
      <c r="Q6" s="53"/>
      <c r="R6" s="105">
        <v>1</v>
      </c>
      <c r="S6" t="s">
        <v>146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Y7"/>
  <sheetViews>
    <sheetView workbookViewId="0">
      <selection activeCell="X7" sqref="X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5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04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</row>
    <row r="5" spans="1:25" ht="150" x14ac:dyDescent="0.25">
      <c r="D5" s="97" t="s">
        <v>341</v>
      </c>
      <c r="E5" s="97" t="s">
        <v>342</v>
      </c>
      <c r="F5" s="97" t="s">
        <v>343</v>
      </c>
      <c r="G5" s="97" t="s">
        <v>353</v>
      </c>
      <c r="H5" s="97" t="s">
        <v>344</v>
      </c>
      <c r="I5" s="97" t="s">
        <v>358</v>
      </c>
      <c r="J5" s="97" t="s">
        <v>359</v>
      </c>
      <c r="K5" s="97" t="s">
        <v>360</v>
      </c>
      <c r="L5" s="97" t="s">
        <v>361</v>
      </c>
      <c r="M5" s="97" t="s">
        <v>362</v>
      </c>
      <c r="N5" s="97" t="s">
        <v>363</v>
      </c>
      <c r="O5" s="97" t="s">
        <v>364</v>
      </c>
      <c r="P5" s="97" t="s">
        <v>365</v>
      </c>
      <c r="Q5" s="103" t="s">
        <v>366</v>
      </c>
      <c r="R5" s="97" t="s">
        <v>367</v>
      </c>
      <c r="S5" s="97" t="s">
        <v>368</v>
      </c>
      <c r="T5" s="97" t="s">
        <v>369</v>
      </c>
      <c r="U5" s="97" t="s">
        <v>370</v>
      </c>
      <c r="V5" s="97" t="s">
        <v>353</v>
      </c>
      <c r="W5" s="97" t="s">
        <v>371</v>
      </c>
      <c r="X5" s="106" t="s">
        <v>390</v>
      </c>
    </row>
    <row r="6" spans="1:25" ht="60" x14ac:dyDescent="0.25">
      <c r="B6" s="101" t="s">
        <v>2</v>
      </c>
      <c r="C6" s="101"/>
      <c r="Q6" s="102"/>
      <c r="X6" s="107"/>
    </row>
    <row r="7" spans="1:25" x14ac:dyDescent="0.25">
      <c r="B7" t="s">
        <v>389</v>
      </c>
      <c r="C7" t="str">
        <f>IF(COUNTIF($B$7:B7,B7)=1,"&lt;zzzimport&gt;",1)</f>
        <v>&lt;zzzimport&gt;</v>
      </c>
      <c r="D7" s="1">
        <f>'&lt;zallcab&gt;EXPORT'!E6</f>
        <v>0</v>
      </c>
      <c r="E7" s="1">
        <f>'&lt;zallcab&gt;EXPORT'!H6</f>
        <v>0</v>
      </c>
      <c r="F7" s="1" t="str">
        <f>'&lt;zallcab&gt;EXPORT'!K6</f>
        <v>&lt;zcabdevfinish&gt;</v>
      </c>
      <c r="G7" s="1">
        <f>'&lt;zallcab&gt;EXPORT'!P6</f>
        <v>0</v>
      </c>
      <c r="H7" s="1">
        <f>'&lt;zallcab&gt;EXPORT'!M6</f>
        <v>0</v>
      </c>
      <c r="I7" s="1">
        <v>1</v>
      </c>
      <c r="J7" s="1" t="e">
        <f>INDEX(BDzallcab!$C$4:$C$9,MATCH(G7,BDzallcab!$B$4:$B$9))</f>
        <v>#N/A</v>
      </c>
      <c r="K7" s="1">
        <f>SUMIFS(I7:$I$700000,D7:$D$700000,D7,G7:$G$700000,G7)</f>
        <v>1</v>
      </c>
      <c r="L7" s="1">
        <f>MATCH(D7,$D$7:D7,0)</f>
        <v>1</v>
      </c>
      <c r="M7" s="1">
        <f>SUMIFS(I7:$I$700000,D7:$D$700000,D7)</f>
        <v>1</v>
      </c>
      <c r="N7" s="1" t="str">
        <f>INDEX($F$7:$F$700000,L7+M7-1)</f>
        <v>&lt;zcabdevfinish&gt;</v>
      </c>
      <c r="O7" s="1" t="str">
        <f>INDEX($N$7:$N$700000,MATCH(D7,$D$7:D7,0))</f>
        <v>&lt;zcabdevfinish&gt;</v>
      </c>
      <c r="P7" s="1">
        <f>SUMIFS($H$7:H7,$D$7:D7,D7,$G$7:G7,G7)</f>
        <v>0</v>
      </c>
      <c r="Q7" s="104">
        <f t="shared" ref="Q7" si="1">IF(K7=1,1,0)</f>
        <v>1</v>
      </c>
      <c r="R7" s="1">
        <f>IF(SUMIFS($Q$7:Q7,$D$7:D7,D7)=1,1,0)</f>
        <v>1</v>
      </c>
      <c r="S7" s="1">
        <f t="shared" ref="S7" si="2">IF(R7=1,D7," ")</f>
        <v>0</v>
      </c>
      <c r="T7" s="1">
        <f t="shared" ref="T7" si="3">IF(R7=1,E7," ")</f>
        <v>0</v>
      </c>
      <c r="U7" s="1" t="str">
        <f t="shared" ref="U7" si="4">IF(R7=1,O7," ")</f>
        <v>&lt;zcabdevfinish&gt;</v>
      </c>
      <c r="V7" s="1">
        <f>IF(Q7=1,G7," ")</f>
        <v>0</v>
      </c>
      <c r="W7" s="1">
        <f t="shared" ref="W7" si="5">IF(Q7=1,P7," ")</f>
        <v>0</v>
      </c>
      <c r="X7" s="108">
        <f>SUMIFS($H$7:$H$700000,$D$7:$D$700000,D7)</f>
        <v>0</v>
      </c>
      <c r="Y7" t="s">
        <v>193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4:S5"/>
  <sheetViews>
    <sheetView workbookViewId="0">
      <selection activeCell="G5" sqref="G5"/>
    </sheetView>
  </sheetViews>
  <sheetFormatPr defaultRowHeight="15" x14ac:dyDescent="0.25"/>
  <cols>
    <col min="7" max="7" width="20.28515625" customWidth="1"/>
  </cols>
  <sheetData>
    <row r="4" spans="2:19" x14ac:dyDescent="0.25">
      <c r="C4" s="1" t="s">
        <v>384</v>
      </c>
      <c r="D4" s="1" t="s">
        <v>168</v>
      </c>
      <c r="E4" s="1" t="s">
        <v>385</v>
      </c>
      <c r="F4" s="1" t="s">
        <v>353</v>
      </c>
      <c r="G4" s="1"/>
      <c r="H4" s="1" t="s">
        <v>344</v>
      </c>
    </row>
    <row r="5" spans="2:19" x14ac:dyDescent="0.25">
      <c r="B5" t="s">
        <v>388</v>
      </c>
      <c r="C5" s="1">
        <f>'&lt;zallcab&gt;CALC'!S7</f>
        <v>0</v>
      </c>
      <c r="D5" s="1">
        <f>'&lt;zallcab&gt;CALC'!T7</f>
        <v>0</v>
      </c>
      <c r="E5" s="1" t="str">
        <f>'&lt;zallcab&gt;CALC'!U7</f>
        <v>&lt;zcabdevfinish&gt;</v>
      </c>
      <c r="F5" s="1" t="e">
        <f>'&lt;zallcab&gt;CALC'!J7</f>
        <v>#N/A</v>
      </c>
      <c r="G5" s="1" t="s">
        <v>386</v>
      </c>
      <c r="H5" s="1">
        <f>'&lt;zallcab&gt;CALC'!W7</f>
        <v>0</v>
      </c>
      <c r="I5" t="s">
        <v>193</v>
      </c>
      <c r="K5" t="s">
        <v>213</v>
      </c>
      <c r="L5" s="1" t="s">
        <v>212</v>
      </c>
      <c r="M5" s="1">
        <v>60</v>
      </c>
      <c r="N5" s="1">
        <v>0</v>
      </c>
      <c r="O5" s="1">
        <v>1</v>
      </c>
      <c r="P5" s="1">
        <v>1</v>
      </c>
      <c r="S5" t="s">
        <v>195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activeCell="B3" sqref="B3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173</v>
      </c>
      <c r="B2" t="s">
        <v>410</v>
      </c>
    </row>
    <row r="3" spans="1:2" x14ac:dyDescent="0.25">
      <c r="A3" t="s">
        <v>173</v>
      </c>
      <c r="B3" t="s">
        <v>0</v>
      </c>
    </row>
    <row r="4" spans="1:2" x14ac:dyDescent="0.25">
      <c r="A4" t="s">
        <v>175</v>
      </c>
      <c r="B4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324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95" t="s">
        <v>1</v>
      </c>
      <c r="E5" s="95" t="s">
        <v>333</v>
      </c>
      <c r="F5" s="95" t="s">
        <v>168</v>
      </c>
      <c r="G5" s="95" t="s">
        <v>181</v>
      </c>
      <c r="H5" s="95" t="s">
        <v>7</v>
      </c>
      <c r="I5" s="95" t="s">
        <v>411</v>
      </c>
      <c r="J5" s="95" t="s">
        <v>412</v>
      </c>
      <c r="K5" s="95" t="s">
        <v>413</v>
      </c>
      <c r="L5" s="101"/>
      <c r="M5" s="101"/>
    </row>
    <row r="6" spans="1:14" x14ac:dyDescent="0.25">
      <c r="B6" t="s">
        <v>435</v>
      </c>
      <c r="C6" t="s">
        <v>328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'&lt;zalldev&gt;EXPORT'!AW11</f>
        <v>0</v>
      </c>
      <c r="J6" s="52">
        <f>'&lt;zalldev&gt;EXPORT'!AV11</f>
        <v>0</v>
      </c>
      <c r="K6" s="52">
        <v>1</v>
      </c>
      <c r="L6" t="s">
        <v>329</v>
      </c>
      <c r="M6" t="s">
        <v>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GB28"/>
  <sheetViews>
    <sheetView tabSelected="1" workbookViewId="0">
      <selection activeCell="I9" sqref="I9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10" width="29.42578125" customWidth="1"/>
    <col min="11" max="13" width="3.7109375" customWidth="1"/>
    <col min="14" max="14" width="25.7109375" customWidth="1"/>
    <col min="18" max="19" width="10.28515625" bestFit="1" customWidth="1"/>
    <col min="36" max="38" width="5.7109375" customWidth="1"/>
    <col min="44" max="46" width="5.7109375" customWidth="1"/>
    <col min="66" max="69" width="6.7109375" customWidth="1"/>
    <col min="70" max="70" width="12.7109375" customWidth="1"/>
    <col min="71" max="71" width="11.7109375" customWidth="1"/>
    <col min="81" max="81" width="10.28515625" bestFit="1" customWidth="1"/>
    <col min="82" max="86" width="10.28515625" customWidth="1"/>
    <col min="87" max="88" width="12.7109375" customWidth="1"/>
    <col min="90" max="90" width="12.85546875" customWidth="1"/>
    <col min="91" max="91" width="11.28515625" customWidth="1"/>
    <col min="100" max="100" width="9" customWidth="1"/>
    <col min="119" max="119" width="11" customWidth="1"/>
  </cols>
  <sheetData>
    <row r="1" spans="4:56" x14ac:dyDescent="0.25">
      <c r="D1" s="1">
        <f>'&lt;zlight&gt;'!F20</f>
        <v>0</v>
      </c>
      <c r="E1" s="1" t="e">
        <f ca="1">V6</f>
        <v>#N/A</v>
      </c>
      <c r="F1" s="1">
        <f>V8</f>
        <v>0.92</v>
      </c>
      <c r="G1" s="1">
        <f>H11</f>
        <v>380</v>
      </c>
      <c r="H1" s="1" t="str">
        <f>H12</f>
        <v>АВС</v>
      </c>
    </row>
    <row r="4" spans="4:56" ht="18" customHeight="1" x14ac:dyDescent="0.25">
      <c r="D4" s="197" t="s">
        <v>323</v>
      </c>
      <c r="E4" s="197"/>
      <c r="F4" s="197"/>
      <c r="G4" s="197"/>
      <c r="H4" s="197"/>
      <c r="I4" s="86" t="s">
        <v>322</v>
      </c>
      <c r="J4" s="130"/>
      <c r="Q4" s="86"/>
      <c r="R4" s="197" t="s">
        <v>321</v>
      </c>
      <c r="S4" s="197"/>
      <c r="T4" s="197"/>
      <c r="U4" s="197"/>
      <c r="V4" s="197"/>
      <c r="W4" s="197"/>
      <c r="AA4" s="237" t="s">
        <v>455</v>
      </c>
      <c r="AB4" s="237"/>
      <c r="AV4" s="137" t="s">
        <v>417</v>
      </c>
      <c r="AW4" s="137" t="s">
        <v>418</v>
      </c>
      <c r="AX4" s="137" t="s">
        <v>168</v>
      </c>
      <c r="AY4" s="137" t="s">
        <v>416</v>
      </c>
      <c r="AZ4" s="137" t="s">
        <v>421</v>
      </c>
      <c r="BA4" s="137" t="s">
        <v>415</v>
      </c>
      <c r="BB4" s="137" t="s">
        <v>419</v>
      </c>
      <c r="BC4" s="137" t="s">
        <v>422</v>
      </c>
    </row>
    <row r="5" spans="4:56" x14ac:dyDescent="0.25">
      <c r="D5" s="195" t="s">
        <v>320</v>
      </c>
      <c r="E5" s="195"/>
      <c r="F5" s="195"/>
      <c r="G5" s="195"/>
      <c r="H5" s="152">
        <f>AV5</f>
        <v>0</v>
      </c>
      <c r="I5" s="85" t="s">
        <v>319</v>
      </c>
      <c r="J5" s="131"/>
      <c r="Q5" s="85" t="s">
        <v>318</v>
      </c>
      <c r="R5" s="196" t="s">
        <v>317</v>
      </c>
      <c r="S5" s="196"/>
      <c r="T5" s="196"/>
      <c r="U5" s="196"/>
      <c r="V5" s="196" t="e">
        <f ca="1">SUM($AE$26:$AE$12001)</f>
        <v>#N/A</v>
      </c>
      <c r="W5" s="196"/>
      <c r="AA5" s="148" t="s">
        <v>440</v>
      </c>
      <c r="AB5" s="148">
        <v>100</v>
      </c>
      <c r="AU5" t="s">
        <v>414</v>
      </c>
      <c r="AV5" s="52">
        <f>'&lt;zlight&gt;TEMPGU'!D6</f>
        <v>0</v>
      </c>
      <c r="AW5" s="52">
        <f>'&lt;zlight&gt;TEMPGU'!E6</f>
        <v>0</v>
      </c>
      <c r="AX5" s="52">
        <f>'&lt;zlight&gt;TEMPGU'!F6</f>
        <v>0</v>
      </c>
      <c r="AY5" s="52">
        <f>'&lt;zlight&gt;TEMPGU'!G6</f>
        <v>0</v>
      </c>
      <c r="AZ5" s="52">
        <f>'&lt;zlight&gt;TEMPGU'!H6</f>
        <v>0</v>
      </c>
      <c r="BA5" s="52" t="str">
        <f>'&lt;zlight&gt;TEMPGU'!I6</f>
        <v>0</v>
      </c>
      <c r="BB5" s="52">
        <f>'&lt;zlight&gt;TEMPGU'!J6</f>
        <v>0</v>
      </c>
      <c r="BC5" s="138">
        <f>IF(BB5=0,0,1)</f>
        <v>0</v>
      </c>
      <c r="BD5" t="s">
        <v>193</v>
      </c>
    </row>
    <row r="6" spans="4:56" x14ac:dyDescent="0.25">
      <c r="D6" s="238" t="s">
        <v>316</v>
      </c>
      <c r="E6" s="238"/>
      <c r="F6" s="238"/>
      <c r="G6" s="238"/>
      <c r="H6" s="129" t="s">
        <v>462</v>
      </c>
      <c r="I6" s="85" t="s">
        <v>315</v>
      </c>
      <c r="J6" s="131"/>
      <c r="Q6" s="85">
        <v>63</v>
      </c>
      <c r="R6" s="196" t="s">
        <v>314</v>
      </c>
      <c r="S6" s="196"/>
      <c r="T6" s="196"/>
      <c r="U6" s="196"/>
      <c r="V6" s="196" t="e">
        <f ca="1">V5*V11</f>
        <v>#N/A</v>
      </c>
      <c r="W6" s="196"/>
      <c r="AA6" s="148" t="s">
        <v>441</v>
      </c>
      <c r="AB6" s="148">
        <v>100</v>
      </c>
    </row>
    <row r="7" spans="4:56" x14ac:dyDescent="0.25">
      <c r="D7" s="198" t="s">
        <v>313</v>
      </c>
      <c r="E7" s="198"/>
      <c r="F7" s="198"/>
      <c r="G7" s="198"/>
      <c r="H7" s="82">
        <v>45399</v>
      </c>
      <c r="I7" s="85" t="s">
        <v>312</v>
      </c>
      <c r="J7" s="131"/>
      <c r="Q7" s="85">
        <v>32</v>
      </c>
      <c r="R7" s="196" t="s">
        <v>311</v>
      </c>
      <c r="S7" s="196"/>
      <c r="T7" s="196"/>
      <c r="U7" s="196"/>
      <c r="V7" s="196" t="e">
        <f ca="1">ROUNDUP((V6*1000)/(VLOOKUP(H11,BD!$B$4:$C$5,2,FALSE)*V8),2)</f>
        <v>#N/A</v>
      </c>
      <c r="W7" s="196"/>
    </row>
    <row r="8" spans="4:56" x14ac:dyDescent="0.25">
      <c r="D8" s="198" t="s">
        <v>310</v>
      </c>
      <c r="E8" s="198"/>
      <c r="F8" s="198"/>
      <c r="G8" s="198"/>
      <c r="H8" s="82" t="s">
        <v>309</v>
      </c>
      <c r="I8" s="85" t="s">
        <v>308</v>
      </c>
      <c r="J8" s="131"/>
      <c r="Q8" s="85">
        <v>6</v>
      </c>
      <c r="R8" s="199" t="s">
        <v>307</v>
      </c>
      <c r="S8" s="200"/>
      <c r="T8" s="200"/>
      <c r="U8" s="201"/>
      <c r="V8" s="202">
        <v>0.92</v>
      </c>
      <c r="W8" s="202"/>
    </row>
    <row r="9" spans="4:56" x14ac:dyDescent="0.25">
      <c r="D9" s="198" t="s">
        <v>306</v>
      </c>
      <c r="E9" s="198"/>
      <c r="F9" s="198"/>
      <c r="G9" s="198"/>
      <c r="H9" s="82" t="s">
        <v>305</v>
      </c>
      <c r="I9" s="85" t="s">
        <v>304</v>
      </c>
      <c r="J9" s="131"/>
      <c r="Q9" s="85" t="s">
        <v>303</v>
      </c>
      <c r="R9" s="203" t="s">
        <v>302</v>
      </c>
      <c r="S9" s="203"/>
      <c r="T9" s="203"/>
      <c r="U9" s="203"/>
      <c r="V9" s="204"/>
      <c r="W9" s="204"/>
    </row>
    <row r="10" spans="4:56" x14ac:dyDescent="0.25">
      <c r="D10" s="198" t="s">
        <v>301</v>
      </c>
      <c r="E10" s="198"/>
      <c r="F10" s="198"/>
      <c r="G10" s="198"/>
      <c r="I10" s="85" t="s">
        <v>300</v>
      </c>
      <c r="J10" s="131"/>
      <c r="Q10" s="85">
        <v>4</v>
      </c>
      <c r="R10" s="203"/>
      <c r="S10" s="203"/>
      <c r="T10" s="203"/>
      <c r="U10" s="203"/>
      <c r="V10" s="204"/>
      <c r="W10" s="204"/>
    </row>
    <row r="11" spans="4:56" x14ac:dyDescent="0.25">
      <c r="D11" s="198" t="s">
        <v>299</v>
      </c>
      <c r="E11" s="198"/>
      <c r="F11" s="198"/>
      <c r="G11" s="198"/>
      <c r="H11" s="148">
        <v>380</v>
      </c>
      <c r="I11" s="85" t="s">
        <v>298</v>
      </c>
      <c r="J11" s="131"/>
      <c r="Q11" s="85" t="s">
        <v>297</v>
      </c>
      <c r="R11" s="205" t="s">
        <v>296</v>
      </c>
      <c r="S11" s="206"/>
      <c r="T11" s="206"/>
      <c r="U11" s="207"/>
      <c r="V11" s="208">
        <v>1</v>
      </c>
      <c r="W11" s="209"/>
    </row>
    <row r="12" spans="4:56" x14ac:dyDescent="0.25">
      <c r="D12" s="198" t="s">
        <v>295</v>
      </c>
      <c r="E12" s="198"/>
      <c r="F12" s="198"/>
      <c r="G12" s="198"/>
      <c r="H12" s="82" t="s">
        <v>294</v>
      </c>
      <c r="I12" s="85" t="s">
        <v>218</v>
      </c>
      <c r="J12" s="131"/>
      <c r="Q12" s="85" t="s">
        <v>293</v>
      </c>
      <c r="R12" s="210" t="s">
        <v>292</v>
      </c>
      <c r="S12" s="210"/>
      <c r="T12" s="210"/>
      <c r="U12" s="210"/>
      <c r="V12" s="210">
        <v>44.5</v>
      </c>
      <c r="W12" s="210"/>
    </row>
    <row r="13" spans="4:56" x14ac:dyDescent="0.25">
      <c r="D13" s="198" t="s">
        <v>291</v>
      </c>
      <c r="E13" s="198"/>
      <c r="F13" s="198"/>
      <c r="G13" s="198"/>
      <c r="H13" s="82" t="s">
        <v>290</v>
      </c>
      <c r="I13" s="83"/>
      <c r="J13" s="132"/>
      <c r="Q13" s="83"/>
      <c r="R13" s="210" t="s">
        <v>289</v>
      </c>
      <c r="S13" s="210"/>
      <c r="T13" s="210"/>
      <c r="U13" s="210"/>
      <c r="V13" s="210">
        <v>44.5</v>
      </c>
      <c r="W13" s="210"/>
    </row>
    <row r="14" spans="4:56" x14ac:dyDescent="0.25">
      <c r="D14" s="198" t="s">
        <v>288</v>
      </c>
      <c r="E14" s="198"/>
      <c r="F14" s="198"/>
      <c r="G14" s="198"/>
      <c r="H14" s="84" t="str">
        <f>'&lt;zlight&gt;'!G20&amp;"."&amp;'&lt;zlight&gt;'!H20</f>
        <v>.</v>
      </c>
      <c r="I14" s="83"/>
      <c r="J14" s="132"/>
      <c r="Q14" s="83"/>
      <c r="R14" s="210" t="s">
        <v>287</v>
      </c>
      <c r="S14" s="210"/>
      <c r="T14" s="210"/>
      <c r="U14" s="210"/>
      <c r="V14" s="210">
        <v>44.5</v>
      </c>
      <c r="W14" s="210"/>
    </row>
    <row r="15" spans="4:56" x14ac:dyDescent="0.25">
      <c r="D15" s="198" t="s">
        <v>286</v>
      </c>
      <c r="E15" s="198"/>
      <c r="F15" s="198"/>
      <c r="G15" s="198"/>
      <c r="H15" s="82">
        <v>77</v>
      </c>
      <c r="Q15" s="83"/>
      <c r="R15" s="213" t="s">
        <v>285</v>
      </c>
      <c r="S15" s="213"/>
      <c r="T15" s="213"/>
      <c r="U15" s="213"/>
      <c r="V15" s="202" t="e">
        <f ca="1">ROUNDUP((V6*1000)/(INDEX(BD!$C$4:$C$5,MATCH(H11,BD!$B$4:$B$5,0))*V8),2)</f>
        <v>#N/A</v>
      </c>
      <c r="W15" s="202"/>
    </row>
    <row r="16" spans="4:56" x14ac:dyDescent="0.25">
      <c r="R16" s="220" t="s">
        <v>420</v>
      </c>
      <c r="S16" s="220"/>
      <c r="T16" s="220"/>
      <c r="U16" s="220"/>
      <c r="V16" s="220" t="e">
        <f>INDEX(BA5:BA9,MATCH(1,BC5:BC9,0))</f>
        <v>#N/A</v>
      </c>
      <c r="W16" s="220"/>
    </row>
    <row r="19" spans="1:184" x14ac:dyDescent="0.25">
      <c r="AQ19" t="s">
        <v>391</v>
      </c>
    </row>
    <row r="24" spans="1:184" s="1" customFormat="1" x14ac:dyDescent="0.25">
      <c r="A24" s="109">
        <f>COLUMN(A24)</f>
        <v>1</v>
      </c>
      <c r="B24" s="109">
        <f t="shared" ref="B24:BR24" si="0">COLUMN(B24)</f>
        <v>2</v>
      </c>
      <c r="C24" s="109">
        <f t="shared" si="0"/>
        <v>3</v>
      </c>
      <c r="D24" s="109">
        <f t="shared" si="0"/>
        <v>4</v>
      </c>
      <c r="E24" s="109">
        <f t="shared" si="0"/>
        <v>5</v>
      </c>
      <c r="F24" s="109">
        <f t="shared" si="0"/>
        <v>6</v>
      </c>
      <c r="G24" s="109">
        <f t="shared" si="0"/>
        <v>7</v>
      </c>
      <c r="H24" s="109">
        <f t="shared" si="0"/>
        <v>8</v>
      </c>
      <c r="I24" s="109">
        <f t="shared" si="0"/>
        <v>9</v>
      </c>
      <c r="J24" s="109"/>
      <c r="K24" s="109">
        <f t="shared" si="0"/>
        <v>11</v>
      </c>
      <c r="L24" s="109">
        <f t="shared" si="0"/>
        <v>12</v>
      </c>
      <c r="M24" s="109">
        <f t="shared" si="0"/>
        <v>13</v>
      </c>
      <c r="N24" s="109">
        <f t="shared" si="0"/>
        <v>14</v>
      </c>
      <c r="O24" s="109">
        <f t="shared" si="0"/>
        <v>15</v>
      </c>
      <c r="P24" s="109"/>
      <c r="Q24" s="109">
        <f t="shared" si="0"/>
        <v>17</v>
      </c>
      <c r="R24" s="109">
        <f t="shared" si="0"/>
        <v>18</v>
      </c>
      <c r="S24" s="109">
        <f t="shared" si="0"/>
        <v>19</v>
      </c>
      <c r="T24" s="109">
        <f t="shared" si="0"/>
        <v>20</v>
      </c>
      <c r="U24" s="109">
        <f t="shared" si="0"/>
        <v>21</v>
      </c>
      <c r="V24" s="109">
        <f t="shared" si="0"/>
        <v>22</v>
      </c>
      <c r="W24" s="109">
        <f t="shared" si="0"/>
        <v>23</v>
      </c>
      <c r="X24" s="109">
        <f t="shared" si="0"/>
        <v>24</v>
      </c>
      <c r="Y24" s="109">
        <f t="shared" si="0"/>
        <v>25</v>
      </c>
      <c r="Z24" s="109">
        <f t="shared" si="0"/>
        <v>26</v>
      </c>
      <c r="AA24" s="109">
        <f t="shared" si="0"/>
        <v>27</v>
      </c>
      <c r="AB24" s="109">
        <f t="shared" si="0"/>
        <v>28</v>
      </c>
      <c r="AC24" s="109">
        <f t="shared" si="0"/>
        <v>29</v>
      </c>
      <c r="AD24" s="109"/>
      <c r="AE24" s="109">
        <f t="shared" si="0"/>
        <v>31</v>
      </c>
      <c r="AF24" s="109"/>
      <c r="AG24" s="109"/>
      <c r="AH24" s="109">
        <f t="shared" si="0"/>
        <v>34</v>
      </c>
      <c r="AI24" s="109">
        <f t="shared" si="0"/>
        <v>35</v>
      </c>
      <c r="AJ24" s="109"/>
      <c r="AK24" s="109"/>
      <c r="AL24" s="109"/>
      <c r="AM24" s="109">
        <f t="shared" si="0"/>
        <v>39</v>
      </c>
      <c r="AN24" s="109">
        <f t="shared" si="0"/>
        <v>40</v>
      </c>
      <c r="AO24" s="109">
        <f t="shared" si="0"/>
        <v>41</v>
      </c>
      <c r="AP24" s="109">
        <f t="shared" si="0"/>
        <v>42</v>
      </c>
      <c r="AQ24" s="109">
        <f t="shared" si="0"/>
        <v>43</v>
      </c>
      <c r="AR24" s="109">
        <f t="shared" si="0"/>
        <v>44</v>
      </c>
      <c r="AS24" s="109">
        <f t="shared" si="0"/>
        <v>45</v>
      </c>
      <c r="AT24" s="109">
        <f t="shared" si="0"/>
        <v>46</v>
      </c>
      <c r="AU24" s="109">
        <f t="shared" si="0"/>
        <v>47</v>
      </c>
      <c r="AV24" s="109">
        <f t="shared" si="0"/>
        <v>48</v>
      </c>
      <c r="AW24" s="109">
        <f t="shared" si="0"/>
        <v>49</v>
      </c>
      <c r="AX24" s="109">
        <f t="shared" si="0"/>
        <v>50</v>
      </c>
      <c r="AY24" s="109">
        <f t="shared" si="0"/>
        <v>51</v>
      </c>
      <c r="AZ24" s="109">
        <f t="shared" si="0"/>
        <v>52</v>
      </c>
      <c r="BA24" s="109">
        <f t="shared" si="0"/>
        <v>53</v>
      </c>
      <c r="BB24" s="109">
        <f t="shared" si="0"/>
        <v>54</v>
      </c>
      <c r="BC24" s="109">
        <f t="shared" si="0"/>
        <v>55</v>
      </c>
      <c r="BD24" s="109">
        <f t="shared" si="0"/>
        <v>56</v>
      </c>
      <c r="BE24" s="109">
        <f t="shared" si="0"/>
        <v>57</v>
      </c>
      <c r="BF24" s="109">
        <f t="shared" si="0"/>
        <v>58</v>
      </c>
      <c r="BG24" s="109">
        <f t="shared" si="0"/>
        <v>59</v>
      </c>
      <c r="BH24" s="109">
        <f t="shared" si="0"/>
        <v>60</v>
      </c>
      <c r="BI24" s="109">
        <f t="shared" si="0"/>
        <v>61</v>
      </c>
      <c r="BJ24" s="109">
        <f t="shared" si="0"/>
        <v>62</v>
      </c>
      <c r="BK24" s="109">
        <f t="shared" si="0"/>
        <v>63</v>
      </c>
      <c r="BL24" s="109">
        <f t="shared" si="0"/>
        <v>64</v>
      </c>
      <c r="BM24" s="109">
        <f t="shared" si="0"/>
        <v>65</v>
      </c>
      <c r="BN24" s="109">
        <f t="shared" si="0"/>
        <v>66</v>
      </c>
      <c r="BO24" s="109">
        <f t="shared" si="0"/>
        <v>67</v>
      </c>
      <c r="BP24" s="109">
        <f t="shared" si="0"/>
        <v>68</v>
      </c>
      <c r="BQ24" s="109">
        <f t="shared" si="0"/>
        <v>69</v>
      </c>
      <c r="BR24" s="109">
        <f t="shared" si="0"/>
        <v>70</v>
      </c>
      <c r="BS24" s="109">
        <f t="shared" ref="BS24:EJ24" si="1">COLUMN(BS24)</f>
        <v>71</v>
      </c>
      <c r="BT24" s="109">
        <f t="shared" si="1"/>
        <v>72</v>
      </c>
      <c r="BU24" s="109">
        <f t="shared" si="1"/>
        <v>73</v>
      </c>
      <c r="BV24" s="109">
        <f t="shared" si="1"/>
        <v>74</v>
      </c>
      <c r="BW24" s="109">
        <f t="shared" si="1"/>
        <v>75</v>
      </c>
      <c r="BX24" s="109">
        <f t="shared" si="1"/>
        <v>76</v>
      </c>
      <c r="BY24" s="109">
        <f t="shared" si="1"/>
        <v>77</v>
      </c>
      <c r="BZ24" s="109">
        <f t="shared" si="1"/>
        <v>78</v>
      </c>
      <c r="CA24" s="109">
        <f t="shared" si="1"/>
        <v>79</v>
      </c>
      <c r="CB24" s="109">
        <f t="shared" si="1"/>
        <v>80</v>
      </c>
      <c r="CC24" s="109">
        <f t="shared" si="1"/>
        <v>81</v>
      </c>
      <c r="CD24" s="109">
        <f t="shared" si="1"/>
        <v>82</v>
      </c>
      <c r="CE24" s="109"/>
      <c r="CF24" s="109"/>
      <c r="CG24" s="109"/>
      <c r="CH24" s="109"/>
      <c r="CI24" s="109">
        <f t="shared" si="1"/>
        <v>87</v>
      </c>
      <c r="CJ24" s="145"/>
      <c r="CK24" s="109">
        <f t="shared" si="1"/>
        <v>89</v>
      </c>
      <c r="CL24" s="109">
        <f t="shared" si="1"/>
        <v>90</v>
      </c>
      <c r="CM24" s="109">
        <f t="shared" si="1"/>
        <v>91</v>
      </c>
      <c r="CN24" s="109">
        <f t="shared" si="1"/>
        <v>92</v>
      </c>
      <c r="CO24" s="109">
        <f t="shared" si="1"/>
        <v>93</v>
      </c>
      <c r="CP24" s="109">
        <f t="shared" si="1"/>
        <v>94</v>
      </c>
      <c r="CQ24" s="109">
        <f t="shared" si="1"/>
        <v>95</v>
      </c>
      <c r="CR24" s="109">
        <f t="shared" si="1"/>
        <v>96</v>
      </c>
      <c r="CS24" s="109">
        <f t="shared" si="1"/>
        <v>97</v>
      </c>
      <c r="CT24" s="109">
        <f t="shared" si="1"/>
        <v>98</v>
      </c>
      <c r="CU24" s="109">
        <f t="shared" si="1"/>
        <v>99</v>
      </c>
      <c r="CV24" s="109">
        <f t="shared" si="1"/>
        <v>100</v>
      </c>
      <c r="CW24" s="109">
        <f t="shared" si="1"/>
        <v>101</v>
      </c>
      <c r="CX24" s="109">
        <f t="shared" si="1"/>
        <v>102</v>
      </c>
      <c r="CY24" s="109">
        <f t="shared" si="1"/>
        <v>103</v>
      </c>
      <c r="CZ24" s="109">
        <f t="shared" si="1"/>
        <v>104</v>
      </c>
      <c r="DA24" s="109">
        <f t="shared" si="1"/>
        <v>105</v>
      </c>
      <c r="DB24" s="109">
        <f t="shared" si="1"/>
        <v>106</v>
      </c>
      <c r="DC24" s="145">
        <f t="shared" si="1"/>
        <v>107</v>
      </c>
      <c r="DD24" s="109">
        <f t="shared" si="1"/>
        <v>108</v>
      </c>
      <c r="DE24" s="109">
        <f t="shared" si="1"/>
        <v>109</v>
      </c>
      <c r="DF24" s="109">
        <f t="shared" si="1"/>
        <v>110</v>
      </c>
      <c r="DG24" s="109">
        <f t="shared" si="1"/>
        <v>111</v>
      </c>
      <c r="DH24" s="109">
        <f t="shared" si="1"/>
        <v>112</v>
      </c>
      <c r="DI24" s="109">
        <f t="shared" si="1"/>
        <v>113</v>
      </c>
      <c r="DJ24" s="109">
        <f t="shared" si="1"/>
        <v>114</v>
      </c>
      <c r="DK24" s="109">
        <f t="shared" si="1"/>
        <v>115</v>
      </c>
      <c r="DL24" s="109">
        <f t="shared" si="1"/>
        <v>116</v>
      </c>
      <c r="DM24" s="109">
        <f t="shared" si="1"/>
        <v>117</v>
      </c>
      <c r="DN24" s="109">
        <f t="shared" si="1"/>
        <v>118</v>
      </c>
      <c r="DO24" s="109">
        <f t="shared" si="1"/>
        <v>119</v>
      </c>
      <c r="DP24" s="109">
        <f t="shared" si="1"/>
        <v>120</v>
      </c>
      <c r="DQ24" s="109">
        <f t="shared" si="1"/>
        <v>121</v>
      </c>
      <c r="DR24" s="109">
        <f t="shared" si="1"/>
        <v>122</v>
      </c>
      <c r="DS24" s="109">
        <f t="shared" si="1"/>
        <v>123</v>
      </c>
      <c r="DT24" s="109">
        <f t="shared" si="1"/>
        <v>124</v>
      </c>
      <c r="DU24" s="109">
        <f t="shared" si="1"/>
        <v>125</v>
      </c>
      <c r="DV24" s="109">
        <f t="shared" si="1"/>
        <v>126</v>
      </c>
      <c r="DW24" s="109">
        <f t="shared" si="1"/>
        <v>127</v>
      </c>
      <c r="DX24" s="109">
        <f t="shared" si="1"/>
        <v>128</v>
      </c>
      <c r="DY24" s="109">
        <f t="shared" si="1"/>
        <v>129</v>
      </c>
      <c r="DZ24" s="109">
        <f t="shared" si="1"/>
        <v>130</v>
      </c>
      <c r="EA24" s="1">
        <f t="shared" si="1"/>
        <v>131</v>
      </c>
      <c r="EB24" s="1">
        <f t="shared" si="1"/>
        <v>132</v>
      </c>
      <c r="EC24" s="1">
        <f t="shared" si="1"/>
        <v>133</v>
      </c>
      <c r="ED24" s="1">
        <f t="shared" si="1"/>
        <v>134</v>
      </c>
      <c r="EE24" s="1">
        <f t="shared" si="1"/>
        <v>135</v>
      </c>
      <c r="EF24" s="1">
        <f t="shared" si="1"/>
        <v>136</v>
      </c>
      <c r="EG24" s="1">
        <f t="shared" si="1"/>
        <v>137</v>
      </c>
      <c r="EH24" s="1">
        <f t="shared" si="1"/>
        <v>138</v>
      </c>
      <c r="EI24" s="1">
        <f t="shared" si="1"/>
        <v>139</v>
      </c>
      <c r="EJ24" s="1">
        <f t="shared" si="1"/>
        <v>140</v>
      </c>
      <c r="EK24" s="1">
        <f t="shared" ref="EK24:FD24" si="2">COLUMN(EK24)</f>
        <v>141</v>
      </c>
      <c r="EL24" s="1">
        <f t="shared" si="2"/>
        <v>142</v>
      </c>
      <c r="EU24" s="1">
        <f t="shared" si="2"/>
        <v>151</v>
      </c>
      <c r="EV24" s="1">
        <f t="shared" si="2"/>
        <v>152</v>
      </c>
      <c r="EW24" s="1">
        <f t="shared" si="2"/>
        <v>153</v>
      </c>
      <c r="EX24" s="1">
        <f t="shared" si="2"/>
        <v>154</v>
      </c>
      <c r="EY24" s="1">
        <f t="shared" si="2"/>
        <v>155</v>
      </c>
      <c r="EZ24" s="1">
        <f t="shared" si="2"/>
        <v>156</v>
      </c>
      <c r="FB24" s="1">
        <f t="shared" si="2"/>
        <v>158</v>
      </c>
      <c r="FC24" s="1">
        <f t="shared" si="2"/>
        <v>159</v>
      </c>
      <c r="FD24" s="1">
        <f t="shared" si="2"/>
        <v>160</v>
      </c>
      <c r="FE24" s="1">
        <f>COLUMN(FE24)</f>
        <v>161</v>
      </c>
      <c r="FF24" s="1">
        <f t="shared" ref="FF24:GB24" si="3">COLUMN(FF24)</f>
        <v>162</v>
      </c>
      <c r="FG24" s="1">
        <f t="shared" si="3"/>
        <v>163</v>
      </c>
      <c r="FH24" s="1">
        <f t="shared" si="3"/>
        <v>164</v>
      </c>
      <c r="FI24" s="1">
        <f t="shared" si="3"/>
        <v>165</v>
      </c>
      <c r="FJ24" s="1">
        <f t="shared" si="3"/>
        <v>166</v>
      </c>
      <c r="FL24" s="1">
        <f t="shared" si="3"/>
        <v>168</v>
      </c>
      <c r="FM24" s="1">
        <f t="shared" si="3"/>
        <v>169</v>
      </c>
      <c r="FN24" s="1">
        <f t="shared" si="3"/>
        <v>170</v>
      </c>
      <c r="FO24" s="1">
        <f t="shared" si="3"/>
        <v>171</v>
      </c>
      <c r="FP24" s="1">
        <f t="shared" si="3"/>
        <v>172</v>
      </c>
      <c r="FQ24" s="1">
        <f t="shared" si="3"/>
        <v>173</v>
      </c>
      <c r="FR24" s="1">
        <f t="shared" si="3"/>
        <v>174</v>
      </c>
      <c r="FS24" s="1">
        <f t="shared" si="3"/>
        <v>175</v>
      </c>
      <c r="FT24" s="1">
        <f t="shared" si="3"/>
        <v>176</v>
      </c>
      <c r="FU24" s="1">
        <f t="shared" si="3"/>
        <v>177</v>
      </c>
      <c r="FV24" s="1">
        <f t="shared" si="3"/>
        <v>178</v>
      </c>
      <c r="FW24" s="1">
        <f t="shared" si="3"/>
        <v>179</v>
      </c>
      <c r="FX24" s="1">
        <f t="shared" si="3"/>
        <v>180</v>
      </c>
      <c r="FY24" s="1">
        <f t="shared" si="3"/>
        <v>181</v>
      </c>
      <c r="FZ24" s="1">
        <f t="shared" si="3"/>
        <v>182</v>
      </c>
      <c r="GA24" s="1">
        <f t="shared" si="3"/>
        <v>183</v>
      </c>
      <c r="GB24" s="1">
        <f t="shared" si="3"/>
        <v>184</v>
      </c>
    </row>
    <row r="25" spans="1:184" ht="15.75" thickBot="1" x14ac:dyDescent="0.3">
      <c r="AQ25" t="s">
        <v>352</v>
      </c>
    </row>
    <row r="26" spans="1:184" ht="15.75" customHeight="1" thickBot="1" x14ac:dyDescent="0.3">
      <c r="D26" s="214" t="s">
        <v>284</v>
      </c>
      <c r="E26" s="216" t="s">
        <v>233</v>
      </c>
      <c r="F26" s="211" t="s">
        <v>232</v>
      </c>
      <c r="G26" s="216" t="s">
        <v>283</v>
      </c>
      <c r="H26" s="211" t="s">
        <v>282</v>
      </c>
      <c r="I26" s="211" t="s">
        <v>281</v>
      </c>
      <c r="J26" s="218" t="s">
        <v>403</v>
      </c>
      <c r="K26" s="225" t="s">
        <v>404</v>
      </c>
      <c r="L26" s="225"/>
      <c r="M26" s="225"/>
      <c r="N26" s="226" t="s">
        <v>280</v>
      </c>
      <c r="Q26" s="228" t="s">
        <v>279</v>
      </c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30" t="s">
        <v>278</v>
      </c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2"/>
      <c r="AO26" s="230" t="s">
        <v>277</v>
      </c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2"/>
      <c r="BC26" s="230" t="s">
        <v>276</v>
      </c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2"/>
      <c r="BT26" s="221" t="s">
        <v>275</v>
      </c>
      <c r="BU26" s="222"/>
      <c r="BV26" s="222"/>
      <c r="BW26" s="222"/>
      <c r="BX26" s="222"/>
      <c r="BY26" s="222"/>
      <c r="BZ26" s="222"/>
      <c r="CA26" s="233" t="s">
        <v>274</v>
      </c>
      <c r="CB26" s="233"/>
      <c r="CC26" s="233"/>
      <c r="CD26" s="233"/>
      <c r="CE26" s="233"/>
      <c r="CF26" s="233"/>
      <c r="CG26" s="233"/>
      <c r="CH26" s="233"/>
      <c r="CI26" s="233"/>
      <c r="CJ26" s="233"/>
      <c r="CK26" s="233"/>
      <c r="CL26" s="233"/>
      <c r="CM26" s="233"/>
      <c r="CN26" s="233"/>
      <c r="CO26" s="233"/>
      <c r="CP26" s="233"/>
      <c r="CQ26" s="233"/>
      <c r="CR26" s="233"/>
      <c r="CS26" s="233"/>
      <c r="CT26" s="233"/>
      <c r="CU26" s="233"/>
      <c r="CV26" s="233"/>
      <c r="CW26" t="s">
        <v>213</v>
      </c>
      <c r="CX26" s="1" t="s">
        <v>273</v>
      </c>
      <c r="CY26" s="168">
        <f>60*$AB$5</f>
        <v>6000</v>
      </c>
      <c r="CZ26" s="168">
        <f>0*$AB$6</f>
        <v>0</v>
      </c>
      <c r="DA26" s="163">
        <f>$AB$5</f>
        <v>100</v>
      </c>
      <c r="DB26" s="163">
        <f>$AB$6</f>
        <v>100</v>
      </c>
      <c r="DC26" s="170">
        <v>0</v>
      </c>
      <c r="DD26" t="s">
        <v>272</v>
      </c>
      <c r="DE26">
        <f>H5</f>
        <v>0</v>
      </c>
      <c r="DF26" t="s">
        <v>271</v>
      </c>
      <c r="DG26" t="str">
        <f>H6</f>
        <v>??????</v>
      </c>
      <c r="DH26" t="s">
        <v>270</v>
      </c>
      <c r="DI26" t="e">
        <f ca="1">"Установленная полная мощность, Ру = "&amp;V5&amp;"кВт"</f>
        <v>#N/A</v>
      </c>
      <c r="DJ26" t="s">
        <v>269</v>
      </c>
      <c r="DK26" t="str">
        <f>"Коэффициент спроса, Кс = "&amp;V11</f>
        <v>Коэффициент спроса, Кс = 1</v>
      </c>
      <c r="DL26" t="s">
        <v>268</v>
      </c>
      <c r="DM26" t="e">
        <f ca="1">"Расчетная мощность, Рр = "&amp;V6</f>
        <v>#N/A</v>
      </c>
      <c r="DN26" t="s">
        <v>267</v>
      </c>
      <c r="DO26" t="str">
        <f>"Коэффициент мощности, cosf = "&amp;V8</f>
        <v>Коэффициент мощности, cosf = 0,92</v>
      </c>
      <c r="DP26" t="s">
        <v>266</v>
      </c>
      <c r="DQ26" t="e">
        <f ca="1">"Расчетный ток, Iр = "&amp;V15&amp;"А"</f>
        <v>#N/A</v>
      </c>
      <c r="EL26" t="s">
        <v>195</v>
      </c>
    </row>
    <row r="27" spans="1:184" ht="54.75" thickBot="1" x14ac:dyDescent="0.3">
      <c r="D27" s="215"/>
      <c r="E27" s="217"/>
      <c r="F27" s="212"/>
      <c r="G27" s="217"/>
      <c r="H27" s="212"/>
      <c r="I27" s="212"/>
      <c r="J27" s="219"/>
      <c r="K27" s="134" t="s">
        <v>265</v>
      </c>
      <c r="L27" s="134" t="s">
        <v>264</v>
      </c>
      <c r="M27" s="142" t="s">
        <v>263</v>
      </c>
      <c r="N27" s="227"/>
      <c r="Q27" s="81" t="s">
        <v>339</v>
      </c>
      <c r="R27" s="81" t="s">
        <v>262</v>
      </c>
      <c r="S27" s="81" t="s">
        <v>3</v>
      </c>
      <c r="T27" s="80" t="s">
        <v>261</v>
      </c>
      <c r="U27" s="78" t="s">
        <v>260</v>
      </c>
      <c r="V27" s="80" t="s">
        <v>259</v>
      </c>
      <c r="W27" s="79" t="s">
        <v>258</v>
      </c>
      <c r="X27" s="79" t="s">
        <v>257</v>
      </c>
      <c r="Y27" s="78" t="s">
        <v>256</v>
      </c>
      <c r="Z27" s="77" t="s">
        <v>255</v>
      </c>
      <c r="AA27" s="76" t="s">
        <v>254</v>
      </c>
      <c r="AB27" s="75" t="s">
        <v>253</v>
      </c>
      <c r="AC27" s="71" t="s">
        <v>252</v>
      </c>
      <c r="AD27" s="71" t="s">
        <v>426</v>
      </c>
      <c r="AE27" s="71" t="s">
        <v>250</v>
      </c>
      <c r="AF27" s="71" t="s">
        <v>427</v>
      </c>
      <c r="AG27" s="71" t="s">
        <v>249</v>
      </c>
      <c r="AH27" s="71" t="s">
        <v>248</v>
      </c>
      <c r="AI27" s="71" t="s">
        <v>251</v>
      </c>
      <c r="AJ27" s="71" t="s">
        <v>423</v>
      </c>
      <c r="AK27" s="71" t="s">
        <v>424</v>
      </c>
      <c r="AL27" s="71" t="s">
        <v>425</v>
      </c>
      <c r="AM27" s="70" t="s">
        <v>228</v>
      </c>
      <c r="AN27" s="69" t="s">
        <v>247</v>
      </c>
      <c r="AO27" s="71" t="s">
        <v>246</v>
      </c>
      <c r="AP27" s="71" t="s">
        <v>245</v>
      </c>
      <c r="AQ27" s="71" t="s">
        <v>244</v>
      </c>
      <c r="AR27" s="71" t="s">
        <v>243</v>
      </c>
      <c r="AS27" s="71" t="s">
        <v>242</v>
      </c>
      <c r="AT27" s="71" t="s">
        <v>241</v>
      </c>
      <c r="AU27" s="71" t="s">
        <v>240</v>
      </c>
      <c r="AV27" s="71" t="s">
        <v>35</v>
      </c>
      <c r="AW27" s="71" t="s">
        <v>239</v>
      </c>
      <c r="AX27" s="71" t="s">
        <v>238</v>
      </c>
      <c r="AY27" s="71" t="s">
        <v>237</v>
      </c>
      <c r="AZ27" s="71" t="s">
        <v>236</v>
      </c>
      <c r="BA27" s="71" t="s">
        <v>235</v>
      </c>
      <c r="BB27" s="71" t="s">
        <v>234</v>
      </c>
      <c r="BC27" s="74" t="s">
        <v>233</v>
      </c>
      <c r="BD27" s="74" t="s">
        <v>232</v>
      </c>
      <c r="BE27" s="73" t="s">
        <v>231</v>
      </c>
      <c r="BF27" s="71" t="s">
        <v>230</v>
      </c>
      <c r="BG27" s="73" t="s">
        <v>229</v>
      </c>
      <c r="BH27" s="72" t="s">
        <v>228</v>
      </c>
      <c r="BI27" s="70" t="s">
        <v>227</v>
      </c>
      <c r="BJ27" s="70" t="s">
        <v>226</v>
      </c>
      <c r="BK27" s="70" t="s">
        <v>225</v>
      </c>
      <c r="BL27" s="70" t="s">
        <v>224</v>
      </c>
      <c r="BM27" s="71" t="s">
        <v>223</v>
      </c>
      <c r="BN27" s="70" t="s">
        <v>221</v>
      </c>
      <c r="BO27" s="70" t="s">
        <v>220</v>
      </c>
      <c r="BP27" s="70" t="s">
        <v>219</v>
      </c>
      <c r="BQ27" s="71" t="s">
        <v>218</v>
      </c>
      <c r="BR27" s="70" t="s">
        <v>217</v>
      </c>
      <c r="BS27" s="69" t="s">
        <v>216</v>
      </c>
      <c r="BT27" s="68" t="s">
        <v>222</v>
      </c>
      <c r="BU27" s="68" t="s">
        <v>221</v>
      </c>
      <c r="BV27" s="68" t="s">
        <v>220</v>
      </c>
      <c r="BW27" s="68" t="s">
        <v>219</v>
      </c>
      <c r="BX27" s="68" t="s">
        <v>218</v>
      </c>
      <c r="BY27" s="68" t="s">
        <v>217</v>
      </c>
      <c r="BZ27" s="115" t="s">
        <v>216</v>
      </c>
      <c r="CA27" s="116" t="s">
        <v>396</v>
      </c>
      <c r="CB27" s="116" t="s">
        <v>395</v>
      </c>
      <c r="CC27" s="116" t="s">
        <v>397</v>
      </c>
      <c r="CD27" s="127" t="s">
        <v>402</v>
      </c>
      <c r="CE27" s="139" t="s">
        <v>428</v>
      </c>
      <c r="CF27" s="139" t="s">
        <v>429</v>
      </c>
      <c r="CG27" s="139" t="s">
        <v>430</v>
      </c>
      <c r="CH27" s="139" t="s">
        <v>431</v>
      </c>
      <c r="CI27" s="150" t="s">
        <v>432</v>
      </c>
      <c r="CJ27" s="150" t="s">
        <v>448</v>
      </c>
      <c r="CK27" s="117"/>
      <c r="CL27" s="172" t="s">
        <v>449</v>
      </c>
      <c r="CM27" s="172" t="s">
        <v>450</v>
      </c>
      <c r="CN27" s="117"/>
      <c r="CO27" s="117"/>
      <c r="CP27" s="117"/>
      <c r="CQ27" s="117"/>
      <c r="CR27" s="116"/>
      <c r="CS27" s="116"/>
      <c r="CT27" s="116"/>
      <c r="CU27" s="116"/>
      <c r="CV27" s="236" t="s">
        <v>451</v>
      </c>
      <c r="CY27" s="235">
        <f>35*$AB$5</f>
        <v>3500</v>
      </c>
      <c r="CZ27" s="169">
        <f>$AB$6</f>
        <v>100</v>
      </c>
      <c r="DA27" s="164"/>
      <c r="DB27" s="164"/>
      <c r="DC27" s="171"/>
      <c r="DF27" s="154"/>
      <c r="DG27" s="154"/>
      <c r="DH27" s="156"/>
      <c r="DI27" s="157"/>
      <c r="DJ27" s="156"/>
      <c r="DK27" s="157"/>
      <c r="DL27" s="156"/>
      <c r="DM27" s="157"/>
      <c r="DN27" s="160"/>
      <c r="DO27" s="160"/>
      <c r="DP27" s="160"/>
      <c r="DQ27" s="160"/>
      <c r="DR27" s="160"/>
      <c r="DS27" s="160"/>
      <c r="EM27" s="234" t="s">
        <v>436</v>
      </c>
      <c r="EN27" s="234"/>
      <c r="EO27" s="234"/>
      <c r="EP27" s="234"/>
      <c r="EQ27" s="234"/>
      <c r="ER27" s="234"/>
      <c r="ES27" s="234"/>
      <c r="ET27" s="234"/>
      <c r="EU27" s="223" t="s">
        <v>215</v>
      </c>
      <c r="EV27" s="223"/>
      <c r="EW27" s="223"/>
      <c r="EX27" s="223"/>
      <c r="EY27" s="223"/>
      <c r="EZ27" s="223"/>
      <c r="FA27" s="223"/>
      <c r="FB27" s="223"/>
      <c r="FC27" s="223"/>
      <c r="FD27" s="223"/>
      <c r="FE27" s="224" t="s">
        <v>214</v>
      </c>
      <c r="FF27" s="224"/>
      <c r="FG27" s="224"/>
      <c r="FH27" s="224"/>
      <c r="FI27" s="224"/>
      <c r="FJ27" s="224"/>
      <c r="FK27" s="224"/>
      <c r="FL27" s="224"/>
      <c r="FM27" s="224"/>
      <c r="FN27" s="224"/>
    </row>
    <row r="28" spans="1:184" x14ac:dyDescent="0.25">
      <c r="C28" t="s">
        <v>409</v>
      </c>
      <c r="D28" s="67">
        <f>IF(COUNT($CB$28:CB28)=MATCH(CA28,$CA$28:CA28,0),CA28,"")</f>
        <v>-1</v>
      </c>
      <c r="E28" s="63" t="str">
        <f>IF(D28="","","АВ")</f>
        <v>АВ</v>
      </c>
      <c r="F28" s="63">
        <f>IF(D28="","",1)</f>
        <v>1</v>
      </c>
      <c r="G28" s="63" t="str">
        <f>IF(D28="","","АВ")</f>
        <v>АВ</v>
      </c>
      <c r="H28" s="67" t="e">
        <f ca="1">IF(E28="","",IF(F28="",BQ28&amp;", "&amp;BR28&amp;", "&amp;BS28,IF(MATCH(F28,$F$28:F28,0)=MATCH(F28,$F$28:F28,1),BQ28&amp;", "&amp;BR28&amp;", "&amp;BS28,"")))</f>
        <v>#N/A</v>
      </c>
      <c r="I28" s="67" t="e">
        <f ca="1">IF(G28="","",BX28&amp;", "&amp;BY28&amp;", "&amp;BZ28)</f>
        <v>#N/A</v>
      </c>
      <c r="J28" s="133" t="e">
        <f ca="1">IF(D28="","",AD28&amp;"кВт; "&amp;R28&amp;"В; "&amp;AE28&amp;"A; "&amp;AF28)</f>
        <v>#N/A</v>
      </c>
      <c r="K28" s="143" t="e">
        <f>IF(CE28=0,"V","")</f>
        <v>#N/A</v>
      </c>
      <c r="L28" s="143" t="e">
        <f>IF(CE28=1,"V","")</f>
        <v>#N/A</v>
      </c>
      <c r="M28" s="143" t="e">
        <f>IF(CE28=2,"V","")</f>
        <v>#N/A</v>
      </c>
      <c r="N28" s="141" t="e">
        <f ca="1">AP28</f>
        <v>#N/A</v>
      </c>
      <c r="O28" t="str">
        <f>"&lt;zsetformulatocell toSheet=[zalldevEXPORT]  toCell=["&amp;ADDRESS(ROW('&lt;zalldev&gt;EXPORT'!W11),COLUMN('&lt;zalldev&gt;EXPORT'!W11))&amp;"] formula=[fromSheet!"&amp;ADDRESS(ROW(X28),COLUMN(X28))&amp;"]"</f>
        <v>&lt;zsetformulatocell toSheet=[zalldevEXPORT]  toCell=[$W$11] formula=[fromSheet!$X$28]</v>
      </c>
      <c r="Q28" s="53">
        <f>'&lt;zalldev&gt;EXPORT'!D11</f>
        <v>0</v>
      </c>
      <c r="R28" s="66" t="e">
        <f ca="1">IF(IFERROR(CC28,1)=1,INDEX(BD!$B$4:$B$5,MATCH('&lt;zalldev&gt;EXPORT'!AB11,BD!$A$4:$A$5,0)),INDIRECT("'"&amp;Q28&amp;"'!"&amp;"G1"))</f>
        <v>#N/A</v>
      </c>
      <c r="S28" s="66" t="e">
        <f ca="1">IF(IFERROR(CC28,1)=1,INDEX(BD!$B$10:$B$13,MATCH('&lt;zalldev&gt;EXPORT'!AE11,BD!$A$10:$A$13,0)),INDIRECT("'"&amp;Q28&amp;"'!"&amp;"H1"))</f>
        <v>#N/A</v>
      </c>
      <c r="T28" s="66">
        <f ca="1">IF(IFERROR(CC28,1)=1,Y28*X28,INDIRECT("'"&amp;Q28&amp;"'!"&amp;"E1"))</f>
        <v>0</v>
      </c>
      <c r="U28" s="66">
        <f ca="1">IF(IFERROR(CC28,1)=1,'&lt;zalldev&gt;EXPORT'!Y11,INDIRECT("'"&amp;Q28&amp;"'!"&amp;"F1"))</f>
        <v>0</v>
      </c>
      <c r="V28" s="52" t="e">
        <f ca="1">ROUNDUP((T28*1000)/(INDEX(BD!$C$4:$C$5,MATCH(R28,BD!$B$4:$B$5,0))*U28),2)</f>
        <v>#N/A</v>
      </c>
      <c r="W28" s="53">
        <f ca="1">ROUNDUP(T28*ROUNDUP(TAN(ACOS(U28)),2),2)</f>
        <v>0</v>
      </c>
      <c r="X28" s="53">
        <f>'&lt;zalldev&gt;EXPORT'!V11</f>
        <v>0</v>
      </c>
      <c r="Y28" s="53">
        <f>'&lt;zalldev&gt;EXPORT'!AQ11</f>
        <v>1</v>
      </c>
      <c r="Z28" s="53">
        <v>1</v>
      </c>
      <c r="AA28" s="1" t="s">
        <v>325</v>
      </c>
      <c r="AB28" s="53">
        <f>'&lt;zalldev&gt;EXPORT'!P11</f>
        <v>0</v>
      </c>
      <c r="AC28" s="60">
        <v>1</v>
      </c>
      <c r="AD28" s="60">
        <f ca="1">IF(D28="","",AC28*SUMIFS($T$28:$T$700000,$CA$28:$CA$700000,CA28))</f>
        <v>0</v>
      </c>
      <c r="AE28" s="60" t="e">
        <f ca="1">IF(D28="","",ROUNDUP((AD28*1000)/(INDEX(BD!$C$4:$C$5,MATCH(R28,BD!$B$4:$B$5,0))*AF28),2))</f>
        <v>#N/A</v>
      </c>
      <c r="AF28" s="60" t="e">
        <f ca="1">IF(D28="","",ROUNDUP(COS(ATAN(ROUNDUP(AG28/AD28,2))),2))</f>
        <v>#DIV/0!</v>
      </c>
      <c r="AG28" s="60">
        <f ca="1">IF(D28="","",AC28*SUMIFS($W$28:$W$12004,$CA$28:$CA$12004,CA28))</f>
        <v>0</v>
      </c>
      <c r="AH28" s="60">
        <f ca="1">IF(D28="","",ROUNDUP(SQRT(AD28*AD28+AG28*AG28),2))</f>
        <v>0</v>
      </c>
      <c r="AI28" s="60" t="e">
        <f ca="1">IF(D28="","",ROUNDUP((1/1000)*(100/R28)*IF(R28&lt;380,2,SQRT(3))*AE28*AQ28*(INDEX(INDIRECT("BDКаб!"&amp;INDEX(BDКаб!$C$4:$AH$4,1,MATCH(AR28&amp;AS28&amp;AT28&amp;"R",BDКаб!$C$3:$AH$3,0))),MATCH(AV28,BDКаб!$B$5:$B$12,0))*AF28 + INDEX(INDIRECT("BDКаб!"&amp;INDEX(BDКаб!$C$4:$AH$4,1,MATCH(AR28&amp;AS28&amp;AT28&amp;"X",BDКаб!$C$3:$AH$3,0))),MATCH(AV28,BDКаб!$B$5:$B$12,0))*SQRT(1-AF28*AF28)),2))</f>
        <v>#N/A</v>
      </c>
      <c r="AJ28" s="144" t="e">
        <f>IF(CE28=0,IF(CH28=0,T28,T28+SUMIF(CF28:$CF$700000,Q28,AK28:$AK$700000)),"")</f>
        <v>#N/A</v>
      </c>
      <c r="AK28" s="144" t="e">
        <f>IF(CE28=1,IF(CH28=0,T28,T28+SUMIF(CF28:$CF$700000,Q28,AL28:$AL$700000)),"")</f>
        <v>#N/A</v>
      </c>
      <c r="AL28" s="144" t="e">
        <f>IF(CE28=2,T28,"")</f>
        <v>#N/A</v>
      </c>
      <c r="AM28" s="59">
        <f>IF(D28="","",1.3)</f>
        <v>1.3</v>
      </c>
      <c r="AN28" s="59">
        <f>IF(AO28="","",3)</f>
        <v>3</v>
      </c>
      <c r="AO28" s="60" t="str">
        <f>IF(CD28=0,IF(D28="","",'&lt;zalldev&gt;EXPORT'!J11&amp;"."&amp;'&lt;zalldev&gt;EXPORT'!M11),'&lt;zalldev&gt;EXPORT'!J11&amp;"."&amp;'&lt;zalldev&gt;EXPORT'!M11)</f>
        <v>.</v>
      </c>
      <c r="AP28" s="60" t="e">
        <f ca="1">IF(AO28="","",AW28&amp;"-"&amp;AU28&amp;"х"&amp;AV28&amp;"мм²")</f>
        <v>#N/A</v>
      </c>
      <c r="AQ28" s="128" t="e">
        <f>IF(AO28="","",INDEX('&lt;zallcab&gt;CALC'!$X$7:$X$700000,MATCH(AO28,'&lt;zallcab&gt;CALC'!$D$7:$D$700000,0)))</f>
        <v>#N/A</v>
      </c>
      <c r="AR28" s="59" t="str">
        <f>IF(AO28="","","М")</f>
        <v>М</v>
      </c>
      <c r="AS28" s="59" t="str">
        <f>IF(AO28="","","М")</f>
        <v>М</v>
      </c>
      <c r="AT28" s="59" t="str">
        <f>IF(AO28="","","В")</f>
        <v>В</v>
      </c>
      <c r="AU28" s="65" t="e">
        <f ca="1">IF(AO28="","",IF(R28=380,5,3))</f>
        <v>#N/A</v>
      </c>
      <c r="AV28" s="65" t="e">
        <f ca="1">IF(AO28="","",IF(AY28&gt;IF(BA28&gt;BB28,BA28,BB28),AY28,IF(BA28&gt;BB28,BA28,BB28)))</f>
        <v>#N/A</v>
      </c>
      <c r="AW28" s="65" t="str">
        <f>IF(AO28="","","ВВГнг(А)-LS")</f>
        <v>ВВГнг(А)-LS</v>
      </c>
      <c r="AX28" s="65" t="e">
        <f ca="1">IF(AO28="","",(AN28*380*1000)/(SQRT(3)*IF(AO28="","",IF(D28="",ROUNDUP((SUM(AJ28:AL28)*1000)/(INDEX(BD!$C$4:$C$5,MATCH(R28,BD!$B$4:$B$5,0))*U28),2),AE28))*AQ28*100))</f>
        <v>#N/A</v>
      </c>
      <c r="AY28" s="59"/>
      <c r="AZ28" s="59"/>
      <c r="BA28" t="e">
        <f ca="1">IF(AO28="","",INDEX(BDКаб!$B$5:$B$12,MATCH(AX28,INDIRECT("BDКаб!"&amp;INDEX(BDКаб!$B$4:$AH$4,MATCH(AR28&amp;AS28&amp;AT28&amp;"Z",BDКаб!$B$3:$AH$3,0))),-1)+1))</f>
        <v>#N/A</v>
      </c>
      <c r="BB28" t="e">
        <f ca="1">IF(AO28="","",INDEX(BDКаб!$B$5:$B$12,MATCH(IF(AO28="","",IF(E28="",V28,AE28)),INDIRECT("BDКаб!"&amp;INDEX(BDКаб!$B$4:$AH$4,MATCH(AR28&amp;AS28&amp;AT28&amp;"I",BDКаб!$B$3:$AH$3,0))),1)+1))</f>
        <v>#N/A</v>
      </c>
      <c r="BC28" s="64" t="str">
        <f>IF(E28="","",E28)</f>
        <v>АВ</v>
      </c>
      <c r="BD28" s="64">
        <f>IF(F28="","",F28)</f>
        <v>1</v>
      </c>
      <c r="BE28" s="64" t="e">
        <f ca="1">IF(AE28="","",AE28)</f>
        <v>#N/A</v>
      </c>
      <c r="BF28" s="61" t="e">
        <f ca="1">IF(BC28="","",IF(BD28="",BE28,SUMIFS($BE$28:$BE$500004,$BD$28:$BD$500004,BD28)))</f>
        <v>#N/A</v>
      </c>
      <c r="BG28" s="64" t="e">
        <f ca="1">IF(BC28="","",IF(R28&lt;380,1,3))</f>
        <v>#N/A</v>
      </c>
      <c r="BH28" s="62">
        <f>IF(BC28="","",1.3)</f>
        <v>1.3</v>
      </c>
      <c r="BI28" s="61" t="e">
        <f ca="1">IF(BC28="","",IF(BH28="",BF28*1.3,BH28*BF28))</f>
        <v>#N/A</v>
      </c>
      <c r="BJ28" s="61" t="e">
        <f ca="1">IF(BC28="","",INDEX(INDIRECT("BD!"&amp;INDEX(BD!$K$5:$BX$5,1,MATCH(BC28&amp;"I",BD!$K$4:$BY$4,0))),MATCH(BI28,INDIRECT("BD!"&amp;INDEX(BD!$K$5:$BX$5,1,MATCH(BC28&amp;"I",BD!$K$4:$BY$4,0))),-1)))</f>
        <v>#N/A</v>
      </c>
      <c r="BK28" s="63">
        <f>IF(BC28="","",10)</f>
        <v>10</v>
      </c>
      <c r="BL28" s="146"/>
      <c r="BM28" s="61" t="e">
        <f ca="1">IF(BC28="","",IF(BL28="",IF(BJ28&gt;=BK28,BJ28,BK28),BL28))</f>
        <v>#N/A</v>
      </c>
      <c r="BN28" s="59" t="str">
        <f>IF(E28="","","C")</f>
        <v>C</v>
      </c>
      <c r="BO28" s="58" t="e">
        <f ca="1">IF(E28="","",IF(R28=380,3,1))</f>
        <v>#N/A</v>
      </c>
      <c r="BP28" s="58" t="str">
        <f>IF(BC28="","",IF(BC28="АВДТ","30мА",IF(BC28="УЗО","30мА","")))</f>
        <v/>
      </c>
      <c r="BQ28" s="58" t="e">
        <f ca="1">IF(E28="","",INDEX(INDIRECT("BD!"&amp;INDEX(BD!$K$5:$BX$5,1,MATCH(E28&amp;"О",BD!$K$4:$BY$4,0))),MATCH(BJ28,INDIRECT("BD!"&amp;INDEX(BD!$K$5:$BX$5,1,MATCH(E28&amp;"I",BD!$K$4:$BY$4,0))),0))&amp;D28)</f>
        <v>#N/A</v>
      </c>
      <c r="BR28" s="57" t="e">
        <f ca="1">IF(E28="","",INDEX(INDIRECT("BD!"&amp;INDEX(BD!$K$5:$BX$5,1,MATCH(E28&amp;"М",BD!$K$4:$BY$4,0))),MATCH(BJ28,INDIRECT("BD!"&amp;INDEX(BD!$K$5:$BX$5,1,MATCH(E28&amp;"I",BD!$K$4:$BY$4,0))),0)))</f>
        <v>#N/A</v>
      </c>
      <c r="BS28" s="147" t="e">
        <f ca="1">IF(E28="","",BO28&amp;"P,"&amp;BM28&amp;"А,"&amp;BN28&amp;IF(BP28="","",","&amp;BP28))</f>
        <v>#N/A</v>
      </c>
      <c r="BT28" s="60" t="e">
        <f ca="1">IF(G28="","",INDEX(INDIRECT("BD!"&amp;INDEX(BD!$K$5:$CA$5,1,MATCH(G28&amp;"I",BD!$K$4:$CB$4,0))),MATCH(AM28*AE28,INDIRECT("BD!"&amp;INDEX(BD!$K$5:$CA$5,1,MATCH(G28&amp;"I",BD!$K$4:$CB$4,0))),-1)))</f>
        <v>#N/A</v>
      </c>
      <c r="BU28" s="59" t="str">
        <f>IF(G28="","","C")</f>
        <v>C</v>
      </c>
      <c r="BV28" s="58" t="str">
        <f>IF(G28="","","3")</f>
        <v>3</v>
      </c>
      <c r="BW28" s="58" t="str">
        <f>IF(G28="","","30")</f>
        <v>30</v>
      </c>
      <c r="BX28" s="58" t="e">
        <f ca="1">IF(G28="","",INDEX(INDIRECT("BD!"&amp;INDEX(BD!$K$5:$CA$5,1,MATCH(G28&amp;"О",BD!$K$4:$CB$4,0))),MATCH(BT28,INDIRECT("BD!"&amp;INDEX(BD!$K$5:$CA$5,1,MATCH(G28&amp;"I",BD!$K$4:$CB$4,0))),0))&amp;D28)</f>
        <v>#N/A</v>
      </c>
      <c r="BY28" s="57" t="e">
        <f ca="1">IF(G28="","",INDEX(INDIRECT("BD!"&amp;INDEX(BD!$K$5:$CA$5,1,MATCH(G28&amp;"М",BD!$K$4:$CB$4,0))),MATCH(BT28,INDIRECT("BD!"&amp;INDEX(BD!$K$5:$CA$5,1,MATCH(G28&amp;"I",BD!$K$4:$CB$4,0))),0)))</f>
        <v>#N/A</v>
      </c>
      <c r="BZ28" t="e">
        <f ca="1">IF(G28="","",BV28&amp;"P,"&amp;BT28&amp;"А,"&amp;BU28&amp;IF(BW28="","",","&amp;BW28&amp;"мА"))</f>
        <v>#N/A</v>
      </c>
      <c r="CA28" s="118">
        <f>'&lt;zalldev&gt;EXPORT'!AN11</f>
        <v>-1</v>
      </c>
      <c r="CB28" s="118">
        <f>COUNT($CA$28:CA28)</f>
        <v>1</v>
      </c>
      <c r="CC28" s="118" t="e">
        <f ca="1">INDIRECT("'"&amp;Q28&amp;"'!"&amp;"X14")</f>
        <v>#REF!</v>
      </c>
      <c r="CD28" s="118" t="str">
        <f>'&lt;zalldev&gt;EXPORT'!AO11</f>
        <v>-1</v>
      </c>
      <c r="CE28" s="140" t="e">
        <f>'&lt;zalldev&gt;EXPORT'!AW11-$V$16-1</f>
        <v>#N/A</v>
      </c>
      <c r="CF28" s="140">
        <f>'&lt;zalldev&gt;EXPORT'!J11</f>
        <v>0</v>
      </c>
      <c r="CG28" s="140">
        <f>'&lt;zalldev&gt;EXPORT'!M11*1</f>
        <v>0</v>
      </c>
      <c r="CH28" s="140">
        <f>'&lt;zalldev&gt;EXPORT'!AV11*1</f>
        <v>0</v>
      </c>
      <c r="CI28" s="151">
        <f>IF(COUNT($CA$28:CA28)=1,1,IF(INDEX($CA$28:CA28,COUNT($CA$28:CA28)-1)=INDEX($CA$28:CA28,COUNT($CA$28:CA28)),0,COUNT($CA$28:CA28)))*1</f>
        <v>1</v>
      </c>
      <c r="CJ28" s="151">
        <f>IF(CH28&gt;0,IF(CE28=0,SUMIFS(CD28:$CD$700000,CA28:$CA$700000,CA28,CE28:$CE$700000,1),0),0)*1</f>
        <v>0</v>
      </c>
      <c r="CK28" s="119">
        <f>IF('&lt;zalldev&gt;EXPORT'!W11=0,'&lt;zalldev&gt;EXPORT'!W11,1)</f>
        <v>0</v>
      </c>
      <c r="CL28" s="173">
        <f>IF(MATCH(CA28,$CA$28:CA28,0)=COUNT($CA$28:CA28),COUNTIFS(F28:$F$120004,F28),0)*1</f>
        <v>1</v>
      </c>
      <c r="CM28" s="151">
        <f>IF(INDEX($CL$28:CL28,MATCH(CA28,$CA$28:CA28,0))&gt;1,IF(CL28=0,2,1),IF(CL28=1,1,0))*1</f>
        <v>1</v>
      </c>
      <c r="CN28" s="120">
        <f>INDEX($CK$28:CK28,COUNT($CA$28:CA28)-1)</f>
        <v>0</v>
      </c>
      <c r="CO28" s="120">
        <f>IF(INDEX($CK$28:$CK$120004,COUNT($CA$28:CA28))=1,IF(INDEX($CK$28:$CK$120004,COUNT($CA$28:CA28)+1)=1,1,0),0)</f>
        <v>0</v>
      </c>
      <c r="CP28" s="121">
        <f>IF(COUNT($CA$28:CA28)=1,1,IF(INDEX($CA$28:CA28,COUNT($CA$28:CA28)-1)=INDEX($CA$28:CA28,COUNT($CA$28:CA28)),0,COUNT($CA$28:CA28)))</f>
        <v>1</v>
      </c>
      <c r="CQ28" s="121">
        <f>IF(CP28&gt;0,ROW(CQ28),"-")</f>
        <v>28</v>
      </c>
      <c r="CR28" s="121" t="e">
        <f>IF(#REF!=0,0,SUMIFS(CK28:$CK$120004,#REF!,#REF!))</f>
        <v>#REF!</v>
      </c>
      <c r="CS28" s="121" t="e">
        <f ca="1">IF(COUNTIF(INDIRECT(ADDRESS(ROW(CS28),COLUMN(#REF!))&amp;":"&amp;ADDRESS(MIN(CQ28:$CQ$120004),COLUMN(#REF!))),0)&gt;1,1,0)</f>
        <v>#REF!</v>
      </c>
      <c r="CT28" s="120">
        <f>IF(CI28=1,0,IF(INDEX($CA$28:CA28,CI28-1)=CA28,IF(INDEX(#REF!,CI28-1)=#REF!,IF(INDEX(#REF!,CI28-1)=#REF!,1,0),0),0))</f>
        <v>0</v>
      </c>
      <c r="CU28" s="122" t="e">
        <f>MATCH(1,K28:M28,0)</f>
        <v>#N/A</v>
      </c>
      <c r="CV28" s="173">
        <f>IF(CB28=1,0,IF(CH28=0,IF(INDEX($CH$28:$CH$700000,CB28-1)&gt;0,1,0),0))</f>
        <v>0</v>
      </c>
      <c r="CW28" t="s">
        <v>213</v>
      </c>
      <c r="CX28" s="1" t="s">
        <v>212</v>
      </c>
      <c r="CY28" s="235">
        <f>$CY$27+25*$AB$5*CB28-COUNTIF($CV$28:CV28,1)*25*$AB$5</f>
        <v>6000</v>
      </c>
      <c r="CZ28" s="168">
        <v>0</v>
      </c>
      <c r="DA28" s="163">
        <f>$AB$5</f>
        <v>100</v>
      </c>
      <c r="DB28" s="163">
        <f>$AB$6</f>
        <v>100</v>
      </c>
      <c r="DC28" s="170">
        <v>0</v>
      </c>
      <c r="DD28" s="1" t="s">
        <v>211</v>
      </c>
      <c r="DE28" s="1" t="e">
        <f ca="1">IF(S28="ABC","BOOLEAN_1","BOOLEAN_0")</f>
        <v>#N/A</v>
      </c>
      <c r="DF28" s="155" t="s">
        <v>210</v>
      </c>
      <c r="DG28" s="155" t="e">
        <f ca="1">IF(H28&lt;&gt;"","INTEGER_0",IF(CL28=0,IF(CM28=0,"INTEGER_3","INTEGER_"&amp;CM28),"INTEGER_"&amp;CM28))</f>
        <v>#N/A</v>
      </c>
      <c r="DH28" s="158" t="s">
        <v>209</v>
      </c>
      <c r="DI28" s="159" t="str">
        <f ca="1">IFERROR(_xlfn.IFS(DG28="INTEGER_0","INTEGER_0",INDEX($CJ$28:$CJ$700000,CB28-1)&gt;0,"INTEGER_2"),"INTEGER_0")</f>
        <v>INTEGER_0</v>
      </c>
      <c r="DJ28" s="158" t="s">
        <v>208</v>
      </c>
      <c r="DK28" s="156" t="str">
        <f t="shared" ref="DK28" si="4">"INTEGER_0"</f>
        <v>INTEGER_0</v>
      </c>
      <c r="DL28" s="158" t="s">
        <v>207</v>
      </c>
      <c r="DM28" s="149" t="str">
        <f ca="1">IFERROR(_xlfn.IFS(DI28="INTEGER_2","INTEGER_2",DG28="INTEGER_3","INTEGER_0",DG28="INTEGER_2","INTEGER_0",DI28="INTEGER_0","INTEGER_4"),"INTEGER_0")</f>
        <v>INTEGER_0</v>
      </c>
      <c r="DN28" s="161" t="s">
        <v>206</v>
      </c>
      <c r="DO28" s="149" t="str">
        <f>IFERROR(_xlfn.IFS(IF(CJ28&gt;0,1,0),"INTEGER_0",INDEX($CJ$28:$CJ$700000,CB28-1)&gt;0,"INTEGER_0",IF(CI28=0,1,0),"INTEGER_3"),"INTEGER_0")</f>
        <v>INTEGER_0</v>
      </c>
      <c r="DP28" s="161" t="s">
        <v>205</v>
      </c>
      <c r="DQ28" s="162" t="str">
        <f t="shared" ref="DQ28" si="5">IF(CO28=0,"INTEGER_0","INTEGER_0")</f>
        <v>INTEGER_0</v>
      </c>
      <c r="DR28" s="161" t="s">
        <v>204</v>
      </c>
      <c r="DS28" s="149" t="str">
        <f ca="1">IFERROR(_xlfn.IFS(IF(CJ28&gt;0,1,0),"INTEGER_0",DO28="INTEGER_3","INTEGER_3",DI28="INTEGER_0","INTEGER_5"),"INTEGER_0")</f>
        <v>INTEGER_5</v>
      </c>
      <c r="DT28" s="1" t="s">
        <v>203</v>
      </c>
      <c r="DU28" s="235">
        <f>IF(CH28&gt;0,"",IF(Y28&gt;1,Q28&amp;"("&amp;Y28&amp;"шт.)",Q28))</f>
        <v>0</v>
      </c>
      <c r="DV28" s="1" t="s">
        <v>202</v>
      </c>
      <c r="DW28" s="235">
        <f ca="1">IF(CH28&gt;0,"",T28)</f>
        <v>0</v>
      </c>
      <c r="DX28" s="1" t="s">
        <v>201</v>
      </c>
      <c r="DY28" s="235" t="e">
        <f ca="1">IF(CH28&gt;0,"",V28)</f>
        <v>#N/A</v>
      </c>
      <c r="DZ28" s="1" t="s">
        <v>200</v>
      </c>
      <c r="EA28" s="235" t="e">
        <f ca="1">IF(CH28&gt;0,"",AB28&amp;"\P~"&amp;R28&amp;"V")</f>
        <v>#N/A</v>
      </c>
      <c r="EB28" s="56" t="s">
        <v>199</v>
      </c>
      <c r="EC28" s="56" t="str">
        <f>AO28</f>
        <v>.</v>
      </c>
      <c r="ED28" s="56" t="s">
        <v>198</v>
      </c>
      <c r="EE28" s="149" t="str">
        <f>IFERROR(_xlfn.IFS(IF(CJ28&gt;0,1,0),AP28,IF(CH28&gt;0,IF(INDEX($CJ$28:$CJ$700000,CB28-1)&gt;0,1,0),0),AP28,IF(CJ28=0,1,0),""),AP28)</f>
        <v/>
      </c>
      <c r="EF28" s="56" t="s">
        <v>197</v>
      </c>
      <c r="EG28" s="149" t="str">
        <f>IFERROR(_xlfn.IFS(IF(CJ28&gt;0,1,0),IF(AQ28&lt;&gt;"","L="&amp;AQ28&amp;"м"," "),IF(CH28&gt;0,IF(INDEX($CJ$28:$CJ$700000,CB28-1)&gt;0,1,0),0),IF(AQ28&lt;&gt;"","L="&amp;AQ28&amp;"м"," "),IF(CJ28=0,1,0),""),IF(AQ28&lt;&gt;"","L="&amp;AQ28&amp;"м"," "))</f>
        <v/>
      </c>
      <c r="EH28" s="56" t="s">
        <v>196</v>
      </c>
      <c r="EI28" s="235" t="e">
        <f ca="1">IF(EE28="",AP28,"")</f>
        <v>#N/A</v>
      </c>
      <c r="EJ28" s="56" t="str">
        <f>"VSCHEMACable22"</f>
        <v>VSCHEMACable22</v>
      </c>
      <c r="EK28" s="235" t="e">
        <f>IF(EG28="",IF(AQ28&lt;&gt;"","L="&amp;AQ28&amp;"м"," "),"")</f>
        <v>#N/A</v>
      </c>
      <c r="EL28" t="s">
        <v>195</v>
      </c>
      <c r="EM28" s="164" t="s">
        <v>213</v>
      </c>
      <c r="EN28" s="149" t="str">
        <f>'&lt;zalldev&gt;EXPORT'!AJ11</f>
        <v>&lt;zcadnameblock&gt;</v>
      </c>
      <c r="EO28" s="149" t="e">
        <f>CY28+12.5*$AB$5+INDEX(BDUGO!$D$4:$D$15,MATCH(IF(CH28&gt;0,"UU","")&amp;EN28,BDUGO!$C$4:$C$15,0))*$AB$5</f>
        <v>#N/A</v>
      </c>
      <c r="EP28" s="149" t="e">
        <f>CZ28+42.5*$AB$6+INDEX(BDUGO!$E$4:$E$15,MATCH(IF(CH28&gt;0,"UU","")&amp;EN28,BDUGO!$C$4:$C$15,0))*$AB$6</f>
        <v>#N/A</v>
      </c>
      <c r="EQ28" s="149" t="e">
        <f>IF(INDEX(BDUGO!$F$4:$F$15,MATCH(IF(CH28&gt;0,"UU","")&amp;EN28,BDUGO!$C$4:$C$15,0))=0,1,INDEX(BDUGO!$F$4:$F$15,MATCH(IF(CH28&gt;0,"UU","")&amp;EN28,BDUGO!$C$4:$C$15,0)))*$AB$5</f>
        <v>#N/A</v>
      </c>
      <c r="ER28" s="149" t="e">
        <f>IF(INDEX(BDUGO!$G$4:$G$15,MATCH(IF(CH28&gt;0,"UU","")&amp;EN28,BDUGO!$C$4:$C$15,0))=0,1,INDEX(BDUGO!$G$4:$G$15,MATCH(IF(CH28&gt;0,"UU","")&amp;EN28,BDUGO!$C$4:$C$15,0)))*$AB$6</f>
        <v>#N/A</v>
      </c>
      <c r="ES28" s="149" t="e">
        <f>INDEX(BDUGO!$H$4:$H$15,MATCH(IF(CH28&gt;0,"UU","")&amp;EN28,BDUGO!$C$4:$C$15,0))</f>
        <v>#N/A</v>
      </c>
      <c r="ET28" s="164" t="s">
        <v>195</v>
      </c>
      <c r="EU28" t="e">
        <f ca="1">IF(H28&lt;&gt;"","&lt;zinsertblock&gt;","")</f>
        <v>#N/A</v>
      </c>
      <c r="EV28" s="1" t="e">
        <f ca="1">IF(EU28="","",INDEX(INDIRECT("BD!"&amp;INDEX(BD!$K$5:$BX$5,1,MATCH(E28&amp;"UGO",BD!$K$4:$BY$4,0))),MATCH(BJ28,INDIRECT("BD!"&amp;INDEX(BD!$K$5:$BX$5,1,MATCH(E28&amp;"I",BD!$K$4:$BY$4,0))),0)))</f>
        <v>#N/A</v>
      </c>
      <c r="EW28" s="1" t="e">
        <f ca="1">IF(EU28="","",CY28+$AB$5*INDEX(INDIRECT("BD!"&amp;INDEX(BD!$K$5:$BX$5,1,MATCH(E28&amp;"MOVEX",BD!$K$4:$BY$4,0))),MATCH(BJ28,INDIRECT("BD!"&amp;INDEX(BD!$K$5:$BX$5,1,MATCH(E28&amp;"I",BD!$K$4:$BY$4,0))),0)))</f>
        <v>#N/A</v>
      </c>
      <c r="EX28" s="1" t="e">
        <f ca="1">IF(EU28="","",CZ28+$AB$6*INDEX(INDIRECT("BD!"&amp;INDEX(BD!$K$5:$BX$5,1,MATCH(E28&amp;"MOVEY",BD!$K$4:$BY$4,0))),MATCH(BJ28,INDIRECT("BD!"&amp;INDEX(BD!$K$5:$BX$5,1,MATCH(E28&amp;"I",BD!$K$4:$BY$4,0))),0)))</f>
        <v>#N/A</v>
      </c>
      <c r="EY28" s="1">
        <f>$AB$5</f>
        <v>100</v>
      </c>
      <c r="EZ28" s="1">
        <f>$AB$6</f>
        <v>100</v>
      </c>
      <c r="FA28" s="1">
        <v>0</v>
      </c>
      <c r="FB28" s="1" t="s">
        <v>194</v>
      </c>
      <c r="FC28" s="1" t="e">
        <f ca="1">BQ28&amp;"\P"&amp;BR28&amp;"\P"&amp;BS28</f>
        <v>#N/A</v>
      </c>
      <c r="FD28" t="e">
        <f ca="1">IF(EU28="","","&lt;/zinsertblock&gt;")</f>
        <v>#N/A</v>
      </c>
      <c r="FE28" t="e">
        <f ca="1">IF(I28&lt;&gt;"","&lt;zinsertblock&gt;","")</f>
        <v>#N/A</v>
      </c>
      <c r="FF28" s="1" t="e">
        <f ca="1">IF(FE28="","",INDEX(INDIRECT("BD!"&amp;INDEX(BD!$K$5:$CA$5,1,MATCH(G28&amp;"UGO",BD!$K$4:$CB$4,0))),MATCH(BT28,INDIRECT("BD!"&amp;INDEX(BD!$K$5:$CA$5,1,MATCH(G28&amp;"I",BD!$K$4:$CB$4,0))),0)))</f>
        <v>#N/A</v>
      </c>
      <c r="FG28" s="1" t="e">
        <f ca="1">IF(FE28="","",CY28+$AB$5*INDEX(INDIRECT("BD!"&amp;INDEX(BD!$K$5:$CA$5,1,MATCH(G28&amp;"MOVEX",BD!$K$4:$CB$4,0))),MATCH(BT28,INDIRECT("BD!"&amp;INDEX(BD!$K$5:$CA$5,1,MATCH(G28&amp;"I",BD!$K$4:$CB$4,0))),0)))</f>
        <v>#N/A</v>
      </c>
      <c r="FH28" s="1" t="e">
        <f ca="1">IF(FE28="","",CZ28-20*$AB$6+$AB$6*INDEX(INDIRECT("BD!"&amp;INDEX(BD!$K$5:$CA$5,1,MATCH(G28&amp;"MOVEY",BD!$K$4:$CB$4,0))),MATCH(BT28,INDIRECT("BD!"&amp;INDEX(BD!$K$5:$CA$5,1,MATCH(G28&amp;"I",BD!$K$4:$CB$4,0))),0)))</f>
        <v>#N/A</v>
      </c>
      <c r="FI28" s="1">
        <f>$AB$5</f>
        <v>100</v>
      </c>
      <c r="FJ28" s="1">
        <f>$AB$6</f>
        <v>100</v>
      </c>
      <c r="FK28" s="1">
        <v>0</v>
      </c>
      <c r="FL28" s="1" t="s">
        <v>194</v>
      </c>
      <c r="FM28" s="1" t="e">
        <f ca="1">BX28&amp;"\P"&amp;BY28&amp;"\P"&amp;BZ28</f>
        <v>#N/A</v>
      </c>
      <c r="FN28" t="e">
        <f ca="1">IF(FE28="","","&lt;/zinsertblock&gt;")</f>
        <v>#N/A</v>
      </c>
      <c r="FO28" t="s">
        <v>193</v>
      </c>
    </row>
  </sheetData>
  <mergeCells count="54">
    <mergeCell ref="AA4:AB4"/>
    <mergeCell ref="BT26:BZ26"/>
    <mergeCell ref="EU27:FD27"/>
    <mergeCell ref="FE27:FN27"/>
    <mergeCell ref="K26:M26"/>
    <mergeCell ref="N26:N27"/>
    <mergeCell ref="Q26:AB26"/>
    <mergeCell ref="AC26:AN26"/>
    <mergeCell ref="AO26:BB26"/>
    <mergeCell ref="BC26:BS26"/>
    <mergeCell ref="CA26:CV26"/>
    <mergeCell ref="EM27:ET27"/>
    <mergeCell ref="I26:I27"/>
    <mergeCell ref="D14:G14"/>
    <mergeCell ref="R14:U14"/>
    <mergeCell ref="V14:W14"/>
    <mergeCell ref="D15:G15"/>
    <mergeCell ref="R15:U15"/>
    <mergeCell ref="V15:W15"/>
    <mergeCell ref="D26:D27"/>
    <mergeCell ref="E26:E27"/>
    <mergeCell ref="F26:F27"/>
    <mergeCell ref="G26:G27"/>
    <mergeCell ref="H26:H27"/>
    <mergeCell ref="J26:J27"/>
    <mergeCell ref="R16:U16"/>
    <mergeCell ref="V16:W16"/>
    <mergeCell ref="D12:G12"/>
    <mergeCell ref="R12:U12"/>
    <mergeCell ref="V12:W12"/>
    <mergeCell ref="D13:G13"/>
    <mergeCell ref="R13:U13"/>
    <mergeCell ref="V13:W13"/>
    <mergeCell ref="D9:G9"/>
    <mergeCell ref="R9:U10"/>
    <mergeCell ref="V9:W10"/>
    <mergeCell ref="D10:G10"/>
    <mergeCell ref="D11:G11"/>
    <mergeCell ref="R11:U11"/>
    <mergeCell ref="V11:W11"/>
    <mergeCell ref="D7:G7"/>
    <mergeCell ref="R7:U7"/>
    <mergeCell ref="V7:W7"/>
    <mergeCell ref="D8:G8"/>
    <mergeCell ref="R8:U8"/>
    <mergeCell ref="V8:W8"/>
    <mergeCell ref="D6:G6"/>
    <mergeCell ref="R6:U6"/>
    <mergeCell ref="V6:W6"/>
    <mergeCell ref="D4:H4"/>
    <mergeCell ref="R4:W4"/>
    <mergeCell ref="D5:G5"/>
    <mergeCell ref="R5:U5"/>
    <mergeCell ref="V5:W5"/>
  </mergeCells>
  <conditionalFormatting sqref="R28">
    <cfRule type="expression" dxfId="54" priority="103">
      <formula>NOT(_xlfn.ISFORMULA(R28))</formula>
    </cfRule>
  </conditionalFormatting>
  <conditionalFormatting sqref="S28">
    <cfRule type="expression" dxfId="53" priority="102">
      <formula>NOT(_xlfn.ISFORMULA(S28))</formula>
    </cfRule>
  </conditionalFormatting>
  <conditionalFormatting sqref="T28">
    <cfRule type="expression" dxfId="52" priority="101">
      <formula>NOT(_xlfn.ISFORMULA(T28))</formula>
    </cfRule>
  </conditionalFormatting>
  <conditionalFormatting sqref="U28">
    <cfRule type="expression" dxfId="51" priority="100">
      <formula>NOT(_xlfn.ISFORMULA(U28))</formula>
    </cfRule>
  </conditionalFormatting>
  <conditionalFormatting sqref="AU28">
    <cfRule type="expression" dxfId="50" priority="98">
      <formula>NOT(_xlfn.ISFORMULA(AU28))</formula>
    </cfRule>
  </conditionalFormatting>
  <conditionalFormatting sqref="AX28">
    <cfRule type="expression" dxfId="49" priority="97">
      <formula>NOT(_xlfn.ISFORMULA(AX28))</formula>
    </cfRule>
  </conditionalFormatting>
  <conditionalFormatting sqref="AV28">
    <cfRule type="expression" dxfId="48" priority="95">
      <formula>NOT(_xlfn.ISFORMULA(AV28))</formula>
    </cfRule>
  </conditionalFormatting>
  <conditionalFormatting sqref="DG28">
    <cfRule type="cellIs" dxfId="47" priority="90" operator="equal">
      <formula>"INTEGER_0"</formula>
    </cfRule>
  </conditionalFormatting>
  <conditionalFormatting sqref="DG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DK28">
    <cfRule type="cellIs" dxfId="41" priority="66" operator="equal">
      <formula>"INTEGER_0"</formula>
    </cfRule>
  </conditionalFormatting>
  <conditionalFormatting sqref="DK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DN28">
    <cfRule type="cellIs" dxfId="35" priority="48" operator="equal">
      <formula>"INTEGER_0"</formula>
    </cfRule>
  </conditionalFormatting>
  <conditionalFormatting sqref="DN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P28">
    <cfRule type="cellIs" dxfId="29" priority="42" operator="equal">
      <formula>"INTEGER_0"</formula>
    </cfRule>
  </conditionalFormatting>
  <conditionalFormatting sqref="DP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Q28">
    <cfRule type="cellIs" dxfId="23" priority="36" operator="equal">
      <formula>"INTEGER_0"</formula>
    </cfRule>
  </conditionalFormatting>
  <conditionalFormatting sqref="DQ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R28">
    <cfRule type="cellIs" dxfId="17" priority="24" operator="equal">
      <formula>"INTEGER_0"</formula>
    </cfRule>
  </conditionalFormatting>
  <conditionalFormatting sqref="DR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T28">
    <cfRule type="cellIs" dxfId="11" priority="12" operator="equal">
      <formula>"INTEGER_0"</formula>
    </cfRule>
  </conditionalFormatting>
  <conditionalFormatting sqref="DT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U28:ED28 EF28 EH28:EK28">
    <cfRule type="cellIs" dxfId="5" priority="6" operator="equal">
      <formula>"INTEGER_0"</formula>
    </cfRule>
  </conditionalFormatting>
  <conditionalFormatting sqref="DU28:ED28 EF28 EH28:EK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82" t="s">
        <v>36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4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85" t="s">
        <v>12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</row>
    <row r="2" spans="1:18" ht="35.25" customHeight="1" thickBot="1" x14ac:dyDescent="0.3">
      <c r="A2" s="24"/>
      <c r="B2" s="3" t="s">
        <v>13</v>
      </c>
      <c r="C2" s="186" t="s">
        <v>14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15"/>
  <sheetViews>
    <sheetView workbookViewId="0">
      <selection activeCell="G11" sqref="G11"/>
    </sheetView>
  </sheetViews>
  <sheetFormatPr defaultRowHeight="15" x14ac:dyDescent="0.25"/>
  <cols>
    <col min="3" max="8" width="10.7109375" customWidth="1"/>
  </cols>
  <sheetData>
    <row r="1" spans="3:8" ht="15.75" thickBot="1" x14ac:dyDescent="0.3"/>
    <row r="2" spans="3:8" ht="15.75" thickBot="1" x14ac:dyDescent="0.3">
      <c r="C2" s="188" t="s">
        <v>438</v>
      </c>
      <c r="D2" s="189"/>
      <c r="E2" s="189"/>
      <c r="F2" s="189"/>
      <c r="G2" s="189"/>
      <c r="H2" s="190"/>
    </row>
    <row r="3" spans="3:8" x14ac:dyDescent="0.25">
      <c r="C3" s="165" t="s">
        <v>439</v>
      </c>
      <c r="D3" s="165" t="s">
        <v>440</v>
      </c>
      <c r="E3" s="165" t="s">
        <v>441</v>
      </c>
      <c r="F3" s="165" t="s">
        <v>442</v>
      </c>
      <c r="G3" s="165" t="s">
        <v>443</v>
      </c>
      <c r="H3" s="165" t="s">
        <v>444</v>
      </c>
    </row>
    <row r="4" spans="3:8" x14ac:dyDescent="0.25">
      <c r="C4" s="166" t="s">
        <v>445</v>
      </c>
      <c r="D4" s="167">
        <v>0</v>
      </c>
      <c r="E4" s="167">
        <v>0</v>
      </c>
      <c r="F4" s="167">
        <v>1</v>
      </c>
      <c r="G4" s="167">
        <v>1</v>
      </c>
      <c r="H4" s="167">
        <v>0</v>
      </c>
    </row>
    <row r="5" spans="3:8" x14ac:dyDescent="0.25">
      <c r="C5" s="166" t="s">
        <v>452</v>
      </c>
      <c r="D5" s="167">
        <v>0</v>
      </c>
      <c r="E5" s="167">
        <v>35</v>
      </c>
      <c r="F5" s="167">
        <v>1</v>
      </c>
      <c r="G5" s="167">
        <v>1</v>
      </c>
      <c r="H5" s="167">
        <v>0</v>
      </c>
    </row>
    <row r="6" spans="3:8" x14ac:dyDescent="0.25">
      <c r="C6" s="166" t="s">
        <v>446</v>
      </c>
      <c r="D6" s="167">
        <v>0</v>
      </c>
      <c r="E6" s="167">
        <v>0</v>
      </c>
      <c r="F6" s="167">
        <v>0.67</v>
      </c>
      <c r="G6" s="167">
        <v>0.67</v>
      </c>
      <c r="H6" s="167">
        <v>0</v>
      </c>
    </row>
    <row r="7" spans="3:8" x14ac:dyDescent="0.25">
      <c r="C7" s="166" t="s">
        <v>453</v>
      </c>
      <c r="D7" s="167">
        <v>0</v>
      </c>
      <c r="E7" s="167">
        <v>35</v>
      </c>
      <c r="F7" s="167">
        <v>1</v>
      </c>
      <c r="G7" s="167">
        <v>1</v>
      </c>
      <c r="H7" s="167">
        <v>0</v>
      </c>
    </row>
    <row r="8" spans="3:8" x14ac:dyDescent="0.25">
      <c r="C8" s="166" t="s">
        <v>454</v>
      </c>
      <c r="D8" s="167">
        <v>0</v>
      </c>
      <c r="E8" s="167">
        <v>35</v>
      </c>
      <c r="F8" s="167">
        <v>1</v>
      </c>
      <c r="G8" s="167">
        <v>1</v>
      </c>
      <c r="H8" s="167">
        <v>0</v>
      </c>
    </row>
    <row r="9" spans="3:8" x14ac:dyDescent="0.25">
      <c r="C9" s="166" t="s">
        <v>456</v>
      </c>
      <c r="D9" s="167">
        <v>0</v>
      </c>
      <c r="E9" s="167">
        <v>0</v>
      </c>
      <c r="F9" s="167">
        <v>1</v>
      </c>
      <c r="G9" s="167">
        <v>1</v>
      </c>
      <c r="H9" s="167">
        <v>0</v>
      </c>
    </row>
    <row r="10" spans="3:8" x14ac:dyDescent="0.25">
      <c r="C10" s="166" t="s">
        <v>457</v>
      </c>
      <c r="D10" s="167">
        <v>0</v>
      </c>
      <c r="E10" s="167">
        <v>35</v>
      </c>
      <c r="F10" s="167">
        <v>1</v>
      </c>
      <c r="G10" s="167">
        <v>1</v>
      </c>
      <c r="H10" s="167">
        <v>0</v>
      </c>
    </row>
    <row r="11" spans="3:8" x14ac:dyDescent="0.25">
      <c r="C11" s="166" t="s">
        <v>458</v>
      </c>
      <c r="D11" s="167">
        <v>0</v>
      </c>
      <c r="E11" s="167">
        <v>0</v>
      </c>
      <c r="F11" s="167">
        <v>1</v>
      </c>
      <c r="G11" s="167">
        <v>1</v>
      </c>
      <c r="H11" s="167">
        <v>0</v>
      </c>
    </row>
    <row r="12" spans="3:8" x14ac:dyDescent="0.25">
      <c r="C12" s="166" t="s">
        <v>459</v>
      </c>
      <c r="D12" s="167">
        <v>0</v>
      </c>
      <c r="E12" s="167">
        <v>35</v>
      </c>
      <c r="F12" s="167">
        <v>1</v>
      </c>
      <c r="G12" s="167">
        <v>1</v>
      </c>
      <c r="H12" s="167">
        <v>0</v>
      </c>
    </row>
    <row r="13" spans="3:8" x14ac:dyDescent="0.25">
      <c r="C13" s="166" t="s">
        <v>460</v>
      </c>
      <c r="D13" s="167">
        <v>0</v>
      </c>
      <c r="E13" s="167">
        <v>0</v>
      </c>
      <c r="F13" s="167">
        <v>1</v>
      </c>
      <c r="G13" s="167">
        <v>1</v>
      </c>
      <c r="H13" s="167">
        <v>0</v>
      </c>
    </row>
    <row r="14" spans="3:8" x14ac:dyDescent="0.25">
      <c r="C14" s="166" t="s">
        <v>461</v>
      </c>
      <c r="D14" s="167">
        <v>0</v>
      </c>
      <c r="E14" s="167">
        <v>35</v>
      </c>
      <c r="F14" s="167">
        <v>1</v>
      </c>
      <c r="G14" s="167">
        <v>1</v>
      </c>
      <c r="H14" s="167">
        <v>0</v>
      </c>
    </row>
    <row r="15" spans="3:8" x14ac:dyDescent="0.25">
      <c r="C15" s="166" t="s">
        <v>447</v>
      </c>
      <c r="D15" s="167">
        <v>0</v>
      </c>
      <c r="E15" s="167">
        <v>0</v>
      </c>
      <c r="F15" s="167">
        <v>1</v>
      </c>
      <c r="G15" s="167">
        <v>1</v>
      </c>
      <c r="H15" s="167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372</v>
      </c>
      <c r="C4" s="1" t="s">
        <v>373</v>
      </c>
    </row>
    <row r="5" spans="2:3" x14ac:dyDescent="0.25">
      <c r="B5" s="1" t="s">
        <v>374</v>
      </c>
      <c r="C5" s="1" t="s">
        <v>375</v>
      </c>
    </row>
    <row r="6" spans="2:3" x14ac:dyDescent="0.25">
      <c r="B6" s="1" t="s">
        <v>376</v>
      </c>
      <c r="C6" s="1" t="s">
        <v>377</v>
      </c>
    </row>
    <row r="7" spans="2:3" x14ac:dyDescent="0.25">
      <c r="B7" s="1" t="s">
        <v>378</v>
      </c>
      <c r="C7" s="1" t="s">
        <v>379</v>
      </c>
    </row>
    <row r="8" spans="2:3" x14ac:dyDescent="0.25">
      <c r="B8" s="1" t="s">
        <v>380</v>
      </c>
      <c r="C8" s="1" t="s">
        <v>381</v>
      </c>
    </row>
    <row r="9" spans="2:3" x14ac:dyDescent="0.25">
      <c r="B9" s="1" t="s">
        <v>382</v>
      </c>
      <c r="C9" s="1" t="s"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7"/>
  <sheetViews>
    <sheetView workbookViewId="0">
      <selection activeCell="I16" sqref="I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188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351</v>
      </c>
    </row>
    <row r="7" spans="1:11" x14ac:dyDescent="0.25">
      <c r="A7" t="s">
        <v>179</v>
      </c>
      <c r="B7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F11"/>
  <sheetViews>
    <sheetView topLeftCell="R4" workbookViewId="0">
      <selection activeCell="AJ11" sqref="AJ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6" width="12.7109375" customWidth="1"/>
    <col min="37" max="41" width="14.140625" customWidth="1"/>
    <col min="42" max="43" width="16" customWidth="1"/>
    <col min="44" max="57" width="12.7109375" customWidth="1"/>
  </cols>
  <sheetData>
    <row r="3" spans="1:58" x14ac:dyDescent="0.25">
      <c r="D3" s="192" t="s">
        <v>326</v>
      </c>
      <c r="E3" s="192"/>
      <c r="F3" s="192"/>
    </row>
    <row r="4" spans="1:58" x14ac:dyDescent="0.25">
      <c r="D4" s="87" t="s">
        <v>327</v>
      </c>
      <c r="E4" s="88"/>
      <c r="F4" s="91" t="s">
        <v>37</v>
      </c>
    </row>
    <row r="7" spans="1:58" x14ac:dyDescent="0.25">
      <c r="A7">
        <f>COLUMN(A7)-1</f>
        <v>0</v>
      </c>
      <c r="B7">
        <f t="shared" ref="B7:BF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K7">
        <f t="shared" si="0"/>
        <v>36</v>
      </c>
      <c r="AL7">
        <f t="shared" si="0"/>
        <v>37</v>
      </c>
      <c r="AM7">
        <f t="shared" si="0"/>
        <v>38</v>
      </c>
      <c r="AN7">
        <f t="shared" si="0"/>
        <v>39</v>
      </c>
      <c r="AO7">
        <f t="shared" si="0"/>
        <v>40</v>
      </c>
      <c r="AP7">
        <f t="shared" si="0"/>
        <v>41</v>
      </c>
      <c r="AQ7">
        <f t="shared" si="0"/>
        <v>42</v>
      </c>
      <c r="AR7">
        <f t="shared" si="0"/>
        <v>43</v>
      </c>
      <c r="AS7">
        <f t="shared" si="0"/>
        <v>44</v>
      </c>
      <c r="AT7" s="111">
        <f t="shared" si="0"/>
        <v>45</v>
      </c>
      <c r="AU7" s="111">
        <f t="shared" si="0"/>
        <v>46</v>
      </c>
      <c r="AV7" s="111">
        <f t="shared" si="0"/>
        <v>47</v>
      </c>
      <c r="AW7" s="111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F7">
        <f t="shared" si="0"/>
        <v>57</v>
      </c>
    </row>
    <row r="8" spans="1:58" ht="135" x14ac:dyDescent="0.25">
      <c r="B8" s="96"/>
      <c r="C8" s="191" t="s">
        <v>1</v>
      </c>
      <c r="D8" s="191"/>
      <c r="E8" s="191"/>
      <c r="F8" s="192" t="s">
        <v>333</v>
      </c>
      <c r="G8" s="192"/>
      <c r="H8" s="192"/>
      <c r="I8" s="191" t="s">
        <v>168</v>
      </c>
      <c r="J8" s="191"/>
      <c r="K8" s="191"/>
      <c r="L8" s="191" t="s">
        <v>181</v>
      </c>
      <c r="M8" s="191"/>
      <c r="N8" s="191"/>
      <c r="O8" s="191" t="s">
        <v>7</v>
      </c>
      <c r="P8" s="191"/>
      <c r="Q8" s="191"/>
      <c r="R8" s="191" t="s">
        <v>182</v>
      </c>
      <c r="S8" s="191"/>
      <c r="T8" s="191"/>
      <c r="U8" s="191" t="s">
        <v>169</v>
      </c>
      <c r="V8" s="191"/>
      <c r="W8" s="191"/>
      <c r="X8" s="191" t="s">
        <v>184</v>
      </c>
      <c r="Y8" s="191"/>
      <c r="Z8" s="191"/>
      <c r="AA8" s="191" t="s">
        <v>185</v>
      </c>
      <c r="AB8" s="191"/>
      <c r="AC8" s="191"/>
      <c r="AD8" s="191" t="s">
        <v>3</v>
      </c>
      <c r="AE8" s="191"/>
      <c r="AF8" s="191"/>
      <c r="AG8" s="191" t="s">
        <v>393</v>
      </c>
      <c r="AH8" s="191"/>
      <c r="AI8" s="191"/>
      <c r="AJ8" s="153" t="s">
        <v>433</v>
      </c>
      <c r="AK8" s="114" t="s">
        <v>335</v>
      </c>
      <c r="AL8" s="123" t="s">
        <v>398</v>
      </c>
      <c r="AM8" s="123" t="s">
        <v>399</v>
      </c>
      <c r="AN8" s="123" t="s">
        <v>400</v>
      </c>
      <c r="AO8" s="126" t="s">
        <v>401</v>
      </c>
      <c r="AP8" s="114" t="s">
        <v>336</v>
      </c>
      <c r="AQ8" s="114" t="s">
        <v>337</v>
      </c>
      <c r="AR8" s="112" t="s">
        <v>189</v>
      </c>
      <c r="AS8" s="113" t="s">
        <v>327</v>
      </c>
      <c r="AT8" s="136" t="s">
        <v>407</v>
      </c>
      <c r="AU8" s="136" t="s">
        <v>408</v>
      </c>
      <c r="AV8" s="126" t="s">
        <v>405</v>
      </c>
      <c r="AW8" s="135" t="s">
        <v>406</v>
      </c>
      <c r="AX8" s="112" t="s">
        <v>190</v>
      </c>
      <c r="AY8" s="112" t="s">
        <v>191</v>
      </c>
      <c r="AZ8" s="112" t="s">
        <v>192</v>
      </c>
      <c r="BA8" s="112" t="s">
        <v>394</v>
      </c>
      <c r="BB8" s="90"/>
      <c r="BC8" s="90"/>
      <c r="BD8" s="90"/>
      <c r="BE8" s="90"/>
    </row>
    <row r="9" spans="1:58" x14ac:dyDescent="0.25">
      <c r="B9" s="51"/>
      <c r="C9" s="51" t="s">
        <v>167</v>
      </c>
      <c r="D9" s="52" t="s">
        <v>165</v>
      </c>
      <c r="E9" s="129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129" t="s">
        <v>166</v>
      </c>
      <c r="L9" s="51" t="s">
        <v>167</v>
      </c>
      <c r="M9" s="52" t="s">
        <v>165</v>
      </c>
      <c r="N9" s="129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129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51" t="s">
        <v>167</v>
      </c>
      <c r="AH9" s="52" t="s">
        <v>165</v>
      </c>
      <c r="AI9" s="129" t="s">
        <v>166</v>
      </c>
      <c r="AJ9" s="52" t="s">
        <v>165</v>
      </c>
      <c r="AK9" s="92"/>
      <c r="AL9" s="124"/>
      <c r="AM9" s="124"/>
      <c r="AN9" s="124"/>
      <c r="AO9" s="124"/>
      <c r="AP9" s="92"/>
      <c r="AQ9" s="92"/>
      <c r="AR9" s="55"/>
      <c r="AS9" s="89"/>
      <c r="AT9" s="110"/>
      <c r="AU9" s="110"/>
      <c r="AV9" s="124"/>
      <c r="AW9" s="124"/>
      <c r="AX9" s="55"/>
      <c r="AY9" s="55"/>
      <c r="AZ9" s="55"/>
      <c r="BA9" s="55"/>
      <c r="BB9" s="90"/>
      <c r="BC9" s="90"/>
      <c r="BD9" s="90"/>
      <c r="BE9" s="90"/>
    </row>
    <row r="10" spans="1:58" x14ac:dyDescent="0.25">
      <c r="B10" s="51" t="s">
        <v>2</v>
      </c>
      <c r="C10" s="51"/>
      <c r="D10" s="52"/>
      <c r="E10" s="129"/>
      <c r="F10" s="51"/>
      <c r="G10" s="52"/>
      <c r="H10" s="53"/>
      <c r="I10" s="51"/>
      <c r="J10" s="52"/>
      <c r="K10" s="129"/>
      <c r="L10" s="51"/>
      <c r="M10" s="52"/>
      <c r="N10" s="129"/>
      <c r="O10" s="51"/>
      <c r="P10" s="52"/>
      <c r="Q10" s="53"/>
      <c r="R10" s="51"/>
      <c r="S10" s="52"/>
      <c r="T10" s="129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129"/>
      <c r="AJ10" s="52"/>
      <c r="AK10" s="93"/>
      <c r="AL10" s="125"/>
      <c r="AM10" s="125"/>
      <c r="AN10" s="125"/>
      <c r="AO10" s="125"/>
      <c r="AP10" s="93"/>
      <c r="AQ10" s="93"/>
      <c r="AR10" s="55"/>
      <c r="AS10" s="89"/>
      <c r="AT10" s="110"/>
      <c r="AU10" s="110"/>
      <c r="AV10" s="125"/>
      <c r="AW10" s="125"/>
      <c r="AX10" s="55"/>
      <c r="AY10" s="55"/>
      <c r="AZ10" s="55"/>
      <c r="BA10" s="55"/>
      <c r="BB10" s="90"/>
      <c r="BC10" s="90"/>
      <c r="BD10" s="90"/>
      <c r="BE10" s="90"/>
    </row>
    <row r="11" spans="1:58" x14ac:dyDescent="0.25">
      <c r="B11" s="51" t="s">
        <v>163</v>
      </c>
      <c r="C11" s="54" t="s">
        <v>171</v>
      </c>
      <c r="D11" s="52"/>
      <c r="E11" s="129"/>
      <c r="F11" s="54" t="s">
        <v>330</v>
      </c>
      <c r="G11" s="52"/>
      <c r="H11" s="53"/>
      <c r="I11" s="54" t="s">
        <v>331</v>
      </c>
      <c r="J11" s="52"/>
      <c r="K11" s="129"/>
      <c r="L11" s="54" t="s">
        <v>332</v>
      </c>
      <c r="M11" s="52"/>
      <c r="N11" s="129"/>
      <c r="O11" s="54" t="s">
        <v>170</v>
      </c>
      <c r="P11" s="52"/>
      <c r="Q11" s="53"/>
      <c r="R11" s="54" t="s">
        <v>334</v>
      </c>
      <c r="S11" s="52"/>
      <c r="T11" s="129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54" t="s">
        <v>392</v>
      </c>
      <c r="AH11" s="52"/>
      <c r="AI11" s="129"/>
      <c r="AJ11" s="52" t="s">
        <v>434</v>
      </c>
      <c r="AK11" s="92" t="str">
        <f>J11&amp;"-"&amp;M11&amp;"-"&amp;S11</f>
        <v>--</v>
      </c>
      <c r="AL11" s="124">
        <f>IFERROR(IF(INDEX($AH$11:AH11,MATCH(J11,$D$11:D11,0))="True",1,0),-1)</f>
        <v>-1</v>
      </c>
      <c r="AM11" s="124" t="str">
        <f>IF(AL11=-1,"-1",IF(AL11=1,J11,INDEX($AM$11:AM11,COUNT($AR$11:AR11)-1)))</f>
        <v>-1</v>
      </c>
      <c r="AN11" s="124">
        <f>IF(AL11=-1,-1,IF(AL11=1,M11,INDEX($AN$11:AN11,COUNT($AR$11:AR11)-1)))</f>
        <v>-1</v>
      </c>
      <c r="AO11" s="124" t="str">
        <f>IF(AM11="-1","-1",IF(AM11&lt;&gt;J11,1,0))</f>
        <v>-1</v>
      </c>
      <c r="AP11" s="92">
        <f>IF(COUNT($AR$11:AR11)=MATCH(AK11,$AK$11:AK11,0),1,0)</f>
        <v>1</v>
      </c>
      <c r="AQ11" s="92">
        <f>SUMIFS($AR$11:$AR$700000,$AK$11:$AK$700000,AK11)</f>
        <v>1</v>
      </c>
      <c r="AR11" s="55">
        <v>1</v>
      </c>
      <c r="AS11" s="89" t="str">
        <f>$F$4</f>
        <v>-</v>
      </c>
      <c r="AT11" s="110">
        <f>IF(AS11=AM11,IF(AP11=1,1,0),0)</f>
        <v>0</v>
      </c>
      <c r="AU11" s="110">
        <f>IF(AS11=D11,1,0)</f>
        <v>0</v>
      </c>
      <c r="AV11" s="124">
        <f>SUMIF(J11:$J$700000,D11,AR11:$AR$700000)</f>
        <v>0</v>
      </c>
      <c r="AW11" s="124" t="str">
        <f>IF(AL11=-1,"0",1+INDEX($AW$11:$AW$700000,MATCH(J11,$D$11:$D$700000,0)))</f>
        <v>0</v>
      </c>
      <c r="AX11" s="55">
        <f>SUMIFS($AR$11:$AR$700000,$S$11:$S$700000,S11,$M$11:$M$700000,M11)</f>
        <v>0</v>
      </c>
      <c r="AY11" s="55">
        <f>IF(SUMIFS($AR$11:AR11,$S$11:S11,S11,$M$11:M11,M11)=1,1,0)</f>
        <v>0</v>
      </c>
      <c r="AZ11" s="55">
        <f>IF(AY11=1,1,0)</f>
        <v>0</v>
      </c>
      <c r="BA11" s="55">
        <f>M11</f>
        <v>0</v>
      </c>
      <c r="BB11" s="90"/>
      <c r="BC11" s="90"/>
      <c r="BD11" s="90"/>
      <c r="BE11" s="90"/>
      <c r="BF11" t="s">
        <v>164</v>
      </c>
    </row>
  </sheetData>
  <mergeCells count="12"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&lt;zallcab&gt;EXPORT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2024-08-01T13:52:22Z</dcterms:modified>
</cp:coreProperties>
</file>